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23BE17B2-0712-4A97-9046-FFC51E600747}" xr6:coauthVersionLast="45" xr6:coauthVersionMax="45" xr10:uidLastSave="{00000000-0000-0000-0000-000000000000}"/>
  <bookViews>
    <workbookView xWindow="-120" yWindow="-120" windowWidth="38640" windowHeight="15840" tabRatio="513" activeTab="1" xr2:uid="{56AF543F-F583-4B26-AD14-BD08CAB1DD1D}"/>
  </bookViews>
  <sheets>
    <sheet name="Agenda" sheetId="6" r:id="rId1"/>
    <sheet name="Lançamentos- Credito Débito" sheetId="3" r:id="rId2"/>
    <sheet name="Tabela Por Mês e #-Contrato" sheetId="7" r:id="rId3"/>
  </sheets>
  <definedNames>
    <definedName name="_xlnm._FilterDatabase" localSheetId="0" hidden="1">Agenda!$A$2:$Z$2</definedName>
    <definedName name="_xlnm._FilterDatabase" localSheetId="1" hidden="1">'Lançamentos- Credito Débito'!$A$1:$V$245</definedName>
  </definedNames>
  <calcPr calcId="181029"/>
  <pivotCaches>
    <pivotCache cacheId="0" r:id="rId4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6" i="3" l="1" a="1"/>
  <c r="O246" i="3" s="1"/>
  <c r="N247" i="3" s="1"/>
  <c r="O247" i="3" s="1" a="1"/>
  <c r="O247" i="3" s="1"/>
  <c r="O223" i="3" a="1"/>
  <c r="O223" i="3" s="1"/>
  <c r="N224" i="3" s="1"/>
  <c r="O224" i="3" s="1" a="1"/>
  <c r="O224" i="3" s="1"/>
  <c r="H246" i="3" a="1"/>
  <c r="H246" i="3" s="1"/>
  <c r="J246" i="3" s="1"/>
  <c r="I246" i="3"/>
  <c r="K246" i="3" a="1"/>
  <c r="K246" i="3" s="1"/>
  <c r="L246" i="3"/>
  <c r="N246" i="3"/>
  <c r="Q246" i="3" s="1"/>
  <c r="R246" i="3" a="1"/>
  <c r="R246" i="3" s="1"/>
  <c r="T246" i="3" s="1"/>
  <c r="H247" i="3" a="1"/>
  <c r="H247" i="3" s="1"/>
  <c r="J247" i="3" s="1"/>
  <c r="I247" i="3"/>
  <c r="K247" i="3" a="1"/>
  <c r="K247" i="3" s="1"/>
  <c r="L247" i="3" s="1"/>
  <c r="R247" i="3" a="1"/>
  <c r="R247" i="3" s="1"/>
  <c r="V247" i="3"/>
  <c r="V248" i="3" s="1"/>
  <c r="H225" i="3" a="1"/>
  <c r="H225" i="3" s="1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 s="1"/>
  <c r="H236" i="3" a="1"/>
  <c r="H236" i="3" s="1"/>
  <c r="H237" i="3" a="1"/>
  <c r="H237" i="3" s="1"/>
  <c r="H238" i="3" a="1"/>
  <c r="H238" i="3" s="1"/>
  <c r="H239" i="3" a="1"/>
  <c r="H239" i="3" s="1"/>
  <c r="H240" i="3" a="1"/>
  <c r="H240" i="3" s="1"/>
  <c r="H241" i="3" a="1"/>
  <c r="H241" i="3" s="1"/>
  <c r="H242" i="3" a="1"/>
  <c r="H242" i="3" s="1"/>
  <c r="H243" i="3" a="1"/>
  <c r="H243" i="3" s="1"/>
  <c r="H244" i="3" a="1"/>
  <c r="H244" i="3" s="1"/>
  <c r="H245" i="3" a="1"/>
  <c r="H245" i="3" s="1"/>
  <c r="H248" i="3" a="1"/>
  <c r="H248" i="3" s="1"/>
  <c r="H3" i="3" a="1"/>
  <c r="H3" i="3"/>
  <c r="I3" i="3"/>
  <c r="J3" i="3"/>
  <c r="K3" i="3" a="1"/>
  <c r="K3" i="3"/>
  <c r="L3" i="3"/>
  <c r="M3" i="3"/>
  <c r="N3" i="3"/>
  <c r="O3" i="3" a="1"/>
  <c r="O3" i="3"/>
  <c r="P3" i="3"/>
  <c r="Q3" i="3"/>
  <c r="R3" i="3" a="1"/>
  <c r="R3" i="3"/>
  <c r="S3" i="3"/>
  <c r="T3" i="3"/>
  <c r="U3" i="3"/>
  <c r="V3" i="3"/>
  <c r="H4" i="3" a="1"/>
  <c r="H4" i="3"/>
  <c r="I4" i="3"/>
  <c r="J4" i="3"/>
  <c r="K4" i="3" a="1"/>
  <c r="K4" i="3"/>
  <c r="L4" i="3"/>
  <c r="M4" i="3"/>
  <c r="N4" i="3"/>
  <c r="O4" i="3" s="1" a="1"/>
  <c r="O4" i="3" s="1"/>
  <c r="N5" i="3" s="1"/>
  <c r="R4" i="3" a="1"/>
  <c r="R4" i="3"/>
  <c r="S4" i="3"/>
  <c r="T4" i="3"/>
  <c r="U4" i="3"/>
  <c r="V4" i="3"/>
  <c r="H5" i="3" a="1"/>
  <c r="H5" i="3"/>
  <c r="I5" i="3"/>
  <c r="J5" i="3"/>
  <c r="K5" i="3" a="1"/>
  <c r="K5" i="3"/>
  <c r="L5" i="3"/>
  <c r="M5" i="3"/>
  <c r="R5" i="3" a="1"/>
  <c r="R5" i="3"/>
  <c r="S5" i="3"/>
  <c r="T5" i="3"/>
  <c r="U5" i="3"/>
  <c r="V5" i="3"/>
  <c r="H6" i="3" a="1"/>
  <c r="H6" i="3"/>
  <c r="I6" i="3"/>
  <c r="J6" i="3"/>
  <c r="K6" i="3" a="1"/>
  <c r="K6" i="3"/>
  <c r="L6" i="3"/>
  <c r="M6" i="3"/>
  <c r="R6" i="3" a="1"/>
  <c r="R6" i="3"/>
  <c r="S6" i="3"/>
  <c r="T6" i="3"/>
  <c r="U6" i="3"/>
  <c r="V6" i="3"/>
  <c r="H7" i="3" a="1"/>
  <c r="H7" i="3"/>
  <c r="I7" i="3"/>
  <c r="J7" i="3"/>
  <c r="K7" i="3" a="1"/>
  <c r="K7" i="3"/>
  <c r="L7" i="3"/>
  <c r="M7" i="3"/>
  <c r="R7" i="3" a="1"/>
  <c r="R7" i="3"/>
  <c r="S7" i="3"/>
  <c r="T7" i="3"/>
  <c r="U7" i="3"/>
  <c r="V7" i="3"/>
  <c r="V8" i="3" s="1"/>
  <c r="H8" i="3" a="1"/>
  <c r="H8" i="3"/>
  <c r="I8" i="3"/>
  <c r="J8" i="3"/>
  <c r="K8" i="3" a="1"/>
  <c r="K8" i="3"/>
  <c r="L8" i="3"/>
  <c r="M8" i="3"/>
  <c r="R8" i="3" a="1"/>
  <c r="R8" i="3"/>
  <c r="S8" i="3"/>
  <c r="T8" i="3"/>
  <c r="U8" i="3"/>
  <c r="H9" i="3" a="1"/>
  <c r="H9" i="3"/>
  <c r="I9" i="3"/>
  <c r="J9" i="3"/>
  <c r="K9" i="3" a="1"/>
  <c r="K9" i="3"/>
  <c r="L9" i="3"/>
  <c r="M9" i="3"/>
  <c r="R9" i="3" a="1"/>
  <c r="R9" i="3"/>
  <c r="S9" i="3"/>
  <c r="T9" i="3"/>
  <c r="U9" i="3"/>
  <c r="V9" i="3" s="1"/>
  <c r="V10" i="3" s="1"/>
  <c r="H10" i="3" a="1"/>
  <c r="H10" i="3"/>
  <c r="I10" i="3"/>
  <c r="J10" i="3"/>
  <c r="K10" i="3" a="1"/>
  <c r="K10" i="3"/>
  <c r="L10" i="3"/>
  <c r="M10" i="3"/>
  <c r="R10" i="3" a="1"/>
  <c r="R10" i="3"/>
  <c r="S10" i="3"/>
  <c r="T10" i="3"/>
  <c r="U10" i="3"/>
  <c r="H11" i="3" a="1"/>
  <c r="H11" i="3"/>
  <c r="I11" i="3"/>
  <c r="J11" i="3" s="1"/>
  <c r="K11" i="3" a="1"/>
  <c r="K11" i="3"/>
  <c r="L11" i="3"/>
  <c r="R11" i="3" a="1"/>
  <c r="R11" i="3"/>
  <c r="H12" i="3" a="1"/>
  <c r="H12" i="3"/>
  <c r="I12" i="3"/>
  <c r="J12" i="3" s="1"/>
  <c r="K12" i="3" a="1"/>
  <c r="K12" i="3"/>
  <c r="L12" i="3"/>
  <c r="R12" i="3" a="1"/>
  <c r="R12" i="3"/>
  <c r="H13" i="3" a="1"/>
  <c r="H13" i="3"/>
  <c r="I13" i="3"/>
  <c r="J13" i="3"/>
  <c r="K13" i="3" a="1"/>
  <c r="K13" i="3"/>
  <c r="L13" i="3"/>
  <c r="M13" i="3"/>
  <c r="R13" i="3" a="1"/>
  <c r="R13" i="3"/>
  <c r="H14" i="3" a="1"/>
  <c r="H14" i="3"/>
  <c r="I14" i="3"/>
  <c r="J14" i="3"/>
  <c r="K14" i="3" a="1"/>
  <c r="K14" i="3"/>
  <c r="L14" i="3"/>
  <c r="M14" i="3"/>
  <c r="R14" i="3" a="1"/>
  <c r="R14" i="3"/>
  <c r="S14" i="3"/>
  <c r="T14" i="3" s="1"/>
  <c r="H15" i="3" a="1"/>
  <c r="H15" i="3"/>
  <c r="I15" i="3"/>
  <c r="J15" i="3"/>
  <c r="K15" i="3" a="1"/>
  <c r="K15" i="3"/>
  <c r="L15" i="3"/>
  <c r="M15" i="3"/>
  <c r="R15" i="3" a="1"/>
  <c r="R15" i="3"/>
  <c r="S15" i="3"/>
  <c r="T15" i="3" s="1"/>
  <c r="U15" i="3" s="1"/>
  <c r="H16" i="3" a="1"/>
  <c r="H16" i="3"/>
  <c r="I16" i="3"/>
  <c r="J16" i="3"/>
  <c r="K16" i="3" a="1"/>
  <c r="K16" i="3"/>
  <c r="L16" i="3"/>
  <c r="M16" i="3"/>
  <c r="R16" i="3" a="1"/>
  <c r="R16" i="3"/>
  <c r="H17" i="3" a="1"/>
  <c r="H17" i="3"/>
  <c r="I17" i="3"/>
  <c r="J17" i="3"/>
  <c r="K17" i="3" a="1"/>
  <c r="K17" i="3"/>
  <c r="L17" i="3"/>
  <c r="M17" i="3"/>
  <c r="R17" i="3" a="1"/>
  <c r="R17" i="3"/>
  <c r="S17" i="3"/>
  <c r="T17" i="3" s="1"/>
  <c r="H18" i="3" a="1"/>
  <c r="H18" i="3"/>
  <c r="I18" i="3"/>
  <c r="J18" i="3"/>
  <c r="K18" i="3" a="1"/>
  <c r="K18" i="3"/>
  <c r="L18" i="3"/>
  <c r="M18" i="3"/>
  <c r="R18" i="3" a="1"/>
  <c r="R18" i="3"/>
  <c r="H19" i="3" a="1"/>
  <c r="H19" i="3"/>
  <c r="I19" i="3"/>
  <c r="J19" i="3"/>
  <c r="K19" i="3" a="1"/>
  <c r="K19" i="3"/>
  <c r="L19" i="3"/>
  <c r="M19" i="3"/>
  <c r="R19" i="3" a="1"/>
  <c r="R19" i="3"/>
  <c r="S19" i="3"/>
  <c r="T19" i="3" s="1"/>
  <c r="U19" i="3" s="1"/>
  <c r="H20" i="3" a="1"/>
  <c r="H20" i="3"/>
  <c r="I20" i="3"/>
  <c r="J20" i="3"/>
  <c r="K20" i="3" a="1"/>
  <c r="K20" i="3"/>
  <c r="L20" i="3"/>
  <c r="M20" i="3"/>
  <c r="R20" i="3" a="1"/>
  <c r="R20" i="3"/>
  <c r="S20" i="3"/>
  <c r="T20" i="3" s="1"/>
  <c r="U20" i="3" s="1"/>
  <c r="H21" i="3" a="1"/>
  <c r="H21" i="3"/>
  <c r="I21" i="3"/>
  <c r="J21" i="3"/>
  <c r="K21" i="3" a="1"/>
  <c r="K21" i="3"/>
  <c r="L21" i="3"/>
  <c r="M21" i="3"/>
  <c r="N21" i="3"/>
  <c r="Q21" i="3" s="1"/>
  <c r="O21" i="3" a="1"/>
  <c r="O21" i="3" s="1"/>
  <c r="P21" i="3"/>
  <c r="R21" i="3" a="1"/>
  <c r="R21" i="3"/>
  <c r="S21" i="3"/>
  <c r="T21" i="3"/>
  <c r="U21" i="3"/>
  <c r="H22" i="3" a="1"/>
  <c r="H22" i="3"/>
  <c r="I22" i="3"/>
  <c r="J22" i="3"/>
  <c r="K22" i="3" a="1"/>
  <c r="K22" i="3"/>
  <c r="L22" i="3"/>
  <c r="M22" i="3"/>
  <c r="N22" i="3"/>
  <c r="Q22" i="3" s="1"/>
  <c r="O22" i="3" a="1"/>
  <c r="O22" i="3" s="1"/>
  <c r="N23" i="3" s="1"/>
  <c r="P22" i="3"/>
  <c r="R22" i="3" a="1"/>
  <c r="R22" i="3"/>
  <c r="S22" i="3"/>
  <c r="U22" i="3" s="1"/>
  <c r="T22" i="3"/>
  <c r="H23" i="3" a="1"/>
  <c r="H23" i="3"/>
  <c r="I23" i="3"/>
  <c r="J23" i="3"/>
  <c r="K23" i="3" a="1"/>
  <c r="K23" i="3"/>
  <c r="L23" i="3"/>
  <c r="M23" i="3"/>
  <c r="R23" i="3" a="1"/>
  <c r="R23" i="3"/>
  <c r="S23" i="3"/>
  <c r="T23" i="3" s="1"/>
  <c r="U23" i="3" s="1"/>
  <c r="V23" i="3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H24" i="3" a="1"/>
  <c r="H24" i="3"/>
  <c r="I24" i="3"/>
  <c r="J24" i="3"/>
  <c r="K24" i="3" a="1"/>
  <c r="K24" i="3"/>
  <c r="L24" i="3"/>
  <c r="M24" i="3"/>
  <c r="R24" i="3" a="1"/>
  <c r="R24" i="3"/>
  <c r="S24" i="3"/>
  <c r="S25" i="3" s="1"/>
  <c r="H25" i="3" a="1"/>
  <c r="H25" i="3"/>
  <c r="I25" i="3"/>
  <c r="J25" i="3"/>
  <c r="K25" i="3" a="1"/>
  <c r="K25" i="3"/>
  <c r="L25" i="3"/>
  <c r="M25" i="3"/>
  <c r="R25" i="3" a="1"/>
  <c r="R25" i="3"/>
  <c r="H26" i="3" a="1"/>
  <c r="H26" i="3"/>
  <c r="I26" i="3"/>
  <c r="J26" i="3"/>
  <c r="K26" i="3" a="1"/>
  <c r="K26" i="3"/>
  <c r="L26" i="3"/>
  <c r="M26" i="3"/>
  <c r="R26" i="3" a="1"/>
  <c r="R26" i="3"/>
  <c r="H27" i="3" a="1"/>
  <c r="H27" i="3"/>
  <c r="I27" i="3"/>
  <c r="J27" i="3"/>
  <c r="K27" i="3" a="1"/>
  <c r="K27" i="3"/>
  <c r="L27" i="3"/>
  <c r="M27" i="3"/>
  <c r="R27" i="3" a="1"/>
  <c r="R27" i="3"/>
  <c r="H28" i="3" a="1"/>
  <c r="H28" i="3"/>
  <c r="I28" i="3"/>
  <c r="J28" i="3"/>
  <c r="K28" i="3" a="1"/>
  <c r="K28" i="3"/>
  <c r="L28" i="3"/>
  <c r="M28" i="3"/>
  <c r="R28" i="3" a="1"/>
  <c r="R28" i="3"/>
  <c r="H29" i="3" a="1"/>
  <c r="H29" i="3"/>
  <c r="I29" i="3"/>
  <c r="J29" i="3"/>
  <c r="K29" i="3" a="1"/>
  <c r="K29" i="3"/>
  <c r="L29" i="3"/>
  <c r="M29" i="3"/>
  <c r="R29" i="3" a="1"/>
  <c r="R29" i="3"/>
  <c r="H30" i="3" a="1"/>
  <c r="H30" i="3"/>
  <c r="I30" i="3"/>
  <c r="J30" i="3"/>
  <c r="K30" i="3" a="1"/>
  <c r="K30" i="3"/>
  <c r="L30" i="3"/>
  <c r="M30" i="3"/>
  <c r="R30" i="3" a="1"/>
  <c r="R30" i="3"/>
  <c r="H31" i="3" a="1"/>
  <c r="H31" i="3"/>
  <c r="I31" i="3"/>
  <c r="J31" i="3"/>
  <c r="K31" i="3" a="1"/>
  <c r="K31" i="3"/>
  <c r="L31" i="3"/>
  <c r="M31" i="3"/>
  <c r="R31" i="3" a="1"/>
  <c r="R31" i="3"/>
  <c r="H32" i="3" a="1"/>
  <c r="H32" i="3"/>
  <c r="I32" i="3"/>
  <c r="J32" i="3"/>
  <c r="K32" i="3" a="1"/>
  <c r="K32" i="3"/>
  <c r="L32" i="3"/>
  <c r="M32" i="3"/>
  <c r="R32" i="3" a="1"/>
  <c r="R32" i="3"/>
  <c r="H33" i="3" a="1"/>
  <c r="H33" i="3"/>
  <c r="I33" i="3"/>
  <c r="J33" i="3"/>
  <c r="K33" i="3" a="1"/>
  <c r="K33" i="3"/>
  <c r="L33" i="3"/>
  <c r="M33" i="3"/>
  <c r="R33" i="3" a="1"/>
  <c r="R33" i="3"/>
  <c r="H34" i="3" a="1"/>
  <c r="H34" i="3"/>
  <c r="I34" i="3"/>
  <c r="J34" i="3"/>
  <c r="K34" i="3" a="1"/>
  <c r="K34" i="3"/>
  <c r="L34" i="3"/>
  <c r="M34" i="3"/>
  <c r="R34" i="3" a="1"/>
  <c r="R34" i="3"/>
  <c r="H35" i="3" a="1"/>
  <c r="H35" i="3"/>
  <c r="I35" i="3"/>
  <c r="J35" i="3"/>
  <c r="K35" i="3" a="1"/>
  <c r="K35" i="3" s="1"/>
  <c r="R35" i="3" a="1"/>
  <c r="R35" i="3" s="1"/>
  <c r="H36" i="3" a="1"/>
  <c r="H36" i="3"/>
  <c r="I36" i="3"/>
  <c r="J36" i="3" s="1"/>
  <c r="K36" i="3" a="1"/>
  <c r="K36" i="3" s="1"/>
  <c r="L36" i="3"/>
  <c r="N36" i="3"/>
  <c r="Q36" i="3" s="1"/>
  <c r="O36" i="3" a="1"/>
  <c r="O36" i="3" s="1"/>
  <c r="N37" i="3" s="1"/>
  <c r="R36" i="3" a="1"/>
  <c r="R36" i="3" s="1"/>
  <c r="T36" i="3" s="1"/>
  <c r="H37" i="3" a="1"/>
  <c r="H37" i="3"/>
  <c r="I37" i="3"/>
  <c r="J37" i="3" s="1"/>
  <c r="K37" i="3" a="1"/>
  <c r="K37" i="3"/>
  <c r="L37" i="3"/>
  <c r="R37" i="3" a="1"/>
  <c r="R37" i="3" s="1"/>
  <c r="V37" i="3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H38" i="3" a="1"/>
  <c r="H38" i="3" s="1"/>
  <c r="J38" i="3" s="1"/>
  <c r="I38" i="3"/>
  <c r="K38" i="3" a="1"/>
  <c r="K38" i="3" s="1"/>
  <c r="L38" i="3" s="1"/>
  <c r="R38" i="3" a="1"/>
  <c r="R38" i="3"/>
  <c r="H39" i="3" a="1"/>
  <c r="H39" i="3"/>
  <c r="J39" i="3" s="1"/>
  <c r="I39" i="3"/>
  <c r="K39" i="3" a="1"/>
  <c r="K39" i="3" s="1"/>
  <c r="L39" i="3" s="1"/>
  <c r="R39" i="3" a="1"/>
  <c r="R39" i="3" s="1"/>
  <c r="H40" i="3" a="1"/>
  <c r="H40" i="3"/>
  <c r="J40" i="3" s="1"/>
  <c r="I40" i="3"/>
  <c r="K40" i="3" a="1"/>
  <c r="K40" i="3" s="1"/>
  <c r="L40" i="3" s="1"/>
  <c r="R40" i="3" a="1"/>
  <c r="R40" i="3" s="1"/>
  <c r="H41" i="3" a="1"/>
  <c r="H41" i="3"/>
  <c r="J41" i="3" s="1"/>
  <c r="I41" i="3"/>
  <c r="K41" i="3" a="1"/>
  <c r="K41" i="3"/>
  <c r="L41" i="3"/>
  <c r="R41" i="3" a="1"/>
  <c r="R41" i="3" s="1"/>
  <c r="H42" i="3" a="1"/>
  <c r="H42" i="3" s="1"/>
  <c r="J42" i="3" s="1"/>
  <c r="I42" i="3"/>
  <c r="K42" i="3" a="1"/>
  <c r="K42" i="3" s="1"/>
  <c r="L42" i="3"/>
  <c r="R42" i="3" a="1"/>
  <c r="R42" i="3"/>
  <c r="H43" i="3" a="1"/>
  <c r="H43" i="3"/>
  <c r="I43" i="3"/>
  <c r="J43" i="3"/>
  <c r="K43" i="3" a="1"/>
  <c r="K43" i="3"/>
  <c r="L43" i="3" s="1"/>
  <c r="M43" i="3"/>
  <c r="R43" i="3" a="1"/>
  <c r="R43" i="3" s="1"/>
  <c r="H44" i="3" a="1"/>
  <c r="H44" i="3"/>
  <c r="J44" i="3" s="1"/>
  <c r="I44" i="3"/>
  <c r="K44" i="3" a="1"/>
  <c r="K44" i="3"/>
  <c r="L44" i="3"/>
  <c r="M44" i="3"/>
  <c r="R44" i="3" a="1"/>
  <c r="R44" i="3"/>
  <c r="H45" i="3" a="1"/>
  <c r="H45" i="3"/>
  <c r="I45" i="3"/>
  <c r="J45" i="3"/>
  <c r="K45" i="3" a="1"/>
  <c r="K45" i="3"/>
  <c r="L45" i="3"/>
  <c r="M45" i="3"/>
  <c r="R45" i="3" a="1"/>
  <c r="R45" i="3"/>
  <c r="H46" i="3" a="1"/>
  <c r="H46" i="3"/>
  <c r="I46" i="3"/>
  <c r="J46" i="3"/>
  <c r="K46" i="3" a="1"/>
  <c r="K46" i="3"/>
  <c r="L46" i="3"/>
  <c r="M46" i="3"/>
  <c r="R46" i="3" a="1"/>
  <c r="R46" i="3"/>
  <c r="H47" i="3" a="1"/>
  <c r="H47" i="3"/>
  <c r="I47" i="3"/>
  <c r="J47" i="3"/>
  <c r="K47" i="3" a="1"/>
  <c r="K47" i="3"/>
  <c r="L47" i="3"/>
  <c r="M47" i="3"/>
  <c r="R47" i="3" a="1"/>
  <c r="R47" i="3"/>
  <c r="H48" i="3" a="1"/>
  <c r="H48" i="3"/>
  <c r="I48" i="3"/>
  <c r="J48" i="3"/>
  <c r="K48" i="3" a="1"/>
  <c r="K48" i="3"/>
  <c r="L48" i="3"/>
  <c r="M48" i="3"/>
  <c r="R48" i="3" a="1"/>
  <c r="R48" i="3"/>
  <c r="H49" i="3" a="1"/>
  <c r="H49" i="3"/>
  <c r="I49" i="3"/>
  <c r="J49" i="3"/>
  <c r="K49" i="3" a="1"/>
  <c r="K49" i="3"/>
  <c r="L49" i="3"/>
  <c r="M49" i="3"/>
  <c r="N49" i="3"/>
  <c r="Q49" i="3" s="1"/>
  <c r="O49" i="3" a="1"/>
  <c r="O49" i="3" s="1"/>
  <c r="N50" i="3" s="1"/>
  <c r="P49" i="3"/>
  <c r="R49" i="3" a="1"/>
  <c r="R49" i="3"/>
  <c r="S49" i="3"/>
  <c r="T49" i="3"/>
  <c r="U49" i="3"/>
  <c r="H50" i="3" a="1"/>
  <c r="H50" i="3"/>
  <c r="I50" i="3"/>
  <c r="J50" i="3"/>
  <c r="K50" i="3" a="1"/>
  <c r="K50" i="3"/>
  <c r="L50" i="3"/>
  <c r="S50" i="3" s="1"/>
  <c r="S51" i="3" s="1"/>
  <c r="M50" i="3"/>
  <c r="R50" i="3" a="1"/>
  <c r="R50" i="3"/>
  <c r="T50" i="3"/>
  <c r="V50" i="3"/>
  <c r="H51" i="3" a="1"/>
  <c r="H51" i="3"/>
  <c r="I51" i="3"/>
  <c r="J51" i="3"/>
  <c r="K51" i="3" a="1"/>
  <c r="K51" i="3"/>
  <c r="L51" i="3" s="1"/>
  <c r="M51" i="3"/>
  <c r="R51" i="3" a="1"/>
  <c r="R51" i="3"/>
  <c r="V51" i="3"/>
  <c r="H52" i="3" a="1"/>
  <c r="H52" i="3"/>
  <c r="I52" i="3"/>
  <c r="J52" i="3" s="1"/>
  <c r="K52" i="3" a="1"/>
  <c r="K52" i="3" s="1"/>
  <c r="L52" i="3"/>
  <c r="R52" i="3" a="1"/>
  <c r="R52" i="3"/>
  <c r="H53" i="3" a="1"/>
  <c r="H53" i="3"/>
  <c r="I53" i="3"/>
  <c r="J53" i="3"/>
  <c r="K53" i="3" a="1"/>
  <c r="K53" i="3"/>
  <c r="L53" i="3" s="1"/>
  <c r="M53" i="3"/>
  <c r="R53" i="3" a="1"/>
  <c r="R53" i="3" s="1"/>
  <c r="H54" i="3" a="1"/>
  <c r="H54" i="3" s="1"/>
  <c r="J54" i="3" s="1"/>
  <c r="I54" i="3"/>
  <c r="K54" i="3" a="1"/>
  <c r="K54" i="3" s="1"/>
  <c r="L54" i="3"/>
  <c r="R54" i="3" a="1"/>
  <c r="R54" i="3"/>
  <c r="H55" i="3" a="1"/>
  <c r="H55" i="3"/>
  <c r="I55" i="3"/>
  <c r="J55" i="3"/>
  <c r="K55" i="3" a="1"/>
  <c r="K55" i="3"/>
  <c r="L55" i="3" s="1"/>
  <c r="M55" i="3"/>
  <c r="R55" i="3" a="1"/>
  <c r="R55" i="3" s="1"/>
  <c r="H56" i="3" a="1"/>
  <c r="H56" i="3" s="1"/>
  <c r="J56" i="3" s="1"/>
  <c r="I56" i="3"/>
  <c r="K56" i="3" a="1"/>
  <c r="K56" i="3" s="1"/>
  <c r="L56" i="3"/>
  <c r="R56" i="3" a="1"/>
  <c r="R56" i="3"/>
  <c r="H57" i="3" a="1"/>
  <c r="H57" i="3"/>
  <c r="I57" i="3"/>
  <c r="J57" i="3"/>
  <c r="K57" i="3" a="1"/>
  <c r="K57" i="3"/>
  <c r="L57" i="3" s="1"/>
  <c r="M57" i="3"/>
  <c r="R57" i="3" a="1"/>
  <c r="R57" i="3" s="1"/>
  <c r="H58" i="3" a="1"/>
  <c r="H58" i="3" s="1"/>
  <c r="J58" i="3" s="1"/>
  <c r="I58" i="3"/>
  <c r="K58" i="3" a="1"/>
  <c r="K58" i="3" s="1"/>
  <c r="L58" i="3"/>
  <c r="R58" i="3" a="1"/>
  <c r="R58" i="3"/>
  <c r="H59" i="3" a="1"/>
  <c r="H59" i="3"/>
  <c r="I59" i="3"/>
  <c r="J59" i="3"/>
  <c r="K59" i="3" a="1"/>
  <c r="K59" i="3"/>
  <c r="L59" i="3" s="1"/>
  <c r="M59" i="3"/>
  <c r="R59" i="3" a="1"/>
  <c r="R59" i="3" s="1"/>
  <c r="H60" i="3" a="1"/>
  <c r="H60" i="3" s="1"/>
  <c r="J60" i="3" s="1"/>
  <c r="I60" i="3"/>
  <c r="K60" i="3" a="1"/>
  <c r="K60" i="3" s="1"/>
  <c r="L60" i="3"/>
  <c r="R60" i="3" a="1"/>
  <c r="R60" i="3"/>
  <c r="H61" i="3" a="1"/>
  <c r="H61" i="3"/>
  <c r="I61" i="3"/>
  <c r="J61" i="3"/>
  <c r="K61" i="3" a="1"/>
  <c r="K61" i="3"/>
  <c r="L61" i="3" s="1"/>
  <c r="M61" i="3"/>
  <c r="R61" i="3" a="1"/>
  <c r="R61" i="3" s="1"/>
  <c r="H62" i="3" a="1"/>
  <c r="H62" i="3" s="1"/>
  <c r="J62" i="3" s="1"/>
  <c r="I62" i="3"/>
  <c r="K62" i="3" a="1"/>
  <c r="K62" i="3" s="1"/>
  <c r="L62" i="3"/>
  <c r="R62" i="3" a="1"/>
  <c r="R62" i="3"/>
  <c r="H63" i="3" a="1"/>
  <c r="H63" i="3"/>
  <c r="I63" i="3"/>
  <c r="J63" i="3"/>
  <c r="K63" i="3" a="1"/>
  <c r="K63" i="3"/>
  <c r="L63" i="3" s="1"/>
  <c r="M63" i="3"/>
  <c r="R63" i="3" a="1"/>
  <c r="R63" i="3" s="1"/>
  <c r="H64" i="3" a="1"/>
  <c r="H64" i="3"/>
  <c r="J64" i="3" s="1"/>
  <c r="I64" i="3"/>
  <c r="K64" i="3" a="1"/>
  <c r="K64" i="3"/>
  <c r="L64" i="3"/>
  <c r="R64" i="3" a="1"/>
  <c r="R64" i="3"/>
  <c r="H65" i="3" a="1"/>
  <c r="H65" i="3"/>
  <c r="I65" i="3"/>
  <c r="J65" i="3"/>
  <c r="K65" i="3" a="1"/>
  <c r="K65" i="3"/>
  <c r="L65" i="3"/>
  <c r="M65" i="3"/>
  <c r="R65" i="3" a="1"/>
  <c r="R65" i="3"/>
  <c r="H66" i="3" a="1"/>
  <c r="H66" i="3" s="1"/>
  <c r="I66" i="3"/>
  <c r="J66" i="3"/>
  <c r="K66" i="3" a="1"/>
  <c r="K66" i="3"/>
  <c r="L66" i="3"/>
  <c r="M66" i="3"/>
  <c r="R66" i="3" a="1"/>
  <c r="R66" i="3"/>
  <c r="S66" i="3"/>
  <c r="S67" i="3" s="1"/>
  <c r="H67" i="3" a="1"/>
  <c r="H67" i="3"/>
  <c r="I67" i="3"/>
  <c r="J67" i="3"/>
  <c r="K67" i="3" a="1"/>
  <c r="K67" i="3"/>
  <c r="L67" i="3"/>
  <c r="M67" i="3"/>
  <c r="R67" i="3" a="1"/>
  <c r="R67" i="3"/>
  <c r="H68" i="3" a="1"/>
  <c r="H68" i="3"/>
  <c r="I68" i="3"/>
  <c r="J68" i="3"/>
  <c r="K68" i="3" a="1"/>
  <c r="K68" i="3"/>
  <c r="L68" i="3"/>
  <c r="S68" i="3" s="1"/>
  <c r="M68" i="3"/>
  <c r="R68" i="3" a="1"/>
  <c r="R68" i="3"/>
  <c r="H69" i="3" a="1"/>
  <c r="H69" i="3"/>
  <c r="I69" i="3"/>
  <c r="J69" i="3"/>
  <c r="K69" i="3" a="1"/>
  <c r="K69" i="3"/>
  <c r="L69" i="3"/>
  <c r="M69" i="3"/>
  <c r="R69" i="3" a="1"/>
  <c r="R69" i="3"/>
  <c r="H70" i="3" a="1"/>
  <c r="H70" i="3"/>
  <c r="I70" i="3"/>
  <c r="J70" i="3"/>
  <c r="K70" i="3" a="1"/>
  <c r="K70" i="3"/>
  <c r="L70" i="3"/>
  <c r="M70" i="3"/>
  <c r="R70" i="3" a="1"/>
  <c r="R70" i="3" s="1"/>
  <c r="S70" i="3"/>
  <c r="H71" i="3" a="1"/>
  <c r="H71" i="3"/>
  <c r="I71" i="3"/>
  <c r="J71" i="3" s="1"/>
  <c r="K71" i="3" a="1"/>
  <c r="K71" i="3"/>
  <c r="L71" i="3"/>
  <c r="R71" i="3" a="1"/>
  <c r="R71" i="3" s="1"/>
  <c r="H72" i="3" a="1"/>
  <c r="H72" i="3"/>
  <c r="I72" i="3"/>
  <c r="J72" i="3" s="1"/>
  <c r="K72" i="3" a="1"/>
  <c r="K72" i="3" s="1"/>
  <c r="L72" i="3" s="1"/>
  <c r="R72" i="3" a="1"/>
  <c r="R72" i="3"/>
  <c r="H73" i="3" a="1"/>
  <c r="H73" i="3" s="1"/>
  <c r="J73" i="3" s="1"/>
  <c r="I73" i="3"/>
  <c r="K73" i="3" a="1"/>
  <c r="K73" i="3" s="1"/>
  <c r="L73" i="3"/>
  <c r="N73" i="3"/>
  <c r="Q73" i="3" s="1"/>
  <c r="O73" i="3" a="1"/>
  <c r="O73" i="3" s="1"/>
  <c r="N74" i="3" s="1"/>
  <c r="R73" i="3" a="1"/>
  <c r="R73" i="3" s="1"/>
  <c r="T73" i="3" s="1"/>
  <c r="H74" i="3" a="1"/>
  <c r="H74" i="3"/>
  <c r="J74" i="3" s="1"/>
  <c r="I74" i="3"/>
  <c r="K74" i="3" a="1"/>
  <c r="K74" i="3"/>
  <c r="L74" i="3" s="1"/>
  <c r="R74" i="3" a="1"/>
  <c r="R74" i="3" s="1"/>
  <c r="V74" i="3"/>
  <c r="H75" i="3" a="1"/>
  <c r="H75" i="3"/>
  <c r="J75" i="3" s="1"/>
  <c r="I75" i="3"/>
  <c r="K75" i="3" a="1"/>
  <c r="K75" i="3"/>
  <c r="L75" i="3"/>
  <c r="R75" i="3" a="1"/>
  <c r="R75" i="3"/>
  <c r="V75" i="3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H76" i="3" a="1"/>
  <c r="H76" i="3" s="1"/>
  <c r="J76" i="3" s="1"/>
  <c r="I76" i="3"/>
  <c r="K76" i="3" a="1"/>
  <c r="K76" i="3" s="1"/>
  <c r="L76" i="3" s="1"/>
  <c r="R76" i="3" a="1"/>
  <c r="R76" i="3"/>
  <c r="H77" i="3" a="1"/>
  <c r="H77" i="3" s="1"/>
  <c r="J77" i="3" s="1"/>
  <c r="I77" i="3"/>
  <c r="K77" i="3" a="1"/>
  <c r="K77" i="3" s="1"/>
  <c r="L77" i="3" s="1"/>
  <c r="R77" i="3" a="1"/>
  <c r="R77" i="3" s="1"/>
  <c r="H78" i="3" a="1"/>
  <c r="H78" i="3"/>
  <c r="J78" i="3" s="1"/>
  <c r="I78" i="3"/>
  <c r="K78" i="3" a="1"/>
  <c r="K78" i="3"/>
  <c r="L78" i="3" s="1"/>
  <c r="R78" i="3" a="1"/>
  <c r="R78" i="3" s="1"/>
  <c r="H79" i="3" a="1"/>
  <c r="H79" i="3"/>
  <c r="J79" i="3" s="1"/>
  <c r="I79" i="3"/>
  <c r="K79" i="3" a="1"/>
  <c r="K79" i="3"/>
  <c r="L79" i="3"/>
  <c r="R79" i="3" a="1"/>
  <c r="R79" i="3"/>
  <c r="H80" i="3" a="1"/>
  <c r="H80" i="3" s="1"/>
  <c r="J80" i="3" s="1"/>
  <c r="I80" i="3"/>
  <c r="K80" i="3" a="1"/>
  <c r="K80" i="3" s="1"/>
  <c r="L80" i="3" s="1"/>
  <c r="R80" i="3" a="1"/>
  <c r="R80" i="3"/>
  <c r="H81" i="3" a="1"/>
  <c r="H81" i="3" s="1"/>
  <c r="J81" i="3" s="1"/>
  <c r="I81" i="3"/>
  <c r="K81" i="3" a="1"/>
  <c r="K81" i="3" s="1"/>
  <c r="L81" i="3" s="1"/>
  <c r="R81" i="3" a="1"/>
  <c r="R81" i="3" s="1"/>
  <c r="H82" i="3" a="1"/>
  <c r="H82" i="3"/>
  <c r="J82" i="3" s="1"/>
  <c r="I82" i="3"/>
  <c r="K82" i="3" a="1"/>
  <c r="K82" i="3"/>
  <c r="L82" i="3"/>
  <c r="R82" i="3" a="1"/>
  <c r="R82" i="3"/>
  <c r="H83" i="3" a="1"/>
  <c r="H83" i="3"/>
  <c r="I83" i="3"/>
  <c r="J83" i="3"/>
  <c r="K83" i="3" a="1"/>
  <c r="K83" i="3"/>
  <c r="L83" i="3"/>
  <c r="M83" i="3"/>
  <c r="R83" i="3" a="1"/>
  <c r="R83" i="3"/>
  <c r="H84" i="3" a="1"/>
  <c r="H84" i="3" s="1"/>
  <c r="I84" i="3"/>
  <c r="J84" i="3"/>
  <c r="K84" i="3" a="1"/>
  <c r="K84" i="3"/>
  <c r="L84" i="3"/>
  <c r="M84" i="3"/>
  <c r="R84" i="3" a="1"/>
  <c r="R84" i="3"/>
  <c r="H85" i="3" a="1"/>
  <c r="H85" i="3"/>
  <c r="I85" i="3"/>
  <c r="J85" i="3"/>
  <c r="K85" i="3" a="1"/>
  <c r="K85" i="3"/>
  <c r="L85" i="3"/>
  <c r="M85" i="3"/>
  <c r="R85" i="3" a="1"/>
  <c r="R85" i="3"/>
  <c r="H86" i="3" a="1"/>
  <c r="H86" i="3"/>
  <c r="I86" i="3"/>
  <c r="J86" i="3"/>
  <c r="K86" i="3" a="1"/>
  <c r="K86" i="3"/>
  <c r="L86" i="3"/>
  <c r="M86" i="3"/>
  <c r="N86" i="3"/>
  <c r="Q86" i="3" s="1"/>
  <c r="O86" i="3" a="1"/>
  <c r="O86" i="3" s="1"/>
  <c r="N87" i="3" s="1"/>
  <c r="P86" i="3"/>
  <c r="R86" i="3" a="1"/>
  <c r="R86" i="3"/>
  <c r="S86" i="3"/>
  <c r="T86" i="3"/>
  <c r="U86" i="3"/>
  <c r="H87" i="3" a="1"/>
  <c r="H87" i="3"/>
  <c r="I87" i="3"/>
  <c r="J87" i="3"/>
  <c r="K87" i="3" a="1"/>
  <c r="K87" i="3"/>
  <c r="L87" i="3"/>
  <c r="S87" i="3" s="1"/>
  <c r="M87" i="3"/>
  <c r="R87" i="3" a="1"/>
  <c r="R87" i="3"/>
  <c r="V87" i="3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H88" i="3" a="1"/>
  <c r="H88" i="3"/>
  <c r="I88" i="3"/>
  <c r="J88" i="3"/>
  <c r="K88" i="3" a="1"/>
  <c r="K88" i="3"/>
  <c r="L88" i="3"/>
  <c r="M88" i="3"/>
  <c r="R88" i="3" a="1"/>
  <c r="R88" i="3"/>
  <c r="H89" i="3" a="1"/>
  <c r="H89" i="3"/>
  <c r="I89" i="3"/>
  <c r="J89" i="3"/>
  <c r="K89" i="3" a="1"/>
  <c r="K89" i="3"/>
  <c r="L89" i="3"/>
  <c r="M89" i="3"/>
  <c r="R89" i="3" a="1"/>
  <c r="R89" i="3"/>
  <c r="H90" i="3" a="1"/>
  <c r="H90" i="3"/>
  <c r="I90" i="3"/>
  <c r="J90" i="3"/>
  <c r="K90" i="3" a="1"/>
  <c r="K90" i="3"/>
  <c r="L90" i="3"/>
  <c r="M90" i="3"/>
  <c r="R90" i="3" a="1"/>
  <c r="R90" i="3"/>
  <c r="H91" i="3" a="1"/>
  <c r="H91" i="3"/>
  <c r="I91" i="3"/>
  <c r="J91" i="3"/>
  <c r="K91" i="3" a="1"/>
  <c r="K91" i="3"/>
  <c r="L91" i="3"/>
  <c r="M91" i="3"/>
  <c r="R91" i="3" a="1"/>
  <c r="R91" i="3"/>
  <c r="H92" i="3" a="1"/>
  <c r="H92" i="3"/>
  <c r="I92" i="3"/>
  <c r="J92" i="3"/>
  <c r="K92" i="3" a="1"/>
  <c r="K92" i="3"/>
  <c r="L92" i="3" s="1"/>
  <c r="M92" i="3"/>
  <c r="R92" i="3" a="1"/>
  <c r="R92" i="3" s="1"/>
  <c r="H93" i="3" a="1"/>
  <c r="H93" i="3"/>
  <c r="I93" i="3"/>
  <c r="J93" i="3" s="1"/>
  <c r="K93" i="3" a="1"/>
  <c r="K93" i="3" s="1"/>
  <c r="L93" i="3" s="1"/>
  <c r="R93" i="3" a="1"/>
  <c r="R93" i="3"/>
  <c r="H94" i="3" a="1"/>
  <c r="H94" i="3"/>
  <c r="I94" i="3"/>
  <c r="J94" i="3"/>
  <c r="K94" i="3" a="1"/>
  <c r="K94" i="3"/>
  <c r="M94" i="3" s="1"/>
  <c r="R94" i="3" a="1"/>
  <c r="R94" i="3" s="1"/>
  <c r="H95" i="3" a="1"/>
  <c r="H95" i="3" s="1"/>
  <c r="J95" i="3" s="1"/>
  <c r="I95" i="3"/>
  <c r="K95" i="3" a="1"/>
  <c r="K95" i="3" s="1"/>
  <c r="L95" i="3" s="1"/>
  <c r="R95" i="3" a="1"/>
  <c r="R95" i="3"/>
  <c r="H96" i="3" a="1"/>
  <c r="H96" i="3"/>
  <c r="J96" i="3" s="1"/>
  <c r="I96" i="3"/>
  <c r="K96" i="3" a="1"/>
  <c r="K96" i="3"/>
  <c r="L96" i="3" s="1"/>
  <c r="R96" i="3" a="1"/>
  <c r="R96" i="3" s="1"/>
  <c r="H97" i="3" a="1"/>
  <c r="H97" i="3" s="1"/>
  <c r="J97" i="3" s="1"/>
  <c r="I97" i="3"/>
  <c r="K97" i="3" a="1"/>
  <c r="K97" i="3" s="1"/>
  <c r="L97" i="3" s="1"/>
  <c r="R97" i="3" a="1"/>
  <c r="R97" i="3"/>
  <c r="H98" i="3" a="1"/>
  <c r="H98" i="3"/>
  <c r="J98" i="3" s="1"/>
  <c r="I98" i="3"/>
  <c r="K98" i="3" a="1"/>
  <c r="K98" i="3"/>
  <c r="L98" i="3" s="1"/>
  <c r="R98" i="3" a="1"/>
  <c r="R98" i="3" s="1"/>
  <c r="H99" i="3" a="1"/>
  <c r="H99" i="3" s="1"/>
  <c r="J99" i="3" s="1"/>
  <c r="I99" i="3"/>
  <c r="K99" i="3" a="1"/>
  <c r="K99" i="3" s="1"/>
  <c r="L99" i="3"/>
  <c r="N99" i="3"/>
  <c r="Q99" i="3" s="1"/>
  <c r="O99" i="3" a="1"/>
  <c r="O99" i="3" s="1"/>
  <c r="N100" i="3" s="1"/>
  <c r="R99" i="3" a="1"/>
  <c r="R99" i="3"/>
  <c r="T99" i="3"/>
  <c r="H100" i="3" a="1"/>
  <c r="H100" i="3"/>
  <c r="J100" i="3" s="1"/>
  <c r="I100" i="3"/>
  <c r="K100" i="3" a="1"/>
  <c r="K100" i="3"/>
  <c r="L100" i="3" s="1"/>
  <c r="R100" i="3" a="1"/>
  <c r="R100" i="3" s="1"/>
  <c r="V100" i="3"/>
  <c r="H101" i="3" a="1"/>
  <c r="H101" i="3" s="1"/>
  <c r="J101" i="3" s="1"/>
  <c r="I101" i="3"/>
  <c r="K101" i="3" a="1"/>
  <c r="K101" i="3" s="1"/>
  <c r="L101" i="3" s="1"/>
  <c r="R101" i="3" a="1"/>
  <c r="R101" i="3"/>
  <c r="V101" i="3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H102" i="3" a="1"/>
  <c r="H102" i="3"/>
  <c r="J102" i="3" s="1"/>
  <c r="I102" i="3"/>
  <c r="K102" i="3" a="1"/>
  <c r="K102" i="3"/>
  <c r="L102" i="3" s="1"/>
  <c r="R102" i="3" a="1"/>
  <c r="R102" i="3" s="1"/>
  <c r="H103" i="3" a="1"/>
  <c r="H103" i="3" s="1"/>
  <c r="J103" i="3" s="1"/>
  <c r="I103" i="3"/>
  <c r="K103" i="3" a="1"/>
  <c r="K103" i="3" s="1"/>
  <c r="L103" i="3" s="1"/>
  <c r="R103" i="3" a="1"/>
  <c r="R103" i="3"/>
  <c r="H104" i="3" a="1"/>
  <c r="H104" i="3"/>
  <c r="J104" i="3" s="1"/>
  <c r="I104" i="3"/>
  <c r="K104" i="3" a="1"/>
  <c r="K104" i="3"/>
  <c r="L104" i="3" s="1"/>
  <c r="R104" i="3" a="1"/>
  <c r="R104" i="3" s="1"/>
  <c r="H105" i="3" a="1"/>
  <c r="H105" i="3" s="1"/>
  <c r="I105" i="3"/>
  <c r="K105" i="3" a="1"/>
  <c r="K105" i="3" s="1"/>
  <c r="L105" i="3" s="1"/>
  <c r="R105" i="3" a="1"/>
  <c r="R105" i="3"/>
  <c r="H106" i="3" a="1"/>
  <c r="H106" i="3"/>
  <c r="J106" i="3" s="1"/>
  <c r="I106" i="3"/>
  <c r="K106" i="3" a="1"/>
  <c r="K106" i="3"/>
  <c r="L106" i="3"/>
  <c r="R106" i="3" a="1"/>
  <c r="R106" i="3" s="1"/>
  <c r="H107" i="3" a="1"/>
  <c r="H107" i="3" s="1"/>
  <c r="I107" i="3"/>
  <c r="J107" i="3"/>
  <c r="K107" i="3" a="1"/>
  <c r="K107" i="3" s="1"/>
  <c r="L107" i="3" s="1"/>
  <c r="R107" i="3" a="1"/>
  <c r="R107" i="3"/>
  <c r="H108" i="3" a="1"/>
  <c r="H108" i="3" s="1"/>
  <c r="J108" i="3" s="1"/>
  <c r="I108" i="3"/>
  <c r="K108" i="3" a="1"/>
  <c r="K108" i="3" s="1"/>
  <c r="L108" i="3" s="1"/>
  <c r="R108" i="3" a="1"/>
  <c r="R108" i="3" s="1"/>
  <c r="H109" i="3" a="1"/>
  <c r="H109" i="3"/>
  <c r="J109" i="3" s="1"/>
  <c r="I109" i="3"/>
  <c r="K109" i="3" a="1"/>
  <c r="K109" i="3"/>
  <c r="L109" i="3" s="1"/>
  <c r="R109" i="3" a="1"/>
  <c r="R109" i="3" s="1"/>
  <c r="H110" i="3" a="1"/>
  <c r="H110" i="3"/>
  <c r="J110" i="3" s="1"/>
  <c r="I110" i="3"/>
  <c r="K110" i="3" a="1"/>
  <c r="K110" i="3"/>
  <c r="L110" i="3"/>
  <c r="R110" i="3" a="1"/>
  <c r="R110" i="3"/>
  <c r="H111" i="3" a="1"/>
  <c r="H111" i="3" s="1"/>
  <c r="J111" i="3" s="1"/>
  <c r="I111" i="3"/>
  <c r="K111" i="3" a="1"/>
  <c r="K111" i="3" s="1"/>
  <c r="L111" i="3" s="1"/>
  <c r="R111" i="3" a="1"/>
  <c r="R111" i="3"/>
  <c r="H112" i="3" a="1"/>
  <c r="H112" i="3" s="1"/>
  <c r="J112" i="3" s="1"/>
  <c r="I112" i="3"/>
  <c r="K112" i="3" a="1"/>
  <c r="K112" i="3" s="1"/>
  <c r="L112" i="3"/>
  <c r="N112" i="3"/>
  <c r="Q112" i="3" s="1"/>
  <c r="O112" i="3" a="1"/>
  <c r="O112" i="3" s="1"/>
  <c r="N113" i="3" s="1"/>
  <c r="R112" i="3" a="1"/>
  <c r="R112" i="3" s="1"/>
  <c r="T112" i="3" s="1"/>
  <c r="H113" i="3" a="1"/>
  <c r="H113" i="3"/>
  <c r="J113" i="3" s="1"/>
  <c r="I113" i="3"/>
  <c r="K113" i="3" a="1"/>
  <c r="K113" i="3"/>
  <c r="L113" i="3" s="1"/>
  <c r="R113" i="3" a="1"/>
  <c r="R113" i="3" s="1"/>
  <c r="V113" i="3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H114" i="3" a="1"/>
  <c r="H114" i="3"/>
  <c r="J114" i="3" s="1"/>
  <c r="I114" i="3"/>
  <c r="K114" i="3" a="1"/>
  <c r="K114" i="3"/>
  <c r="L114" i="3"/>
  <c r="R114" i="3" a="1"/>
  <c r="R114" i="3"/>
  <c r="H115" i="3" a="1"/>
  <c r="H115" i="3" s="1"/>
  <c r="J115" i="3" s="1"/>
  <c r="I115" i="3"/>
  <c r="K115" i="3" a="1"/>
  <c r="K115" i="3" s="1"/>
  <c r="L115" i="3" s="1"/>
  <c r="R115" i="3" a="1"/>
  <c r="R115" i="3"/>
  <c r="H116" i="3" a="1"/>
  <c r="H116" i="3" s="1"/>
  <c r="J116" i="3" s="1"/>
  <c r="I116" i="3"/>
  <c r="K116" i="3" a="1"/>
  <c r="K116" i="3" s="1"/>
  <c r="L116" i="3" s="1"/>
  <c r="R116" i="3" a="1"/>
  <c r="R116" i="3" s="1"/>
  <c r="H117" i="3" a="1"/>
  <c r="H117" i="3"/>
  <c r="J117" i="3" s="1"/>
  <c r="I117" i="3"/>
  <c r="K117" i="3" a="1"/>
  <c r="K117" i="3"/>
  <c r="L117" i="3" s="1"/>
  <c r="R117" i="3" a="1"/>
  <c r="R117" i="3" s="1"/>
  <c r="H118" i="3" a="1"/>
  <c r="H118" i="3"/>
  <c r="J118" i="3" s="1"/>
  <c r="I118" i="3"/>
  <c r="K118" i="3" a="1"/>
  <c r="K118" i="3"/>
  <c r="L118" i="3"/>
  <c r="R118" i="3" a="1"/>
  <c r="R118" i="3"/>
  <c r="H119" i="3" a="1"/>
  <c r="H119" i="3" s="1"/>
  <c r="J119" i="3" s="1"/>
  <c r="I119" i="3"/>
  <c r="K119" i="3" a="1"/>
  <c r="K119" i="3" s="1"/>
  <c r="L119" i="3" s="1"/>
  <c r="R119" i="3" a="1"/>
  <c r="R119" i="3"/>
  <c r="H120" i="3" a="1"/>
  <c r="H120" i="3" s="1"/>
  <c r="J120" i="3" s="1"/>
  <c r="I120" i="3"/>
  <c r="K120" i="3" a="1"/>
  <c r="K120" i="3" s="1"/>
  <c r="L120" i="3" s="1"/>
  <c r="R120" i="3" a="1"/>
  <c r="R120" i="3" s="1"/>
  <c r="H121" i="3" a="1"/>
  <c r="H121" i="3"/>
  <c r="J121" i="3" s="1"/>
  <c r="I121" i="3"/>
  <c r="K121" i="3" a="1"/>
  <c r="K121" i="3"/>
  <c r="L121" i="3" s="1"/>
  <c r="R121" i="3" a="1"/>
  <c r="R121" i="3" s="1"/>
  <c r="H122" i="3" a="1"/>
  <c r="H122" i="3"/>
  <c r="J122" i="3" s="1"/>
  <c r="I122" i="3"/>
  <c r="K122" i="3" a="1"/>
  <c r="K122" i="3"/>
  <c r="L122" i="3"/>
  <c r="R122" i="3" a="1"/>
  <c r="R122" i="3"/>
  <c r="H123" i="3" a="1"/>
  <c r="H123" i="3" s="1"/>
  <c r="J123" i="3" s="1"/>
  <c r="I123" i="3"/>
  <c r="K123" i="3" a="1"/>
  <c r="K123" i="3" s="1"/>
  <c r="L123" i="3" s="1"/>
  <c r="R123" i="3" a="1"/>
  <c r="R123" i="3"/>
  <c r="H124" i="3" a="1"/>
  <c r="H124" i="3" s="1"/>
  <c r="J124" i="3" s="1"/>
  <c r="I124" i="3"/>
  <c r="K124" i="3" a="1"/>
  <c r="K124" i="3" s="1"/>
  <c r="L124" i="3" s="1"/>
  <c r="R124" i="3" a="1"/>
  <c r="R124" i="3" s="1"/>
  <c r="H125" i="3" a="1"/>
  <c r="H125" i="3"/>
  <c r="J125" i="3" s="1"/>
  <c r="I125" i="3"/>
  <c r="K125" i="3" a="1"/>
  <c r="K125" i="3" s="1"/>
  <c r="L125" i="3"/>
  <c r="N125" i="3"/>
  <c r="Q125" i="3" s="1"/>
  <c r="O125" i="3" a="1"/>
  <c r="O125" i="3" s="1"/>
  <c r="N126" i="3" s="1"/>
  <c r="R125" i="3" a="1"/>
  <c r="R125" i="3" s="1"/>
  <c r="T125" i="3" s="1"/>
  <c r="H126" i="3" a="1"/>
  <c r="H126" i="3"/>
  <c r="J126" i="3" s="1"/>
  <c r="I126" i="3"/>
  <c r="K126" i="3" a="1"/>
  <c r="K126" i="3"/>
  <c r="L126" i="3"/>
  <c r="R126" i="3" a="1"/>
  <c r="R126" i="3" s="1"/>
  <c r="V126" i="3"/>
  <c r="V127" i="3" s="1"/>
  <c r="H127" i="3" a="1"/>
  <c r="H127" i="3" s="1"/>
  <c r="J127" i="3" s="1"/>
  <c r="I127" i="3"/>
  <c r="K127" i="3" a="1"/>
  <c r="K127" i="3" s="1"/>
  <c r="L127" i="3" s="1"/>
  <c r="R127" i="3" a="1"/>
  <c r="R127" i="3" s="1"/>
  <c r="H128" i="3" a="1"/>
  <c r="H128" i="3"/>
  <c r="J128" i="3" s="1"/>
  <c r="I128" i="3"/>
  <c r="K128" i="3" a="1"/>
  <c r="K128" i="3"/>
  <c r="L128" i="3" s="1"/>
  <c r="R128" i="3" a="1"/>
  <c r="R128" i="3" s="1"/>
  <c r="H129" i="3" a="1"/>
  <c r="H129" i="3" s="1"/>
  <c r="J129" i="3" s="1"/>
  <c r="I129" i="3"/>
  <c r="K129" i="3" a="1"/>
  <c r="K129" i="3" s="1"/>
  <c r="L129" i="3" s="1"/>
  <c r="R129" i="3" a="1"/>
  <c r="R129" i="3"/>
  <c r="H130" i="3" a="1"/>
  <c r="H130" i="3"/>
  <c r="I130" i="3"/>
  <c r="J130" i="3"/>
  <c r="K130" i="3" a="1"/>
  <c r="K130" i="3" s="1"/>
  <c r="R130" i="3" a="1"/>
  <c r="R130" i="3" s="1"/>
  <c r="H131" i="3" a="1"/>
  <c r="H131" i="3" s="1"/>
  <c r="J131" i="3" s="1"/>
  <c r="I131" i="3"/>
  <c r="K131" i="3" a="1"/>
  <c r="K131" i="3" s="1"/>
  <c r="L131" i="3" s="1"/>
  <c r="R131" i="3" a="1"/>
  <c r="R131" i="3" s="1"/>
  <c r="H132" i="3" a="1"/>
  <c r="H132" i="3"/>
  <c r="J132" i="3" s="1"/>
  <c r="I132" i="3"/>
  <c r="K132" i="3" a="1"/>
  <c r="K132" i="3"/>
  <c r="L132" i="3" s="1"/>
  <c r="R132" i="3" a="1"/>
  <c r="R132" i="3" s="1"/>
  <c r="H133" i="3" a="1"/>
  <c r="H133" i="3" s="1"/>
  <c r="J133" i="3" s="1"/>
  <c r="I133" i="3"/>
  <c r="K133" i="3" a="1"/>
  <c r="K133" i="3" s="1"/>
  <c r="L133" i="3" s="1"/>
  <c r="R133" i="3" a="1"/>
  <c r="R133" i="3"/>
  <c r="H134" i="3" a="1"/>
  <c r="H134" i="3"/>
  <c r="I134" i="3"/>
  <c r="J134" i="3"/>
  <c r="K134" i="3" a="1"/>
  <c r="K134" i="3" s="1"/>
  <c r="R134" i="3" a="1"/>
  <c r="R134" i="3" s="1"/>
  <c r="H135" i="3" a="1"/>
  <c r="H135" i="3" s="1"/>
  <c r="J135" i="3" s="1"/>
  <c r="I135" i="3"/>
  <c r="K135" i="3" a="1"/>
  <c r="K135" i="3" s="1"/>
  <c r="L135" i="3" s="1"/>
  <c r="R135" i="3" a="1"/>
  <c r="R135" i="3" s="1"/>
  <c r="H136" i="3" a="1"/>
  <c r="H136" i="3"/>
  <c r="J136" i="3" s="1"/>
  <c r="I136" i="3"/>
  <c r="K136" i="3" a="1"/>
  <c r="K136" i="3"/>
  <c r="L136" i="3" s="1"/>
  <c r="R136" i="3" a="1"/>
  <c r="R136" i="3" s="1"/>
  <c r="H137" i="3" a="1"/>
  <c r="H137" i="3" s="1"/>
  <c r="J137" i="3" s="1"/>
  <c r="I137" i="3"/>
  <c r="K137" i="3" a="1"/>
  <c r="K137" i="3" s="1"/>
  <c r="L137" i="3" s="1"/>
  <c r="R137" i="3" a="1"/>
  <c r="R137" i="3"/>
  <c r="H138" i="3" a="1"/>
  <c r="H138" i="3"/>
  <c r="I138" i="3"/>
  <c r="J138" i="3"/>
  <c r="K138" i="3" a="1"/>
  <c r="K138" i="3" s="1"/>
  <c r="R138" i="3" a="1"/>
  <c r="R138" i="3" s="1"/>
  <c r="H139" i="3" a="1"/>
  <c r="H139" i="3" s="1"/>
  <c r="J139" i="3" s="1"/>
  <c r="I139" i="3"/>
  <c r="K139" i="3" a="1"/>
  <c r="K139" i="3" s="1"/>
  <c r="L139" i="3" s="1"/>
  <c r="R139" i="3" a="1"/>
  <c r="R139" i="3" s="1"/>
  <c r="H140" i="3" a="1"/>
  <c r="H140" i="3"/>
  <c r="J140" i="3" s="1"/>
  <c r="I140" i="3"/>
  <c r="K140" i="3" a="1"/>
  <c r="K140" i="3"/>
  <c r="L140" i="3" s="1"/>
  <c r="R140" i="3" a="1"/>
  <c r="R140" i="3" s="1"/>
  <c r="H141" i="3" a="1"/>
  <c r="H141" i="3" s="1"/>
  <c r="J141" i="3" s="1"/>
  <c r="I141" i="3"/>
  <c r="K141" i="3" a="1"/>
  <c r="K141" i="3" s="1"/>
  <c r="L141" i="3" s="1"/>
  <c r="R141" i="3" a="1"/>
  <c r="R141" i="3"/>
  <c r="H142" i="3" a="1"/>
  <c r="H142" i="3"/>
  <c r="I142" i="3"/>
  <c r="J142" i="3"/>
  <c r="K142" i="3" a="1"/>
  <c r="K142" i="3" s="1"/>
  <c r="R142" i="3" a="1"/>
  <c r="R142" i="3" s="1"/>
  <c r="H143" i="3" a="1"/>
  <c r="H143" i="3" s="1"/>
  <c r="J143" i="3" s="1"/>
  <c r="I143" i="3"/>
  <c r="K143" i="3" a="1"/>
  <c r="K143" i="3" s="1"/>
  <c r="L143" i="3" s="1"/>
  <c r="R143" i="3" a="1"/>
  <c r="R143" i="3" s="1"/>
  <c r="H144" i="3" a="1"/>
  <c r="H144" i="3"/>
  <c r="J144" i="3" s="1"/>
  <c r="I144" i="3"/>
  <c r="K144" i="3" a="1"/>
  <c r="K144" i="3"/>
  <c r="L144" i="3" s="1"/>
  <c r="R144" i="3" a="1"/>
  <c r="R144" i="3" s="1"/>
  <c r="H145" i="3" a="1"/>
  <c r="H145" i="3" s="1"/>
  <c r="J145" i="3" s="1"/>
  <c r="I145" i="3"/>
  <c r="K145" i="3" a="1"/>
  <c r="K145" i="3" s="1"/>
  <c r="L145" i="3" s="1"/>
  <c r="R145" i="3" a="1"/>
  <c r="R145" i="3"/>
  <c r="H146" i="3" a="1"/>
  <c r="H146" i="3"/>
  <c r="I146" i="3"/>
  <c r="J146" i="3"/>
  <c r="M146" i="3" s="1"/>
  <c r="K146" i="3" a="1"/>
  <c r="K146" i="3" s="1"/>
  <c r="L146" i="3" s="1"/>
  <c r="S146" i="3" s="1"/>
  <c r="R146" i="3" a="1"/>
  <c r="R146" i="3" s="1"/>
  <c r="H147" i="3" a="1"/>
  <c r="H147" i="3" s="1"/>
  <c r="J147" i="3" s="1"/>
  <c r="I147" i="3"/>
  <c r="K147" i="3" a="1"/>
  <c r="K147" i="3"/>
  <c r="L147" i="3" s="1"/>
  <c r="R147" i="3" a="1"/>
  <c r="R147" i="3" s="1"/>
  <c r="H148" i="3" a="1"/>
  <c r="H148" i="3" s="1"/>
  <c r="J148" i="3" s="1"/>
  <c r="I148" i="3"/>
  <c r="K148" i="3" a="1"/>
  <c r="K148" i="3" s="1"/>
  <c r="L148" i="3" s="1"/>
  <c r="R148" i="3" a="1"/>
  <c r="R148" i="3"/>
  <c r="H149" i="3" a="1"/>
  <c r="H149" i="3" s="1"/>
  <c r="J149" i="3" s="1"/>
  <c r="I149" i="3"/>
  <c r="K149" i="3" a="1"/>
  <c r="K149" i="3" s="1"/>
  <c r="L149" i="3"/>
  <c r="N149" i="3"/>
  <c r="Q149" i="3" s="1"/>
  <c r="O149" i="3" a="1"/>
  <c r="O149" i="3" s="1"/>
  <c r="N150" i="3" s="1"/>
  <c r="R149" i="3" a="1"/>
  <c r="R149" i="3" s="1"/>
  <c r="T149" i="3" s="1"/>
  <c r="H150" i="3" a="1"/>
  <c r="H150" i="3" s="1"/>
  <c r="J150" i="3" s="1"/>
  <c r="I150" i="3"/>
  <c r="K150" i="3" a="1"/>
  <c r="K150" i="3" s="1"/>
  <c r="L150" i="3" s="1"/>
  <c r="R150" i="3" a="1"/>
  <c r="R150" i="3" s="1"/>
  <c r="V150" i="3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H151" i="3" a="1"/>
  <c r="H151" i="3"/>
  <c r="J151" i="3" s="1"/>
  <c r="I151" i="3"/>
  <c r="K151" i="3" a="1"/>
  <c r="K151" i="3"/>
  <c r="L151" i="3" s="1"/>
  <c r="R151" i="3" a="1"/>
  <c r="R151" i="3" s="1"/>
  <c r="H152" i="3" a="1"/>
  <c r="H152" i="3"/>
  <c r="I152" i="3"/>
  <c r="J152" i="3" s="1"/>
  <c r="K152" i="3" a="1"/>
  <c r="K152" i="3" s="1"/>
  <c r="L152" i="3" s="1"/>
  <c r="R152" i="3" a="1"/>
  <c r="R152" i="3"/>
  <c r="H153" i="3" a="1"/>
  <c r="H153" i="3" s="1"/>
  <c r="J153" i="3" s="1"/>
  <c r="I153" i="3"/>
  <c r="K153" i="3" a="1"/>
  <c r="K153" i="3" s="1"/>
  <c r="L153" i="3" s="1"/>
  <c r="R153" i="3" a="1"/>
  <c r="R153" i="3" s="1"/>
  <c r="H154" i="3" a="1"/>
  <c r="H154" i="3" s="1"/>
  <c r="J154" i="3" s="1"/>
  <c r="I154" i="3"/>
  <c r="K154" i="3" a="1"/>
  <c r="K154" i="3" s="1"/>
  <c r="L154" i="3" s="1"/>
  <c r="R154" i="3" a="1"/>
  <c r="R154" i="3" s="1"/>
  <c r="H155" i="3" a="1"/>
  <c r="H155" i="3"/>
  <c r="J155" i="3" s="1"/>
  <c r="I155" i="3"/>
  <c r="K155" i="3" a="1"/>
  <c r="K155" i="3"/>
  <c r="L155" i="3" s="1"/>
  <c r="R155" i="3" a="1"/>
  <c r="R155" i="3" s="1"/>
  <c r="H156" i="3" a="1"/>
  <c r="H156" i="3"/>
  <c r="I156" i="3"/>
  <c r="J156" i="3" s="1"/>
  <c r="K156" i="3" a="1"/>
  <c r="K156" i="3" s="1"/>
  <c r="L156" i="3" s="1"/>
  <c r="R156" i="3" a="1"/>
  <c r="R156" i="3"/>
  <c r="H157" i="3" a="1"/>
  <c r="H157" i="3" s="1"/>
  <c r="J157" i="3" s="1"/>
  <c r="I157" i="3"/>
  <c r="K157" i="3" a="1"/>
  <c r="K157" i="3" s="1"/>
  <c r="L157" i="3" s="1"/>
  <c r="R157" i="3" a="1"/>
  <c r="R157" i="3" s="1"/>
  <c r="H158" i="3" a="1"/>
  <c r="H158" i="3" s="1"/>
  <c r="J158" i="3" s="1"/>
  <c r="I158" i="3"/>
  <c r="K158" i="3" a="1"/>
  <c r="K158" i="3" s="1"/>
  <c r="L158" i="3" s="1"/>
  <c r="R158" i="3" a="1"/>
  <c r="R158" i="3" s="1"/>
  <c r="H159" i="3" a="1"/>
  <c r="H159" i="3"/>
  <c r="J159" i="3" s="1"/>
  <c r="I159" i="3"/>
  <c r="K159" i="3" a="1"/>
  <c r="K159" i="3"/>
  <c r="L159" i="3" s="1"/>
  <c r="R159" i="3" a="1"/>
  <c r="R159" i="3" s="1"/>
  <c r="H160" i="3" a="1"/>
  <c r="H160" i="3" s="1"/>
  <c r="J160" i="3" s="1"/>
  <c r="I160" i="3"/>
  <c r="K160" i="3" a="1"/>
  <c r="K160" i="3" s="1"/>
  <c r="L160" i="3" s="1"/>
  <c r="R160" i="3" a="1"/>
  <c r="R160" i="3"/>
  <c r="H161" i="3" a="1"/>
  <c r="H161" i="3" s="1"/>
  <c r="J161" i="3" s="1"/>
  <c r="I161" i="3"/>
  <c r="K161" i="3" a="1"/>
  <c r="K161" i="3" s="1"/>
  <c r="L161" i="3" s="1"/>
  <c r="R161" i="3" a="1"/>
  <c r="R161" i="3" s="1"/>
  <c r="H162" i="3" a="1"/>
  <c r="H162" i="3" s="1"/>
  <c r="J162" i="3" s="1"/>
  <c r="I162" i="3"/>
  <c r="K162" i="3" a="1"/>
  <c r="K162" i="3" s="1"/>
  <c r="L162" i="3" s="1"/>
  <c r="R162" i="3" a="1"/>
  <c r="R162" i="3" s="1"/>
  <c r="H163" i="3" a="1"/>
  <c r="H163" i="3"/>
  <c r="J163" i="3" s="1"/>
  <c r="I163" i="3"/>
  <c r="K163" i="3" a="1"/>
  <c r="K163" i="3"/>
  <c r="L163" i="3"/>
  <c r="N163" i="3"/>
  <c r="O163" i="3" a="1"/>
  <c r="O163" i="3" s="1"/>
  <c r="N164" i="3" s="1"/>
  <c r="Q163" i="3"/>
  <c r="R163" i="3" a="1"/>
  <c r="R163" i="3" s="1"/>
  <c r="T163" i="3" s="1"/>
  <c r="H164" i="3" a="1"/>
  <c r="H164" i="3"/>
  <c r="I164" i="3"/>
  <c r="J164" i="3" s="1"/>
  <c r="K164" i="3" a="1"/>
  <c r="K164" i="3" s="1"/>
  <c r="L164" i="3"/>
  <c r="R164" i="3" a="1"/>
  <c r="R164" i="3"/>
  <c r="V164" i="3"/>
  <c r="V165" i="3" s="1"/>
  <c r="V166" i="3" s="1"/>
  <c r="H165" i="3" a="1"/>
  <c r="H165" i="3" s="1"/>
  <c r="J165" i="3" s="1"/>
  <c r="I165" i="3"/>
  <c r="K165" i="3" a="1"/>
  <c r="K165" i="3" s="1"/>
  <c r="L165" i="3" s="1"/>
  <c r="R165" i="3" a="1"/>
  <c r="R165" i="3" s="1"/>
  <c r="H166" i="3" a="1"/>
  <c r="H166" i="3" s="1"/>
  <c r="J166" i="3" s="1"/>
  <c r="I166" i="3"/>
  <c r="K166" i="3" a="1"/>
  <c r="K166" i="3"/>
  <c r="L166" i="3" s="1"/>
  <c r="R166" i="3" a="1"/>
  <c r="R166" i="3" s="1"/>
  <c r="H167" i="3" a="1"/>
  <c r="H167" i="3"/>
  <c r="J167" i="3" s="1"/>
  <c r="M167" i="3" s="1"/>
  <c r="I167" i="3"/>
  <c r="K167" i="3" a="1"/>
  <c r="K167" i="3"/>
  <c r="L167" i="3"/>
  <c r="R167" i="3" a="1"/>
  <c r="R167" i="3"/>
  <c r="V167" i="3"/>
  <c r="V168" i="3" s="1"/>
  <c r="V169" i="3" s="1"/>
  <c r="V170" i="3" s="1"/>
  <c r="V171" i="3" s="1"/>
  <c r="V172" i="3" s="1"/>
  <c r="V173" i="3" s="1"/>
  <c r="V174" i="3" s="1"/>
  <c r="V175" i="3" s="1"/>
  <c r="H168" i="3" a="1"/>
  <c r="H168" i="3"/>
  <c r="I168" i="3"/>
  <c r="J168" i="3"/>
  <c r="K168" i="3" a="1"/>
  <c r="K168" i="3" s="1"/>
  <c r="R168" i="3" a="1"/>
  <c r="R168" i="3"/>
  <c r="H169" i="3" a="1"/>
  <c r="H169" i="3" s="1"/>
  <c r="J169" i="3" s="1"/>
  <c r="I169" i="3"/>
  <c r="K169" i="3" a="1"/>
  <c r="K169" i="3" s="1"/>
  <c r="L169" i="3" s="1"/>
  <c r="R169" i="3" a="1"/>
  <c r="R169" i="3" s="1"/>
  <c r="H170" i="3" a="1"/>
  <c r="H170" i="3"/>
  <c r="J170" i="3" s="1"/>
  <c r="I170" i="3"/>
  <c r="K170" i="3" a="1"/>
  <c r="K170" i="3"/>
  <c r="L170" i="3" s="1"/>
  <c r="R170" i="3" a="1"/>
  <c r="R170" i="3" s="1"/>
  <c r="H171" i="3" a="1"/>
  <c r="H171" i="3"/>
  <c r="J171" i="3" s="1"/>
  <c r="I171" i="3"/>
  <c r="K171" i="3" a="1"/>
  <c r="K171" i="3" s="1"/>
  <c r="L171" i="3" s="1"/>
  <c r="R171" i="3" a="1"/>
  <c r="R171" i="3"/>
  <c r="H172" i="3" a="1"/>
  <c r="H172" i="3" s="1"/>
  <c r="J172" i="3" s="1"/>
  <c r="I172" i="3"/>
  <c r="K172" i="3" a="1"/>
  <c r="K172" i="3" s="1"/>
  <c r="L172" i="3" s="1"/>
  <c r="R172" i="3" a="1"/>
  <c r="R172" i="3" s="1"/>
  <c r="H173" i="3" a="1"/>
  <c r="H173" i="3" s="1"/>
  <c r="J173" i="3" s="1"/>
  <c r="I173" i="3"/>
  <c r="K173" i="3" a="1"/>
  <c r="K173" i="3" s="1"/>
  <c r="L173" i="3" s="1"/>
  <c r="R173" i="3" a="1"/>
  <c r="R173" i="3" s="1"/>
  <c r="H174" i="3" a="1"/>
  <c r="H174" i="3"/>
  <c r="J174" i="3" s="1"/>
  <c r="I174" i="3"/>
  <c r="K174" i="3" a="1"/>
  <c r="K174" i="3"/>
  <c r="L174" i="3" s="1"/>
  <c r="R174" i="3" a="1"/>
  <c r="R174" i="3" s="1"/>
  <c r="H175" i="3" a="1"/>
  <c r="H175" i="3"/>
  <c r="J175" i="3" s="1"/>
  <c r="I175" i="3"/>
  <c r="K175" i="3" a="1"/>
  <c r="K175" i="3" s="1"/>
  <c r="L175" i="3" s="1"/>
  <c r="R175" i="3" a="1"/>
  <c r="R175" i="3"/>
  <c r="H176" i="3" a="1"/>
  <c r="H176" i="3" s="1"/>
  <c r="J176" i="3" s="1"/>
  <c r="I176" i="3"/>
  <c r="K176" i="3" a="1"/>
  <c r="K176" i="3" s="1"/>
  <c r="L176" i="3"/>
  <c r="N176" i="3"/>
  <c r="Q176" i="3" s="1"/>
  <c r="O176" i="3" a="1"/>
  <c r="O176" i="3" s="1"/>
  <c r="N177" i="3" s="1"/>
  <c r="R176" i="3" a="1"/>
  <c r="R176" i="3" s="1"/>
  <c r="T176" i="3" s="1"/>
  <c r="H177" i="3" a="1"/>
  <c r="H177" i="3" s="1"/>
  <c r="J177" i="3" s="1"/>
  <c r="I177" i="3"/>
  <c r="K177" i="3" a="1"/>
  <c r="K177" i="3" s="1"/>
  <c r="L177" i="3" s="1"/>
  <c r="R177" i="3" a="1"/>
  <c r="R177" i="3" s="1"/>
  <c r="V177" i="3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H178" i="3" a="1"/>
  <c r="H178" i="3"/>
  <c r="J178" i="3" s="1"/>
  <c r="I178" i="3"/>
  <c r="K178" i="3" a="1"/>
  <c r="K178" i="3"/>
  <c r="L178" i="3" s="1"/>
  <c r="R178" i="3" a="1"/>
  <c r="R178" i="3" s="1"/>
  <c r="H179" i="3" a="1"/>
  <c r="H179" i="3"/>
  <c r="J179" i="3" s="1"/>
  <c r="I179" i="3"/>
  <c r="K179" i="3" a="1"/>
  <c r="K179" i="3" s="1"/>
  <c r="L179" i="3" s="1"/>
  <c r="R179" i="3" a="1"/>
  <c r="R179" i="3"/>
  <c r="H180" i="3" a="1"/>
  <c r="H180" i="3" s="1"/>
  <c r="J180" i="3" s="1"/>
  <c r="I180" i="3"/>
  <c r="K180" i="3" a="1"/>
  <c r="K180" i="3" s="1"/>
  <c r="L180" i="3" s="1"/>
  <c r="R180" i="3" a="1"/>
  <c r="R180" i="3" s="1"/>
  <c r="H181" i="3" a="1"/>
  <c r="H181" i="3" s="1"/>
  <c r="J181" i="3" s="1"/>
  <c r="I181" i="3"/>
  <c r="K181" i="3" a="1"/>
  <c r="K181" i="3" s="1"/>
  <c r="L181" i="3" s="1"/>
  <c r="R181" i="3" a="1"/>
  <c r="R181" i="3" s="1"/>
  <c r="H182" i="3" a="1"/>
  <c r="H182" i="3"/>
  <c r="J182" i="3" s="1"/>
  <c r="I182" i="3"/>
  <c r="K182" i="3" a="1"/>
  <c r="K182" i="3"/>
  <c r="L182" i="3" s="1"/>
  <c r="R182" i="3" a="1"/>
  <c r="R182" i="3" s="1"/>
  <c r="H183" i="3" a="1"/>
  <c r="H183" i="3"/>
  <c r="J183" i="3" s="1"/>
  <c r="I183" i="3"/>
  <c r="K183" i="3" a="1"/>
  <c r="K183" i="3" s="1"/>
  <c r="L183" i="3" s="1"/>
  <c r="R183" i="3" a="1"/>
  <c r="R183" i="3"/>
  <c r="H184" i="3" a="1"/>
  <c r="H184" i="3" s="1"/>
  <c r="J184" i="3" s="1"/>
  <c r="I184" i="3"/>
  <c r="K184" i="3" a="1"/>
  <c r="K184" i="3" s="1"/>
  <c r="L184" i="3" s="1"/>
  <c r="R184" i="3" a="1"/>
  <c r="R184" i="3" s="1"/>
  <c r="H185" i="3" a="1"/>
  <c r="H185" i="3" s="1"/>
  <c r="J185" i="3" s="1"/>
  <c r="I185" i="3"/>
  <c r="K185" i="3" a="1"/>
  <c r="K185" i="3" s="1"/>
  <c r="L185" i="3" s="1"/>
  <c r="R185" i="3" a="1"/>
  <c r="R185" i="3" s="1"/>
  <c r="H186" i="3" a="1"/>
  <c r="H186" i="3"/>
  <c r="J186" i="3" s="1"/>
  <c r="I186" i="3"/>
  <c r="K186" i="3" a="1"/>
  <c r="K186" i="3"/>
  <c r="L186" i="3" s="1"/>
  <c r="R186" i="3" a="1"/>
  <c r="R186" i="3" s="1"/>
  <c r="H187" i="3" a="1"/>
  <c r="H187" i="3"/>
  <c r="J187" i="3" s="1"/>
  <c r="I187" i="3"/>
  <c r="K187" i="3" a="1"/>
  <c r="K187" i="3" s="1"/>
  <c r="L187" i="3" s="1"/>
  <c r="R187" i="3" a="1"/>
  <c r="R187" i="3"/>
  <c r="H188" i="3" a="1"/>
  <c r="H188" i="3" s="1"/>
  <c r="J188" i="3" s="1"/>
  <c r="I188" i="3"/>
  <c r="K188" i="3" a="1"/>
  <c r="K188" i="3" s="1"/>
  <c r="L188" i="3" s="1"/>
  <c r="R188" i="3" a="1"/>
  <c r="R188" i="3" s="1"/>
  <c r="H189" i="3" a="1"/>
  <c r="H189" i="3" s="1"/>
  <c r="J189" i="3" s="1"/>
  <c r="I189" i="3"/>
  <c r="K189" i="3" a="1"/>
  <c r="K189" i="3" s="1"/>
  <c r="L189" i="3"/>
  <c r="N189" i="3"/>
  <c r="Q189" i="3" s="1"/>
  <c r="O189" i="3" a="1"/>
  <c r="O189" i="3" s="1"/>
  <c r="N190" i="3" s="1"/>
  <c r="R189" i="3" a="1"/>
  <c r="R189" i="3" s="1"/>
  <c r="T189" i="3" s="1"/>
  <c r="H190" i="3" a="1"/>
  <c r="H190" i="3"/>
  <c r="J190" i="3" s="1"/>
  <c r="I190" i="3"/>
  <c r="K190" i="3" a="1"/>
  <c r="K190" i="3"/>
  <c r="L190" i="3" s="1"/>
  <c r="R190" i="3" a="1"/>
  <c r="R190" i="3" s="1"/>
  <c r="V190" i="3"/>
  <c r="V191" i="3" s="1"/>
  <c r="V192" i="3" s="1"/>
  <c r="H191" i="3" a="1"/>
  <c r="H191" i="3"/>
  <c r="J191" i="3" s="1"/>
  <c r="I191" i="3"/>
  <c r="K191" i="3" a="1"/>
  <c r="K191" i="3" s="1"/>
  <c r="L191" i="3" s="1"/>
  <c r="R191" i="3" a="1"/>
  <c r="R191" i="3"/>
  <c r="H192" i="3" a="1"/>
  <c r="H192" i="3" s="1"/>
  <c r="J192" i="3" s="1"/>
  <c r="I192" i="3"/>
  <c r="K192" i="3" a="1"/>
  <c r="K192" i="3" s="1"/>
  <c r="L192" i="3" s="1"/>
  <c r="R192" i="3" a="1"/>
  <c r="R192" i="3" s="1"/>
  <c r="H193" i="3" a="1"/>
  <c r="H193" i="3" s="1"/>
  <c r="J193" i="3" s="1"/>
  <c r="I193" i="3"/>
  <c r="K193" i="3" a="1"/>
  <c r="K193" i="3" s="1"/>
  <c r="L193" i="3" s="1"/>
  <c r="R193" i="3" a="1"/>
  <c r="R193" i="3" s="1"/>
  <c r="H194" i="3" a="1"/>
  <c r="H194" i="3"/>
  <c r="J194" i="3" s="1"/>
  <c r="I194" i="3"/>
  <c r="K194" i="3" a="1"/>
  <c r="K194" i="3"/>
  <c r="L194" i="3" s="1"/>
  <c r="R194" i="3" a="1"/>
  <c r="R194" i="3" s="1"/>
  <c r="H195" i="3" a="1"/>
  <c r="H195" i="3"/>
  <c r="J195" i="3" s="1"/>
  <c r="I195" i="3"/>
  <c r="K195" i="3" a="1"/>
  <c r="K195" i="3" s="1"/>
  <c r="L195" i="3" s="1"/>
  <c r="R195" i="3" a="1"/>
  <c r="R195" i="3"/>
  <c r="H196" i="3" a="1"/>
  <c r="H196" i="3" s="1"/>
  <c r="J196" i="3" s="1"/>
  <c r="I196" i="3"/>
  <c r="K196" i="3" a="1"/>
  <c r="K196" i="3" s="1"/>
  <c r="L196" i="3" s="1"/>
  <c r="R196" i="3" a="1"/>
  <c r="R196" i="3" s="1"/>
  <c r="H197" i="3" a="1"/>
  <c r="H197" i="3" s="1"/>
  <c r="J197" i="3" s="1"/>
  <c r="I197" i="3"/>
  <c r="K197" i="3" a="1"/>
  <c r="K197" i="3" s="1"/>
  <c r="L197" i="3" s="1"/>
  <c r="R197" i="3" a="1"/>
  <c r="R197" i="3" s="1"/>
  <c r="H198" i="3" a="1"/>
  <c r="H198" i="3"/>
  <c r="J198" i="3" s="1"/>
  <c r="I198" i="3"/>
  <c r="K198" i="3" a="1"/>
  <c r="K198" i="3"/>
  <c r="L198" i="3" s="1"/>
  <c r="R198" i="3" a="1"/>
  <c r="R198" i="3" s="1"/>
  <c r="H199" i="3" a="1"/>
  <c r="H199" i="3"/>
  <c r="J199" i="3" s="1"/>
  <c r="I199" i="3"/>
  <c r="K199" i="3" a="1"/>
  <c r="K199" i="3" s="1"/>
  <c r="L199" i="3" s="1"/>
  <c r="R199" i="3" a="1"/>
  <c r="R199" i="3"/>
  <c r="H200" i="3" a="1"/>
  <c r="H200" i="3"/>
  <c r="I200" i="3"/>
  <c r="J200" i="3"/>
  <c r="K200" i="3" a="1"/>
  <c r="K200" i="3" s="1"/>
  <c r="R200" i="3" a="1"/>
  <c r="R200" i="3" s="1"/>
  <c r="H201" i="3" a="1"/>
  <c r="H201" i="3" s="1"/>
  <c r="J201" i="3" s="1"/>
  <c r="I201" i="3"/>
  <c r="K201" i="3" a="1"/>
  <c r="K201" i="3" s="1"/>
  <c r="L201" i="3" s="1"/>
  <c r="R201" i="3" a="1"/>
  <c r="R201" i="3" s="1"/>
  <c r="H202" i="3" a="1"/>
  <c r="H202" i="3"/>
  <c r="J202" i="3" s="1"/>
  <c r="I202" i="3"/>
  <c r="K202" i="3" a="1"/>
  <c r="K202" i="3"/>
  <c r="L202" i="3" s="1"/>
  <c r="R202" i="3" a="1"/>
  <c r="R202" i="3" s="1"/>
  <c r="H203" i="3" a="1"/>
  <c r="H203" i="3"/>
  <c r="J203" i="3" s="1"/>
  <c r="I203" i="3"/>
  <c r="K203" i="3" a="1"/>
  <c r="K203" i="3" s="1"/>
  <c r="L203" i="3" s="1"/>
  <c r="R203" i="3" a="1"/>
  <c r="R203" i="3"/>
  <c r="H204" i="3" a="1"/>
  <c r="H204" i="3" s="1"/>
  <c r="J204" i="3" s="1"/>
  <c r="I204" i="3"/>
  <c r="K204" i="3" a="1"/>
  <c r="K204" i="3" s="1"/>
  <c r="L204" i="3" s="1"/>
  <c r="R204" i="3" a="1"/>
  <c r="R204" i="3" s="1"/>
  <c r="H205" i="3" a="1"/>
  <c r="H205" i="3" s="1"/>
  <c r="J205" i="3" s="1"/>
  <c r="I205" i="3"/>
  <c r="K205" i="3" a="1"/>
  <c r="K205" i="3" s="1"/>
  <c r="L205" i="3" s="1"/>
  <c r="R205" i="3" a="1"/>
  <c r="R205" i="3" s="1"/>
  <c r="H206" i="3" a="1"/>
  <c r="H206" i="3"/>
  <c r="J206" i="3" s="1"/>
  <c r="I206" i="3"/>
  <c r="K206" i="3" a="1"/>
  <c r="K206" i="3"/>
  <c r="L206" i="3" s="1"/>
  <c r="R206" i="3" a="1"/>
  <c r="R206" i="3" s="1"/>
  <c r="H207" i="3" a="1"/>
  <c r="H207" i="3"/>
  <c r="I207" i="3"/>
  <c r="K207" i="3" a="1"/>
  <c r="K207" i="3" s="1"/>
  <c r="L207" i="3"/>
  <c r="R207" i="3" a="1"/>
  <c r="R207" i="3"/>
  <c r="H208" i="3" a="1"/>
  <c r="H208" i="3"/>
  <c r="I208" i="3"/>
  <c r="J208" i="3"/>
  <c r="K208" i="3" a="1"/>
  <c r="K208" i="3" s="1"/>
  <c r="L208" i="3" s="1"/>
  <c r="M208" i="3"/>
  <c r="R208" i="3" a="1"/>
  <c r="R208" i="3" s="1"/>
  <c r="H209" i="3" a="1"/>
  <c r="H209" i="3" s="1"/>
  <c r="J209" i="3" s="1"/>
  <c r="I209" i="3"/>
  <c r="K209" i="3" a="1"/>
  <c r="K209" i="3" s="1"/>
  <c r="L209" i="3" s="1"/>
  <c r="R209" i="3" a="1"/>
  <c r="R209" i="3" s="1"/>
  <c r="H210" i="3" a="1"/>
  <c r="H210" i="3"/>
  <c r="I210" i="3"/>
  <c r="K210" i="3" a="1"/>
  <c r="K210" i="3"/>
  <c r="L210" i="3"/>
  <c r="N210" i="3"/>
  <c r="Q210" i="3" s="1"/>
  <c r="O210" i="3" a="1"/>
  <c r="O210" i="3" s="1"/>
  <c r="N211" i="3" s="1"/>
  <c r="R210" i="3" a="1"/>
  <c r="R210" i="3" s="1"/>
  <c r="T210" i="3" s="1"/>
  <c r="H211" i="3" a="1"/>
  <c r="H211" i="3" s="1"/>
  <c r="J211" i="3" s="1"/>
  <c r="I211" i="3"/>
  <c r="K211" i="3" a="1"/>
  <c r="K211" i="3" s="1"/>
  <c r="L211" i="3" s="1"/>
  <c r="R211" i="3" a="1"/>
  <c r="R211" i="3"/>
  <c r="V211" i="3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H212" i="3" a="1"/>
  <c r="H212" i="3"/>
  <c r="J212" i="3" s="1"/>
  <c r="I212" i="3"/>
  <c r="K212" i="3" a="1"/>
  <c r="K212" i="3"/>
  <c r="L212" i="3" s="1"/>
  <c r="R212" i="3" a="1"/>
  <c r="R212" i="3" s="1"/>
  <c r="H213" i="3" a="1"/>
  <c r="H213" i="3" s="1"/>
  <c r="J213" i="3" s="1"/>
  <c r="I213" i="3"/>
  <c r="K213" i="3" a="1"/>
  <c r="K213" i="3" s="1"/>
  <c r="L213" i="3" s="1"/>
  <c r="R213" i="3" a="1"/>
  <c r="R213" i="3"/>
  <c r="H214" i="3" a="1"/>
  <c r="H214" i="3"/>
  <c r="J214" i="3" s="1"/>
  <c r="I214" i="3"/>
  <c r="K214" i="3" a="1"/>
  <c r="K214" i="3"/>
  <c r="L214" i="3" s="1"/>
  <c r="R214" i="3" a="1"/>
  <c r="R214" i="3" s="1"/>
  <c r="H215" i="3" a="1"/>
  <c r="H215" i="3" s="1"/>
  <c r="J215" i="3" s="1"/>
  <c r="I215" i="3"/>
  <c r="K215" i="3" a="1"/>
  <c r="K215" i="3" s="1"/>
  <c r="L215" i="3" s="1"/>
  <c r="R215" i="3" a="1"/>
  <c r="R215" i="3"/>
  <c r="H216" i="3" a="1"/>
  <c r="H216" i="3"/>
  <c r="I216" i="3"/>
  <c r="J216" i="3"/>
  <c r="K216" i="3" a="1"/>
  <c r="K216" i="3"/>
  <c r="L216" i="3" s="1"/>
  <c r="M216" i="3"/>
  <c r="R216" i="3" a="1"/>
  <c r="R216" i="3" s="1"/>
  <c r="H217" i="3" a="1"/>
  <c r="H217" i="3" s="1"/>
  <c r="J217" i="3" s="1"/>
  <c r="I217" i="3"/>
  <c r="K217" i="3" a="1"/>
  <c r="K217" i="3" s="1"/>
  <c r="L217" i="3" s="1"/>
  <c r="R217" i="3" a="1"/>
  <c r="R217" i="3"/>
  <c r="H218" i="3" a="1"/>
  <c r="H218" i="3"/>
  <c r="J218" i="3" s="1"/>
  <c r="I218" i="3"/>
  <c r="K218" i="3" a="1"/>
  <c r="K218" i="3"/>
  <c r="L218" i="3" s="1"/>
  <c r="R218" i="3" a="1"/>
  <c r="R218" i="3" s="1"/>
  <c r="H219" i="3" a="1"/>
  <c r="H219" i="3" s="1"/>
  <c r="J219" i="3" s="1"/>
  <c r="I219" i="3"/>
  <c r="K219" i="3" a="1"/>
  <c r="K219" i="3" s="1"/>
  <c r="L219" i="3" s="1"/>
  <c r="R219" i="3" a="1"/>
  <c r="R219" i="3"/>
  <c r="H220" i="3" a="1"/>
  <c r="H220" i="3"/>
  <c r="I220" i="3"/>
  <c r="J220" i="3"/>
  <c r="K220" i="3" a="1"/>
  <c r="K220" i="3"/>
  <c r="L220" i="3" s="1"/>
  <c r="M220" i="3"/>
  <c r="R220" i="3" a="1"/>
  <c r="R220" i="3" s="1"/>
  <c r="H221" i="3" a="1"/>
  <c r="H221" i="3" s="1"/>
  <c r="J221" i="3" s="1"/>
  <c r="I221" i="3"/>
  <c r="K221" i="3" a="1"/>
  <c r="K221" i="3" s="1"/>
  <c r="L221" i="3" s="1"/>
  <c r="R221" i="3" a="1"/>
  <c r="R221" i="3"/>
  <c r="H222" i="3" a="1"/>
  <c r="H222" i="3"/>
  <c r="J222" i="3" s="1"/>
  <c r="I222" i="3"/>
  <c r="K222" i="3" a="1"/>
  <c r="K222" i="3"/>
  <c r="L222" i="3" s="1"/>
  <c r="R222" i="3" a="1"/>
  <c r="R222" i="3" s="1"/>
  <c r="H223" i="3" a="1"/>
  <c r="H223" i="3" s="1"/>
  <c r="J223" i="3" s="1"/>
  <c r="I223" i="3"/>
  <c r="K223" i="3" a="1"/>
  <c r="K223" i="3" s="1"/>
  <c r="L223" i="3"/>
  <c r="N223" i="3"/>
  <c r="Q223" i="3"/>
  <c r="R223" i="3" a="1"/>
  <c r="R223" i="3"/>
  <c r="T223" i="3"/>
  <c r="H224" i="3" a="1"/>
  <c r="H224" i="3"/>
  <c r="J224" i="3" s="1"/>
  <c r="I224" i="3"/>
  <c r="K224" i="3" a="1"/>
  <c r="K224" i="3"/>
  <c r="L224" i="3" s="1"/>
  <c r="R224" i="3" a="1"/>
  <c r="R224" i="3" s="1"/>
  <c r="V224" i="3"/>
  <c r="I225" i="3"/>
  <c r="J225" i="3" s="1"/>
  <c r="K225" i="3" a="1"/>
  <c r="K225" i="3" s="1"/>
  <c r="L225" i="3" s="1"/>
  <c r="R225" i="3" a="1"/>
  <c r="R225" i="3" s="1"/>
  <c r="V225" i="3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V239" i="3" s="1"/>
  <c r="V240" i="3" s="1"/>
  <c r="V241" i="3" s="1"/>
  <c r="V242" i="3" s="1"/>
  <c r="V243" i="3" s="1"/>
  <c r="V244" i="3" s="1"/>
  <c r="V245" i="3" s="1"/>
  <c r="I226" i="3"/>
  <c r="J226" i="3"/>
  <c r="K226" i="3" a="1"/>
  <c r="K226" i="3" s="1"/>
  <c r="R226" i="3" a="1"/>
  <c r="R226" i="3" s="1"/>
  <c r="I227" i="3"/>
  <c r="J227" i="3" s="1"/>
  <c r="K227" i="3" a="1"/>
  <c r="K227" i="3" s="1"/>
  <c r="L227" i="3" s="1"/>
  <c r="R227" i="3" a="1"/>
  <c r="R227" i="3"/>
  <c r="I228" i="3"/>
  <c r="J228" i="3"/>
  <c r="K228" i="3" a="1"/>
  <c r="K228" i="3"/>
  <c r="M228" i="3" s="1"/>
  <c r="R228" i="3" a="1"/>
  <c r="R228" i="3" s="1"/>
  <c r="I229" i="3"/>
  <c r="J229" i="3" s="1"/>
  <c r="K229" i="3" a="1"/>
  <c r="K229" i="3" s="1"/>
  <c r="L229" i="3" s="1"/>
  <c r="R229" i="3" a="1"/>
  <c r="R229" i="3" s="1"/>
  <c r="I230" i="3"/>
  <c r="J230" i="3"/>
  <c r="K230" i="3" a="1"/>
  <c r="K230" i="3" s="1"/>
  <c r="R230" i="3" a="1"/>
  <c r="R230" i="3" s="1"/>
  <c r="I231" i="3"/>
  <c r="J231" i="3" s="1"/>
  <c r="K231" i="3" a="1"/>
  <c r="K231" i="3" s="1"/>
  <c r="L231" i="3" s="1"/>
  <c r="R231" i="3" a="1"/>
  <c r="R231" i="3"/>
  <c r="I232" i="3"/>
  <c r="J232" i="3"/>
  <c r="K232" i="3" a="1"/>
  <c r="K232" i="3"/>
  <c r="M232" i="3" s="1"/>
  <c r="R232" i="3" a="1"/>
  <c r="R232" i="3" s="1"/>
  <c r="I233" i="3"/>
  <c r="J233" i="3" s="1"/>
  <c r="K233" i="3" a="1"/>
  <c r="K233" i="3" s="1"/>
  <c r="L233" i="3" s="1"/>
  <c r="R233" i="3" a="1"/>
  <c r="R233" i="3" s="1"/>
  <c r="I234" i="3"/>
  <c r="J234" i="3"/>
  <c r="K234" i="3" a="1"/>
  <c r="K234" i="3" s="1"/>
  <c r="R234" i="3" a="1"/>
  <c r="R234" i="3" s="1"/>
  <c r="I235" i="3"/>
  <c r="J235" i="3" s="1"/>
  <c r="K235" i="3" a="1"/>
  <c r="K235" i="3" s="1"/>
  <c r="L235" i="3"/>
  <c r="R235" i="3" a="1"/>
  <c r="R235" i="3" s="1"/>
  <c r="I236" i="3"/>
  <c r="J236" i="3" s="1"/>
  <c r="K236" i="3" a="1"/>
  <c r="K236" i="3" s="1"/>
  <c r="L236" i="3" s="1"/>
  <c r="R236" i="3" a="1"/>
  <c r="R236" i="3" s="1"/>
  <c r="I237" i="3"/>
  <c r="J237" i="3" s="1"/>
  <c r="K237" i="3" a="1"/>
  <c r="K237" i="3" s="1"/>
  <c r="L237" i="3"/>
  <c r="R237" i="3" a="1"/>
  <c r="R237" i="3" s="1"/>
  <c r="I238" i="3"/>
  <c r="J238" i="3" s="1"/>
  <c r="K238" i="3" a="1"/>
  <c r="K238" i="3" s="1"/>
  <c r="L238" i="3" s="1"/>
  <c r="R238" i="3" a="1"/>
  <c r="R238" i="3" s="1"/>
  <c r="I239" i="3"/>
  <c r="J239" i="3" s="1"/>
  <c r="K239" i="3" a="1"/>
  <c r="K239" i="3" s="1"/>
  <c r="L239" i="3"/>
  <c r="R239" i="3" a="1"/>
  <c r="R239" i="3" s="1"/>
  <c r="I240" i="3"/>
  <c r="J240" i="3" s="1"/>
  <c r="K240" i="3" a="1"/>
  <c r="K240" i="3" s="1"/>
  <c r="L240" i="3" s="1"/>
  <c r="R240" i="3" a="1"/>
  <c r="R240" i="3" s="1"/>
  <c r="I241" i="3"/>
  <c r="J241" i="3" s="1"/>
  <c r="K241" i="3" a="1"/>
  <c r="K241" i="3" s="1"/>
  <c r="L241" i="3"/>
  <c r="R241" i="3" a="1"/>
  <c r="R241" i="3" s="1"/>
  <c r="I242" i="3"/>
  <c r="J242" i="3" s="1"/>
  <c r="K242" i="3" a="1"/>
  <c r="K242" i="3" s="1"/>
  <c r="L242" i="3" s="1"/>
  <c r="R242" i="3" a="1"/>
  <c r="R242" i="3" s="1"/>
  <c r="I243" i="3"/>
  <c r="J243" i="3" s="1"/>
  <c r="K243" i="3" a="1"/>
  <c r="K243" i="3" s="1"/>
  <c r="L243" i="3"/>
  <c r="R243" i="3" a="1"/>
  <c r="R243" i="3" s="1"/>
  <c r="I244" i="3"/>
  <c r="J244" i="3" s="1"/>
  <c r="K244" i="3" a="1"/>
  <c r="K244" i="3" s="1"/>
  <c r="L244" i="3" s="1"/>
  <c r="R244" i="3" a="1"/>
  <c r="R244" i="3" s="1"/>
  <c r="I245" i="3"/>
  <c r="J245" i="3" s="1"/>
  <c r="K245" i="3" a="1"/>
  <c r="K245" i="3" s="1"/>
  <c r="L245" i="3"/>
  <c r="R245" i="3" a="1"/>
  <c r="R245" i="3" s="1"/>
  <c r="I248" i="3"/>
  <c r="J248" i="3" s="1"/>
  <c r="K248" i="3" a="1"/>
  <c r="K248" i="3" s="1"/>
  <c r="L248" i="3" s="1"/>
  <c r="R248" i="3" a="1"/>
  <c r="R248" i="3"/>
  <c r="H249" i="3" a="1"/>
  <c r="H249" i="3"/>
  <c r="J249" i="3" s="1"/>
  <c r="I249" i="3"/>
  <c r="K249" i="3" a="1"/>
  <c r="K249" i="3"/>
  <c r="L249" i="3" s="1"/>
  <c r="R249" i="3" a="1"/>
  <c r="R249" i="3" s="1"/>
  <c r="H250" i="3" a="1"/>
  <c r="H250" i="3" s="1"/>
  <c r="I250" i="3"/>
  <c r="K250" i="3" a="1"/>
  <c r="K250" i="3" s="1"/>
  <c r="L250" i="3" s="1"/>
  <c r="R250" i="3" a="1"/>
  <c r="R250" i="3"/>
  <c r="H251" i="3" a="1"/>
  <c r="H251" i="3"/>
  <c r="I251" i="3"/>
  <c r="J251" i="3"/>
  <c r="M251" i="3" s="1"/>
  <c r="K251" i="3" a="1"/>
  <c r="K251" i="3"/>
  <c r="L251" i="3" s="1"/>
  <c r="R251" i="3" a="1"/>
  <c r="R251" i="3" s="1"/>
  <c r="H252" i="3" a="1"/>
  <c r="H252" i="3" s="1"/>
  <c r="J252" i="3" s="1"/>
  <c r="I252" i="3"/>
  <c r="K252" i="3" a="1"/>
  <c r="K252" i="3" s="1"/>
  <c r="L252" i="3" s="1"/>
  <c r="R252" i="3" a="1"/>
  <c r="R252" i="3"/>
  <c r="H253" i="3" a="1"/>
  <c r="H253" i="3" s="1"/>
  <c r="J253" i="3" s="1"/>
  <c r="I253" i="3"/>
  <c r="K253" i="3" a="1"/>
  <c r="K253" i="3" s="1"/>
  <c r="L253" i="3" s="1"/>
  <c r="R253" i="3" a="1"/>
  <c r="R253" i="3" s="1"/>
  <c r="H254" i="3" a="1"/>
  <c r="H254" i="3"/>
  <c r="J254" i="3" s="1"/>
  <c r="I254" i="3"/>
  <c r="K254" i="3" a="1"/>
  <c r="K254" i="3"/>
  <c r="L254" i="3"/>
  <c r="R254" i="3" a="1"/>
  <c r="R254" i="3"/>
  <c r="H255" i="3" a="1"/>
  <c r="H255" i="3"/>
  <c r="J255" i="3" s="1"/>
  <c r="I255" i="3"/>
  <c r="K255" i="3" a="1"/>
  <c r="K255" i="3" s="1"/>
  <c r="L255" i="3" s="1"/>
  <c r="R255" i="3" a="1"/>
  <c r="R255" i="3" s="1"/>
  <c r="H256" i="3" a="1"/>
  <c r="H256" i="3"/>
  <c r="I256" i="3"/>
  <c r="J256" i="3" s="1"/>
  <c r="K256" i="3" a="1"/>
  <c r="K256" i="3"/>
  <c r="L256" i="3"/>
  <c r="R256" i="3" a="1"/>
  <c r="R256" i="3" s="1"/>
  <c r="H257" i="3" a="1"/>
  <c r="H257" i="3" s="1"/>
  <c r="J257" i="3" s="1"/>
  <c r="I257" i="3"/>
  <c r="K257" i="3" a="1"/>
  <c r="K257" i="3" s="1"/>
  <c r="L257" i="3" s="1"/>
  <c r="R257" i="3" a="1"/>
  <c r="R257" i="3"/>
  <c r="H258" i="3" a="1"/>
  <c r="H258" i="3"/>
  <c r="J258" i="3" s="1"/>
  <c r="I258" i="3"/>
  <c r="K258" i="3" a="1"/>
  <c r="K258" i="3" s="1"/>
  <c r="L258" i="3" s="1"/>
  <c r="R258" i="3" a="1"/>
  <c r="R258" i="3" s="1"/>
  <c r="H259" i="3" a="1"/>
  <c r="H259" i="3"/>
  <c r="J259" i="3" s="1"/>
  <c r="I259" i="3"/>
  <c r="K259" i="3" a="1"/>
  <c r="K259" i="3" s="1"/>
  <c r="L259" i="3" s="1"/>
  <c r="R259" i="3" a="1"/>
  <c r="R259" i="3" s="1"/>
  <c r="H260" i="3" a="1"/>
  <c r="H260" i="3"/>
  <c r="J260" i="3" s="1"/>
  <c r="I260" i="3"/>
  <c r="K260" i="3" a="1"/>
  <c r="K260" i="3"/>
  <c r="L260" i="3"/>
  <c r="R260" i="3" a="1"/>
  <c r="R260" i="3" s="1"/>
  <c r="H261" i="3" a="1"/>
  <c r="H261" i="3" s="1"/>
  <c r="J261" i="3" s="1"/>
  <c r="I261" i="3"/>
  <c r="K261" i="3" a="1"/>
  <c r="K261" i="3" s="1"/>
  <c r="L261" i="3" s="1"/>
  <c r="R261" i="3" a="1"/>
  <c r="R261" i="3"/>
  <c r="H262" i="3" a="1"/>
  <c r="H262" i="3"/>
  <c r="J262" i="3" s="1"/>
  <c r="I262" i="3"/>
  <c r="K262" i="3" a="1"/>
  <c r="K262" i="3" s="1"/>
  <c r="L262" i="3" s="1"/>
  <c r="R262" i="3" a="1"/>
  <c r="R262" i="3" s="1"/>
  <c r="H263" i="3" a="1"/>
  <c r="H263" i="3"/>
  <c r="J263" i="3" s="1"/>
  <c r="I263" i="3"/>
  <c r="K263" i="3" a="1"/>
  <c r="K263" i="3" s="1"/>
  <c r="L263" i="3" s="1"/>
  <c r="R263" i="3" a="1"/>
  <c r="R263" i="3" s="1"/>
  <c r="H264" i="3" a="1"/>
  <c r="H264" i="3"/>
  <c r="I264" i="3"/>
  <c r="J264" i="3" s="1"/>
  <c r="K264" i="3" a="1"/>
  <c r="K264" i="3"/>
  <c r="L264" i="3"/>
  <c r="R264" i="3" a="1"/>
  <c r="R264" i="3" s="1"/>
  <c r="H265" i="3" a="1"/>
  <c r="H265" i="3" s="1"/>
  <c r="J265" i="3" s="1"/>
  <c r="I265" i="3"/>
  <c r="K265" i="3" a="1"/>
  <c r="K265" i="3" s="1"/>
  <c r="L265" i="3" s="1"/>
  <c r="R265" i="3" a="1"/>
  <c r="R265" i="3"/>
  <c r="H266" i="3" a="1"/>
  <c r="H266" i="3"/>
  <c r="J266" i="3" s="1"/>
  <c r="I266" i="3"/>
  <c r="K266" i="3" a="1"/>
  <c r="K266" i="3" s="1"/>
  <c r="L266" i="3" s="1"/>
  <c r="R266" i="3" a="1"/>
  <c r="R266" i="3" s="1"/>
  <c r="H267" i="3" a="1"/>
  <c r="H267" i="3"/>
  <c r="J267" i="3" s="1"/>
  <c r="I267" i="3"/>
  <c r="K267" i="3" a="1"/>
  <c r="K267" i="3" s="1"/>
  <c r="L267" i="3" s="1"/>
  <c r="R267" i="3" a="1"/>
  <c r="R267" i="3" s="1"/>
  <c r="H268" i="3" a="1"/>
  <c r="H268" i="3"/>
  <c r="I268" i="3"/>
  <c r="J268" i="3" s="1"/>
  <c r="K268" i="3" a="1"/>
  <c r="K268" i="3"/>
  <c r="L268" i="3"/>
  <c r="R268" i="3" a="1"/>
  <c r="R268" i="3" s="1"/>
  <c r="H269" i="3" a="1"/>
  <c r="H269" i="3" s="1"/>
  <c r="J269" i="3" s="1"/>
  <c r="I269" i="3"/>
  <c r="K269" i="3" a="1"/>
  <c r="K269" i="3" s="1"/>
  <c r="L269" i="3" s="1"/>
  <c r="R269" i="3" a="1"/>
  <c r="R269" i="3"/>
  <c r="T51" i="3" l="1"/>
  <c r="U51" i="3" s="1"/>
  <c r="T146" i="3"/>
  <c r="T66" i="3"/>
  <c r="S16" i="3"/>
  <c r="T16" i="3" s="1"/>
  <c r="U16" i="3" s="1"/>
  <c r="O87" i="3" a="1"/>
  <c r="O87" i="3" s="1"/>
  <c r="N88" i="3" s="1"/>
  <c r="O88" i="3" s="1" a="1"/>
  <c r="O88" i="3" s="1"/>
  <c r="N89" i="3" s="1"/>
  <c r="P87" i="3"/>
  <c r="Q87" i="3" s="1"/>
  <c r="P50" i="3"/>
  <c r="Q50" i="3"/>
  <c r="P23" i="3"/>
  <c r="Q23" i="3" s="1"/>
  <c r="O23" i="3" a="1"/>
  <c r="O23" i="3" s="1"/>
  <c r="N24" i="3" s="1"/>
  <c r="O24" i="3" s="1" a="1"/>
  <c r="O24" i="3" s="1"/>
  <c r="N25" i="3" s="1"/>
  <c r="S12" i="3"/>
  <c r="M12" i="3"/>
  <c r="S11" i="3"/>
  <c r="T11" i="3" s="1"/>
  <c r="U11" i="3" s="1"/>
  <c r="V11" i="3" s="1"/>
  <c r="M11" i="3"/>
  <c r="T24" i="3"/>
  <c r="U24" i="3" s="1"/>
  <c r="O126" i="3" a="1"/>
  <c r="O126" i="3" s="1"/>
  <c r="N127" i="3" s="1"/>
  <c r="T70" i="3"/>
  <c r="U70" i="3" s="1"/>
  <c r="U50" i="3"/>
  <c r="U17" i="3"/>
  <c r="V17" i="3" s="1"/>
  <c r="V18" i="3" s="1"/>
  <c r="O50" i="3" a="1"/>
  <c r="O50" i="3" s="1"/>
  <c r="N51" i="3" s="1"/>
  <c r="S18" i="3"/>
  <c r="T18" i="3" s="1"/>
  <c r="M269" i="3"/>
  <c r="S269" i="3"/>
  <c r="M266" i="3"/>
  <c r="M261" i="3"/>
  <c r="S261" i="3"/>
  <c r="M258" i="3"/>
  <c r="M263" i="3"/>
  <c r="S263" i="3"/>
  <c r="S264" i="3" s="1"/>
  <c r="M255" i="3"/>
  <c r="S255" i="3"/>
  <c r="T255" i="3" s="1"/>
  <c r="M268" i="3"/>
  <c r="M265" i="3"/>
  <c r="S265" i="3"/>
  <c r="M262" i="3"/>
  <c r="S262" i="3"/>
  <c r="T262" i="3" s="1"/>
  <c r="M260" i="3"/>
  <c r="M257" i="3"/>
  <c r="S257" i="3"/>
  <c r="M253" i="3"/>
  <c r="S253" i="3"/>
  <c r="M267" i="3"/>
  <c r="S267" i="3"/>
  <c r="M264" i="3"/>
  <c r="M259" i="3"/>
  <c r="S259" i="3"/>
  <c r="T259" i="3" s="1"/>
  <c r="M256" i="3"/>
  <c r="T253" i="3"/>
  <c r="M254" i="3"/>
  <c r="S254" i="3"/>
  <c r="M252" i="3"/>
  <c r="M243" i="3"/>
  <c r="M240" i="3"/>
  <c r="M233" i="3"/>
  <c r="M229" i="3"/>
  <c r="M222" i="3"/>
  <c r="M218" i="3"/>
  <c r="M214" i="3"/>
  <c r="M245" i="3"/>
  <c r="M242" i="3"/>
  <c r="M237" i="3"/>
  <c r="M236" i="3"/>
  <c r="M235" i="3"/>
  <c r="M231" i="3"/>
  <c r="M227" i="3"/>
  <c r="M225" i="3"/>
  <c r="S251" i="3"/>
  <c r="M249" i="3"/>
  <c r="S249" i="3"/>
  <c r="M244" i="3"/>
  <c r="M239" i="3"/>
  <c r="M221" i="3"/>
  <c r="M217" i="3"/>
  <c r="M213" i="3"/>
  <c r="M211" i="3"/>
  <c r="P211" i="3"/>
  <c r="Q211" i="3" s="1"/>
  <c r="S211" i="3"/>
  <c r="S212" i="3" s="1"/>
  <c r="T212" i="3" s="1"/>
  <c r="O211" i="3" a="1"/>
  <c r="O211" i="3" s="1"/>
  <c r="N212" i="3" s="1"/>
  <c r="P212" i="3" s="1"/>
  <c r="S252" i="3"/>
  <c r="T251" i="3"/>
  <c r="J250" i="3"/>
  <c r="M248" i="3"/>
  <c r="M241" i="3"/>
  <c r="M238" i="3"/>
  <c r="L234" i="3"/>
  <c r="M234" i="3"/>
  <c r="L230" i="3"/>
  <c r="M230" i="3"/>
  <c r="L226" i="3"/>
  <c r="M226" i="3"/>
  <c r="M224" i="3"/>
  <c r="P224" i="3"/>
  <c r="Q224" i="3" s="1"/>
  <c r="S224" i="3"/>
  <c r="T224" i="3" s="1"/>
  <c r="N225" i="3"/>
  <c r="O225" i="3" s="1" a="1"/>
  <c r="O225" i="3" s="1"/>
  <c r="M223" i="3"/>
  <c r="P223" i="3"/>
  <c r="S223" i="3"/>
  <c r="U223" i="3" s="1"/>
  <c r="M219" i="3"/>
  <c r="M215" i="3"/>
  <c r="M212" i="3"/>
  <c r="O212" i="3" a="1"/>
  <c r="O212" i="3" s="1"/>
  <c r="N213" i="3" s="1"/>
  <c r="O213" i="3" s="1" a="1"/>
  <c r="O213" i="3" s="1"/>
  <c r="N214" i="3" s="1"/>
  <c r="L232" i="3"/>
  <c r="L228" i="3"/>
  <c r="J207" i="3"/>
  <c r="M206" i="3"/>
  <c r="M205" i="3"/>
  <c r="S205" i="3"/>
  <c r="M204" i="3"/>
  <c r="M201" i="3"/>
  <c r="S201" i="3"/>
  <c r="M191" i="3"/>
  <c r="M189" i="3"/>
  <c r="P189" i="3"/>
  <c r="S189" i="3"/>
  <c r="U189" i="3" s="1"/>
  <c r="M188" i="3"/>
  <c r="M185" i="3"/>
  <c r="M184" i="3"/>
  <c r="M181" i="3"/>
  <c r="M180" i="3"/>
  <c r="M175" i="3"/>
  <c r="M171" i="3"/>
  <c r="M166" i="3"/>
  <c r="M165" i="3"/>
  <c r="M203" i="3"/>
  <c r="S203" i="3"/>
  <c r="T203" i="3" s="1"/>
  <c r="T201" i="3"/>
  <c r="M198" i="3"/>
  <c r="M194" i="3"/>
  <c r="M187" i="3"/>
  <c r="M183" i="3"/>
  <c r="M178" i="3"/>
  <c r="J210" i="3"/>
  <c r="L200" i="3"/>
  <c r="M200" i="3"/>
  <c r="M197" i="3"/>
  <c r="S197" i="3"/>
  <c r="M196" i="3"/>
  <c r="M193" i="3"/>
  <c r="S193" i="3"/>
  <c r="S194" i="3" s="1"/>
  <c r="M192" i="3"/>
  <c r="M179" i="3"/>
  <c r="M174" i="3"/>
  <c r="M170" i="3"/>
  <c r="L168" i="3"/>
  <c r="M168" i="3"/>
  <c r="M209" i="3"/>
  <c r="S209" i="3"/>
  <c r="M202" i="3"/>
  <c r="S202" i="3"/>
  <c r="T202" i="3" s="1"/>
  <c r="M199" i="3"/>
  <c r="S199" i="3"/>
  <c r="T199" i="3" s="1"/>
  <c r="M195" i="3"/>
  <c r="S195" i="3"/>
  <c r="T195" i="3" s="1"/>
  <c r="M190" i="3"/>
  <c r="P190" i="3"/>
  <c r="Q190" i="3" s="1"/>
  <c r="S190" i="3"/>
  <c r="S191" i="3" s="1"/>
  <c r="O190" i="3" a="1"/>
  <c r="O190" i="3" s="1"/>
  <c r="N191" i="3" s="1"/>
  <c r="O191" i="3" s="1" a="1"/>
  <c r="O191" i="3" s="1"/>
  <c r="N192" i="3" s="1"/>
  <c r="M186" i="3"/>
  <c r="M182" i="3"/>
  <c r="O177" i="3" a="1"/>
  <c r="O177" i="3" s="1"/>
  <c r="N178" i="3" s="1"/>
  <c r="O178" i="3" s="1" a="1"/>
  <c r="O178" i="3" s="1"/>
  <c r="N179" i="3" s="1"/>
  <c r="M177" i="3"/>
  <c r="P177" i="3"/>
  <c r="Q177" i="3" s="1"/>
  <c r="S177" i="3"/>
  <c r="S178" i="3" s="1"/>
  <c r="M176" i="3"/>
  <c r="P176" i="3"/>
  <c r="S176" i="3"/>
  <c r="U176" i="3" s="1"/>
  <c r="M173" i="3"/>
  <c r="M172" i="3"/>
  <c r="M169" i="3"/>
  <c r="M159" i="3"/>
  <c r="M155" i="3"/>
  <c r="M150" i="3"/>
  <c r="P150" i="3"/>
  <c r="Q150" i="3" s="1"/>
  <c r="S150" i="3"/>
  <c r="O150" i="3" a="1"/>
  <c r="O150" i="3" s="1"/>
  <c r="N151" i="3" s="1"/>
  <c r="O151" i="3" s="1" a="1"/>
  <c r="O151" i="3" s="1"/>
  <c r="N152" i="3" s="1"/>
  <c r="M149" i="3"/>
  <c r="P149" i="3"/>
  <c r="S149" i="3"/>
  <c r="U149" i="3" s="1"/>
  <c r="U146" i="3"/>
  <c r="M158" i="3"/>
  <c r="M157" i="3"/>
  <c r="M156" i="3"/>
  <c r="M154" i="3"/>
  <c r="M153" i="3"/>
  <c r="T150" i="3"/>
  <c r="M148" i="3"/>
  <c r="S148" i="3"/>
  <c r="O164" i="3" a="1"/>
  <c r="O164" i="3" s="1"/>
  <c r="N165" i="3" s="1"/>
  <c r="P165" i="3" s="1"/>
  <c r="M164" i="3"/>
  <c r="P164" i="3"/>
  <c r="Q164" i="3" s="1"/>
  <c r="S164" i="3"/>
  <c r="S165" i="3" s="1"/>
  <c r="M163" i="3"/>
  <c r="P163" i="3"/>
  <c r="S163" i="3"/>
  <c r="U163" i="3" s="1"/>
  <c r="M162" i="3"/>
  <c r="M161" i="3"/>
  <c r="M152" i="3"/>
  <c r="M151" i="3"/>
  <c r="S151" i="3"/>
  <c r="M147" i="3"/>
  <c r="S147" i="3"/>
  <c r="M160" i="3"/>
  <c r="M145" i="3"/>
  <c r="M139" i="3"/>
  <c r="M136" i="3"/>
  <c r="S136" i="3"/>
  <c r="T136" i="3" s="1"/>
  <c r="M133" i="3"/>
  <c r="L130" i="3"/>
  <c r="S130" i="3" s="1"/>
  <c r="S131" i="3" s="1"/>
  <c r="T131" i="3" s="1"/>
  <c r="M130" i="3"/>
  <c r="L142" i="3"/>
  <c r="S142" i="3" s="1"/>
  <c r="T142" i="3" s="1"/>
  <c r="M142" i="3"/>
  <c r="M135" i="3"/>
  <c r="M132" i="3"/>
  <c r="S132" i="3"/>
  <c r="T132" i="3" s="1"/>
  <c r="M129" i="3"/>
  <c r="M123" i="3"/>
  <c r="M141" i="3"/>
  <c r="L138" i="3"/>
  <c r="S138" i="3" s="1"/>
  <c r="S139" i="3" s="1"/>
  <c r="M138" i="3"/>
  <c r="M131" i="3"/>
  <c r="T128" i="3"/>
  <c r="M128" i="3"/>
  <c r="S128" i="3"/>
  <c r="S129" i="3" s="1"/>
  <c r="T129" i="3" s="1"/>
  <c r="M144" i="3"/>
  <c r="S144" i="3"/>
  <c r="T144" i="3" s="1"/>
  <c r="M143" i="3"/>
  <c r="M140" i="3"/>
  <c r="S140" i="3"/>
  <c r="S141" i="3" s="1"/>
  <c r="M137" i="3"/>
  <c r="L134" i="3"/>
  <c r="S134" i="3" s="1"/>
  <c r="T134" i="3" s="1"/>
  <c r="M134" i="3"/>
  <c r="T130" i="3"/>
  <c r="O127" i="3" a="1"/>
  <c r="O127" i="3" s="1"/>
  <c r="N128" i="3" s="1"/>
  <c r="P128" i="3" s="1"/>
  <c r="M127" i="3"/>
  <c r="P127" i="3"/>
  <c r="Q127" i="3" s="1"/>
  <c r="M122" i="3"/>
  <c r="M120" i="3"/>
  <c r="M118" i="3"/>
  <c r="M115" i="3"/>
  <c r="M114" i="3"/>
  <c r="M112" i="3"/>
  <c r="P112" i="3"/>
  <c r="S112" i="3"/>
  <c r="U112" i="3" s="1"/>
  <c r="M110" i="3"/>
  <c r="M119" i="3"/>
  <c r="M111" i="3"/>
  <c r="M126" i="3"/>
  <c r="P126" i="3"/>
  <c r="Q126" i="3" s="1"/>
  <c r="S126" i="3"/>
  <c r="M125" i="3"/>
  <c r="P125" i="3"/>
  <c r="S125" i="3"/>
  <c r="U125" i="3" s="1"/>
  <c r="M124" i="3"/>
  <c r="M117" i="3"/>
  <c r="M109" i="3"/>
  <c r="M121" i="3"/>
  <c r="M116" i="3"/>
  <c r="M113" i="3"/>
  <c r="P113" i="3"/>
  <c r="Q113" i="3" s="1"/>
  <c r="S113" i="3"/>
  <c r="T113" i="3" s="1"/>
  <c r="O113" i="3" a="1"/>
  <c r="O113" i="3" s="1"/>
  <c r="N114" i="3" s="1"/>
  <c r="M108" i="3"/>
  <c r="M106" i="3"/>
  <c r="J105" i="3"/>
  <c r="M103" i="3"/>
  <c r="M101" i="3"/>
  <c r="M98" i="3"/>
  <c r="M93" i="3"/>
  <c r="P88" i="3"/>
  <c r="Q88" i="3" s="1"/>
  <c r="T87" i="3"/>
  <c r="U87" i="3" s="1"/>
  <c r="S88" i="3"/>
  <c r="T247" i="3"/>
  <c r="P247" i="3"/>
  <c r="Q247" i="3" s="1"/>
  <c r="S247" i="3"/>
  <c r="M247" i="3"/>
  <c r="N248" i="3"/>
  <c r="O248" i="3" s="1" a="1"/>
  <c r="O248" i="3" s="1"/>
  <c r="M102" i="3"/>
  <c r="M95" i="3"/>
  <c r="T100" i="3"/>
  <c r="M97" i="3"/>
  <c r="M107" i="3"/>
  <c r="M104" i="3"/>
  <c r="O100" i="3" a="1"/>
  <c r="O100" i="3" s="1"/>
  <c r="N101" i="3" s="1"/>
  <c r="O101" i="3" s="1" a="1"/>
  <c r="O101" i="3" s="1"/>
  <c r="N102" i="3" s="1"/>
  <c r="M100" i="3"/>
  <c r="P100" i="3"/>
  <c r="Q100" i="3" s="1"/>
  <c r="S100" i="3"/>
  <c r="M99" i="3"/>
  <c r="P99" i="3"/>
  <c r="S99" i="3"/>
  <c r="U99" i="3" s="1"/>
  <c r="M96" i="3"/>
  <c r="P246" i="3"/>
  <c r="S246" i="3"/>
  <c r="U246" i="3" s="1"/>
  <c r="M246" i="3"/>
  <c r="L94" i="3"/>
  <c r="M82" i="3"/>
  <c r="M81" i="3"/>
  <c r="M80" i="3"/>
  <c r="M79" i="3"/>
  <c r="M78" i="3"/>
  <c r="M77" i="3"/>
  <c r="M76" i="3"/>
  <c r="M75" i="3"/>
  <c r="M74" i="3"/>
  <c r="P74" i="3"/>
  <c r="Q74" i="3" s="1"/>
  <c r="S74" i="3"/>
  <c r="T74" i="3" s="1"/>
  <c r="O74" i="3" a="1"/>
  <c r="O74" i="3" s="1"/>
  <c r="N75" i="3" s="1"/>
  <c r="P75" i="3" s="1"/>
  <c r="M73" i="3"/>
  <c r="P73" i="3"/>
  <c r="S73" i="3"/>
  <c r="U73" i="3" s="1"/>
  <c r="M72" i="3"/>
  <c r="S72" i="3"/>
  <c r="M71" i="3"/>
  <c r="S71" i="3"/>
  <c r="T68" i="3"/>
  <c r="U68" i="3" s="1"/>
  <c r="S69" i="3"/>
  <c r="T67" i="3"/>
  <c r="U67" i="3" s="1"/>
  <c r="U66" i="3"/>
  <c r="M64" i="3"/>
  <c r="S64" i="3"/>
  <c r="M62" i="3"/>
  <c r="S62" i="3"/>
  <c r="M60" i="3"/>
  <c r="S60" i="3"/>
  <c r="M58" i="3"/>
  <c r="S58" i="3"/>
  <c r="M56" i="3"/>
  <c r="S56" i="3"/>
  <c r="M54" i="3"/>
  <c r="S54" i="3"/>
  <c r="M52" i="3"/>
  <c r="S52" i="3"/>
  <c r="M42" i="3"/>
  <c r="M41" i="3"/>
  <c r="M40" i="3"/>
  <c r="M39" i="3"/>
  <c r="M38" i="3"/>
  <c r="M37" i="3"/>
  <c r="P37" i="3"/>
  <c r="Q37" i="3" s="1"/>
  <c r="S37" i="3"/>
  <c r="O37" i="3" a="1"/>
  <c r="O37" i="3" s="1"/>
  <c r="N38" i="3" s="1"/>
  <c r="P38" i="3" s="1"/>
  <c r="M36" i="3"/>
  <c r="P36" i="3"/>
  <c r="S36" i="3"/>
  <c r="U36" i="3" s="1"/>
  <c r="L35" i="3"/>
  <c r="M35" i="3"/>
  <c r="S26" i="3"/>
  <c r="T25" i="3"/>
  <c r="U25" i="3" s="1"/>
  <c r="P25" i="3"/>
  <c r="Q25" i="3" s="1"/>
  <c r="O25" i="3" a="1"/>
  <c r="O25" i="3" s="1"/>
  <c r="N26" i="3" s="1"/>
  <c r="V21" i="3"/>
  <c r="V22" i="3" s="1"/>
  <c r="V20" i="3"/>
  <c r="P5" i="3"/>
  <c r="Q5" i="3" s="1"/>
  <c r="O5" i="3" a="1"/>
  <c r="O5" i="3" s="1"/>
  <c r="N6" i="3" s="1"/>
  <c r="P24" i="3"/>
  <c r="Q24" i="3" s="1"/>
  <c r="U18" i="3"/>
  <c r="V19" i="3" s="1"/>
  <c r="U14" i="3"/>
  <c r="P4" i="3"/>
  <c r="Q4" i="3" s="1"/>
  <c r="P89" i="3" l="1"/>
  <c r="Q89" i="3" s="1"/>
  <c r="O89" i="3" a="1"/>
  <c r="O89" i="3" s="1"/>
  <c r="N90" i="3" s="1"/>
  <c r="S256" i="3"/>
  <c r="P152" i="3"/>
  <c r="O152" i="3" a="1"/>
  <c r="O152" i="3" s="1"/>
  <c r="N153" i="3" s="1"/>
  <c r="P153" i="3" s="1"/>
  <c r="P151" i="3"/>
  <c r="S137" i="3"/>
  <c r="T137" i="3" s="1"/>
  <c r="T140" i="3"/>
  <c r="P51" i="3"/>
  <c r="Q51" i="3" s="1"/>
  <c r="O51" i="3" a="1"/>
  <c r="O51" i="3" s="1"/>
  <c r="N52" i="3" s="1"/>
  <c r="T164" i="3"/>
  <c r="T263" i="3"/>
  <c r="T190" i="3"/>
  <c r="S13" i="3"/>
  <c r="T12" i="3"/>
  <c r="U12" i="3" s="1"/>
  <c r="V12" i="3" s="1"/>
  <c r="V13" i="3" s="1"/>
  <c r="T37" i="3"/>
  <c r="U37" i="3" s="1"/>
  <c r="S38" i="3"/>
  <c r="S39" i="3" s="1"/>
  <c r="T139" i="3"/>
  <c r="U139" i="3" s="1"/>
  <c r="S179" i="3"/>
  <c r="T178" i="3"/>
  <c r="U178" i="3" s="1"/>
  <c r="S192" i="3"/>
  <c r="T191" i="3"/>
  <c r="U191" i="3" s="1"/>
  <c r="P102" i="3"/>
  <c r="Q102" i="3" s="1"/>
  <c r="O102" i="3" a="1"/>
  <c r="O102" i="3" s="1"/>
  <c r="N103" i="3" s="1"/>
  <c r="Q214" i="3"/>
  <c r="O214" i="3" a="1"/>
  <c r="O214" i="3" s="1"/>
  <c r="N215" i="3" s="1"/>
  <c r="P214" i="3"/>
  <c r="T165" i="3"/>
  <c r="U165" i="3" s="1"/>
  <c r="S166" i="3"/>
  <c r="V15" i="3"/>
  <c r="V16" i="3" s="1"/>
  <c r="Q38" i="3"/>
  <c r="O38" i="3" a="1"/>
  <c r="O38" i="3" s="1"/>
  <c r="N39" i="3" s="1"/>
  <c r="T141" i="3"/>
  <c r="U141" i="3" s="1"/>
  <c r="P179" i="3"/>
  <c r="Q179" i="3" s="1"/>
  <c r="O179" i="3" a="1"/>
  <c r="O179" i="3" s="1"/>
  <c r="N180" i="3" s="1"/>
  <c r="P192" i="3"/>
  <c r="Q192" i="3" s="1"/>
  <c r="O192" i="3" a="1"/>
  <c r="O192" i="3" s="1"/>
  <c r="N193" i="3" s="1"/>
  <c r="T194" i="3"/>
  <c r="U194" i="3" s="1"/>
  <c r="U100" i="3"/>
  <c r="U247" i="3"/>
  <c r="S114" i="3"/>
  <c r="S127" i="3"/>
  <c r="U128" i="3"/>
  <c r="U131" i="3"/>
  <c r="T148" i="3"/>
  <c r="U148" i="3" s="1"/>
  <c r="Q151" i="3"/>
  <c r="T193" i="3"/>
  <c r="T209" i="3"/>
  <c r="U209" i="3"/>
  <c r="T177" i="3"/>
  <c r="M207" i="3"/>
  <c r="S207" i="3"/>
  <c r="U212" i="3"/>
  <c r="S248" i="3"/>
  <c r="M250" i="3"/>
  <c r="S250" i="3"/>
  <c r="T211" i="3"/>
  <c r="U211" i="3" s="1"/>
  <c r="P213" i="3"/>
  <c r="U251" i="3"/>
  <c r="T254" i="3"/>
  <c r="U254" i="3" s="1"/>
  <c r="U253" i="3"/>
  <c r="M105" i="3"/>
  <c r="P114" i="3"/>
  <c r="Q114" i="3" s="1"/>
  <c r="U137" i="3"/>
  <c r="U129" i="3"/>
  <c r="U130" i="3"/>
  <c r="U136" i="3"/>
  <c r="T147" i="3"/>
  <c r="U147" i="3" s="1"/>
  <c r="Q152" i="3"/>
  <c r="U150" i="3"/>
  <c r="U199" i="3"/>
  <c r="S200" i="3"/>
  <c r="U203" i="3"/>
  <c r="U201" i="3"/>
  <c r="S204" i="3"/>
  <c r="S206" i="3"/>
  <c r="P248" i="3"/>
  <c r="Q248" i="3" s="1"/>
  <c r="N226" i="3"/>
  <c r="O226" i="3" s="1" a="1"/>
  <c r="O226" i="3" s="1"/>
  <c r="T256" i="3"/>
  <c r="U256" i="3" s="1"/>
  <c r="T257" i="3"/>
  <c r="U257" i="3" s="1"/>
  <c r="S260" i="3"/>
  <c r="U263" i="3"/>
  <c r="Q75" i="3"/>
  <c r="O75" i="3" a="1"/>
  <c r="O75" i="3" s="1"/>
  <c r="N76" i="3" s="1"/>
  <c r="T71" i="3"/>
  <c r="U71" i="3" s="1"/>
  <c r="S101" i="3"/>
  <c r="U113" i="3"/>
  <c r="U142" i="3"/>
  <c r="T151" i="3"/>
  <c r="U151" i="3" s="1"/>
  <c r="Q153" i="3"/>
  <c r="Q165" i="3"/>
  <c r="O153" i="3" a="1"/>
  <c r="O153" i="3" s="1"/>
  <c r="N154" i="3" s="1"/>
  <c r="U195" i="3"/>
  <c r="U193" i="3"/>
  <c r="S196" i="3"/>
  <c r="M210" i="3"/>
  <c r="P210" i="3"/>
  <c r="S210" i="3"/>
  <c r="U210" i="3" s="1"/>
  <c r="V210" i="3" s="1"/>
  <c r="P178" i="3"/>
  <c r="Q178" i="3" s="1"/>
  <c r="S198" i="3"/>
  <c r="P191" i="3"/>
  <c r="Q191" i="3" s="1"/>
  <c r="U224" i="3"/>
  <c r="T205" i="3"/>
  <c r="U205" i="3" s="1"/>
  <c r="S225" i="3"/>
  <c r="T249" i="3"/>
  <c r="U249" i="3" s="1"/>
  <c r="U262" i="3"/>
  <c r="T265" i="3"/>
  <c r="U265" i="3" s="1"/>
  <c r="S268" i="3"/>
  <c r="S258" i="3"/>
  <c r="T261" i="3"/>
  <c r="U261" i="3" s="1"/>
  <c r="T267" i="3"/>
  <c r="U267" i="3" s="1"/>
  <c r="V68" i="3"/>
  <c r="V69" i="3" s="1"/>
  <c r="U74" i="3"/>
  <c r="S75" i="3"/>
  <c r="P90" i="3"/>
  <c r="Q90" i="3" s="1"/>
  <c r="O90" i="3" a="1"/>
  <c r="O90" i="3" s="1"/>
  <c r="N91" i="3" s="1"/>
  <c r="S89" i="3"/>
  <c r="T88" i="3"/>
  <c r="U88" i="3" s="1"/>
  <c r="P101" i="3"/>
  <c r="Q101" i="3" s="1"/>
  <c r="O114" i="3" a="1"/>
  <c r="O114" i="3" s="1"/>
  <c r="N115" i="3" s="1"/>
  <c r="Q128" i="3"/>
  <c r="U134" i="3"/>
  <c r="U140" i="3"/>
  <c r="S143" i="3"/>
  <c r="U144" i="3"/>
  <c r="O128" i="3" a="1"/>
  <c r="O128" i="3" s="1"/>
  <c r="N129" i="3" s="1"/>
  <c r="T126" i="3"/>
  <c r="U126" i="3" s="1"/>
  <c r="U132" i="3"/>
  <c r="V132" i="3" s="1"/>
  <c r="V133" i="3" s="1"/>
  <c r="S135" i="3"/>
  <c r="T138" i="3"/>
  <c r="U138" i="3" s="1"/>
  <c r="V138" i="3" s="1"/>
  <c r="V139" i="3" s="1"/>
  <c r="S133" i="3"/>
  <c r="S145" i="3"/>
  <c r="S152" i="3"/>
  <c r="U164" i="3"/>
  <c r="U177" i="3"/>
  <c r="U190" i="3"/>
  <c r="T197" i="3"/>
  <c r="U197" i="3" s="1"/>
  <c r="U202" i="3"/>
  <c r="O165" i="3" a="1"/>
  <c r="O165" i="3" s="1"/>
  <c r="N166" i="3" s="1"/>
  <c r="Q213" i="3"/>
  <c r="N249" i="3"/>
  <c r="O249" i="3" s="1" a="1"/>
  <c r="O249" i="3" s="1"/>
  <c r="Q212" i="3"/>
  <c r="S213" i="3"/>
  <c r="P225" i="3"/>
  <c r="Q225" i="3" s="1"/>
  <c r="T252" i="3"/>
  <c r="U252" i="3" s="1"/>
  <c r="U259" i="3"/>
  <c r="T264" i="3"/>
  <c r="U264" i="3" s="1"/>
  <c r="U255" i="3"/>
  <c r="S266" i="3"/>
  <c r="T269" i="3"/>
  <c r="U269" i="3" s="1"/>
  <c r="T52" i="3"/>
  <c r="U52" i="3" s="1"/>
  <c r="V52" i="3" s="1"/>
  <c r="V53" i="3" s="1"/>
  <c r="S53" i="3"/>
  <c r="T54" i="3"/>
  <c r="U54" i="3" s="1"/>
  <c r="S55" i="3"/>
  <c r="T56" i="3"/>
  <c r="U56" i="3" s="1"/>
  <c r="S57" i="3"/>
  <c r="T58" i="3"/>
  <c r="U58" i="3" s="1"/>
  <c r="S59" i="3"/>
  <c r="T60" i="3"/>
  <c r="U60" i="3" s="1"/>
  <c r="S61" i="3"/>
  <c r="S63" i="3"/>
  <c r="T62" i="3"/>
  <c r="U62" i="3" s="1"/>
  <c r="T64" i="3"/>
  <c r="U64" i="3" s="1"/>
  <c r="S65" i="3"/>
  <c r="T69" i="3"/>
  <c r="U69" i="3" s="1"/>
  <c r="V70" i="3" s="1"/>
  <c r="V71" i="3" s="1"/>
  <c r="T72" i="3"/>
  <c r="U72" i="3" s="1"/>
  <c r="P6" i="3"/>
  <c r="Q6" i="3" s="1"/>
  <c r="O6" i="3" a="1"/>
  <c r="O6" i="3" s="1"/>
  <c r="N7" i="3" s="1"/>
  <c r="P26" i="3"/>
  <c r="Q26" i="3" s="1"/>
  <c r="O26" i="3" a="1"/>
  <c r="O26" i="3" s="1"/>
  <c r="N27" i="3" s="1"/>
  <c r="T26" i="3"/>
  <c r="U26" i="3" s="1"/>
  <c r="S27" i="3"/>
  <c r="T38" i="3"/>
  <c r="U38" i="3" s="1"/>
  <c r="T13" i="3" l="1"/>
  <c r="U13" i="3" s="1"/>
  <c r="V14" i="3" s="1"/>
  <c r="P52" i="3"/>
  <c r="Q52" i="3" s="1"/>
  <c r="O52" i="3" a="1"/>
  <c r="O52" i="3" s="1"/>
  <c r="N53" i="3" s="1"/>
  <c r="V265" i="3"/>
  <c r="V266" i="3" s="1"/>
  <c r="V257" i="3"/>
  <c r="V258" i="3" s="1"/>
  <c r="V72" i="3"/>
  <c r="V73" i="3"/>
  <c r="V148" i="3"/>
  <c r="V149" i="3"/>
  <c r="V255" i="3"/>
  <c r="V256" i="3" s="1"/>
  <c r="T145" i="3"/>
  <c r="U145" i="3" s="1"/>
  <c r="V146" i="3" s="1"/>
  <c r="V147" i="3" s="1"/>
  <c r="S90" i="3"/>
  <c r="T89" i="3"/>
  <c r="U89" i="3" s="1"/>
  <c r="O154" i="3" a="1"/>
  <c r="O154" i="3" s="1"/>
  <c r="N155" i="3" s="1"/>
  <c r="P154" i="3"/>
  <c r="Q154" i="3" s="1"/>
  <c r="T260" i="3"/>
  <c r="U260" i="3" s="1"/>
  <c r="V261" i="3" s="1"/>
  <c r="V262" i="3" s="1"/>
  <c r="T204" i="3"/>
  <c r="U204" i="3" s="1"/>
  <c r="V205" i="3" s="1"/>
  <c r="V206" i="3" s="1"/>
  <c r="T200" i="3"/>
  <c r="U200" i="3" s="1"/>
  <c r="V201" i="3" s="1"/>
  <c r="V202" i="3" s="1"/>
  <c r="V130" i="3"/>
  <c r="V131" i="3" s="1"/>
  <c r="T248" i="3"/>
  <c r="U248" i="3" s="1"/>
  <c r="V249" i="3" s="1"/>
  <c r="V250" i="3" s="1"/>
  <c r="U179" i="3"/>
  <c r="S180" i="3"/>
  <c r="T179" i="3"/>
  <c r="U39" i="3"/>
  <c r="T39" i="3"/>
  <c r="S40" i="3"/>
  <c r="T213" i="3"/>
  <c r="U213" i="3" s="1"/>
  <c r="S214" i="3"/>
  <c r="P166" i="3"/>
  <c r="Q166" i="3" s="1"/>
  <c r="O166" i="3" a="1"/>
  <c r="O166" i="3" s="1"/>
  <c r="N167" i="3" s="1"/>
  <c r="T133" i="3"/>
  <c r="U133" i="3" s="1"/>
  <c r="V134" i="3" s="1"/>
  <c r="V135" i="3" s="1"/>
  <c r="T143" i="3"/>
  <c r="U143" i="3" s="1"/>
  <c r="V144" i="3" s="1"/>
  <c r="V145" i="3" s="1"/>
  <c r="O115" i="3" a="1"/>
  <c r="O115" i="3" s="1"/>
  <c r="N116" i="3" s="1"/>
  <c r="P115" i="3"/>
  <c r="Q115" i="3" s="1"/>
  <c r="T258" i="3"/>
  <c r="U258" i="3" s="1"/>
  <c r="V259" i="3" s="1"/>
  <c r="V260" i="3" s="1"/>
  <c r="T198" i="3"/>
  <c r="U198" i="3" s="1"/>
  <c r="V199" i="3" s="1"/>
  <c r="V200" i="3" s="1"/>
  <c r="V195" i="3"/>
  <c r="V196" i="3" s="1"/>
  <c r="V142" i="3"/>
  <c r="V143" i="3" s="1"/>
  <c r="P76" i="3"/>
  <c r="Q76" i="3" s="1"/>
  <c r="O76" i="3" a="1"/>
  <c r="O76" i="3" s="1"/>
  <c r="N77" i="3" s="1"/>
  <c r="V253" i="3"/>
  <c r="V254" i="3" s="1"/>
  <c r="T250" i="3"/>
  <c r="U250" i="3" s="1"/>
  <c r="V251" i="3" s="1"/>
  <c r="V252" i="3" s="1"/>
  <c r="P103" i="3"/>
  <c r="Q103" i="3" s="1"/>
  <c r="O103" i="3" a="1"/>
  <c r="O103" i="3" s="1"/>
  <c r="N104" i="3" s="1"/>
  <c r="T192" i="3"/>
  <c r="U192" i="3" s="1"/>
  <c r="V193" i="3" s="1"/>
  <c r="V194" i="3" s="1"/>
  <c r="T65" i="3"/>
  <c r="U65" i="3" s="1"/>
  <c r="V66" i="3" s="1"/>
  <c r="V67" i="3" s="1"/>
  <c r="T61" i="3"/>
  <c r="U61" i="3" s="1"/>
  <c r="V62" i="3" s="1"/>
  <c r="V63" i="3" s="1"/>
  <c r="T57" i="3"/>
  <c r="U57" i="3" s="1"/>
  <c r="V58" i="3" s="1"/>
  <c r="V59" i="3" s="1"/>
  <c r="T53" i="3"/>
  <c r="U53" i="3" s="1"/>
  <c r="V54" i="3" s="1"/>
  <c r="V55" i="3" s="1"/>
  <c r="T266" i="3"/>
  <c r="U266" i="3" s="1"/>
  <c r="V267" i="3" s="1"/>
  <c r="V268" i="3" s="1"/>
  <c r="V140" i="3"/>
  <c r="V141" i="3" s="1"/>
  <c r="T75" i="3"/>
  <c r="U75" i="3" s="1"/>
  <c r="S76" i="3"/>
  <c r="T268" i="3"/>
  <c r="U268" i="3" s="1"/>
  <c r="V269" i="3" s="1"/>
  <c r="P226" i="3"/>
  <c r="Q226" i="3" s="1"/>
  <c r="N227" i="3"/>
  <c r="O227" i="3" s="1" a="1"/>
  <c r="O227" i="3" s="1"/>
  <c r="T206" i="3"/>
  <c r="U206" i="3" s="1"/>
  <c r="T127" i="3"/>
  <c r="U127" i="3" s="1"/>
  <c r="V128" i="3" s="1"/>
  <c r="V129" i="3" s="1"/>
  <c r="P180" i="3"/>
  <c r="Q180" i="3" s="1"/>
  <c r="O180" i="3" a="1"/>
  <c r="O180" i="3" s="1"/>
  <c r="N181" i="3" s="1"/>
  <c r="T59" i="3"/>
  <c r="U59" i="3" s="1"/>
  <c r="V60" i="3" s="1"/>
  <c r="V61" i="3" s="1"/>
  <c r="T55" i="3"/>
  <c r="U55" i="3" s="1"/>
  <c r="V56" i="3" s="1"/>
  <c r="V57" i="3" s="1"/>
  <c r="N250" i="3"/>
  <c r="O250" i="3" s="1" a="1"/>
  <c r="O250" i="3" s="1"/>
  <c r="P249" i="3"/>
  <c r="Q249" i="3" s="1"/>
  <c r="S153" i="3"/>
  <c r="T152" i="3"/>
  <c r="U152" i="3" s="1"/>
  <c r="T135" i="3"/>
  <c r="U135" i="3" s="1"/>
  <c r="V136" i="3" s="1"/>
  <c r="V137" i="3" s="1"/>
  <c r="P129" i="3"/>
  <c r="Q129" i="3" s="1"/>
  <c r="O129" i="3" a="1"/>
  <c r="O129" i="3" s="1"/>
  <c r="N130" i="3" s="1"/>
  <c r="P91" i="3"/>
  <c r="Q91" i="3" s="1"/>
  <c r="O91" i="3" a="1"/>
  <c r="O91" i="3" s="1"/>
  <c r="N92" i="3" s="1"/>
  <c r="S226" i="3"/>
  <c r="T225" i="3"/>
  <c r="U225" i="3" s="1"/>
  <c r="T196" i="3"/>
  <c r="U196" i="3" s="1"/>
  <c r="V197" i="3" s="1"/>
  <c r="V198" i="3" s="1"/>
  <c r="T101" i="3"/>
  <c r="U101" i="3" s="1"/>
  <c r="S102" i="3"/>
  <c r="V263" i="3"/>
  <c r="V264" i="3" s="1"/>
  <c r="V203" i="3"/>
  <c r="V204" i="3" s="1"/>
  <c r="S208" i="3"/>
  <c r="T207" i="3"/>
  <c r="U207" i="3" s="1"/>
  <c r="T114" i="3"/>
  <c r="U114" i="3" s="1"/>
  <c r="S115" i="3"/>
  <c r="P193" i="3"/>
  <c r="Q193" i="3" s="1"/>
  <c r="O193" i="3" a="1"/>
  <c r="O193" i="3" s="1"/>
  <c r="N194" i="3" s="1"/>
  <c r="O39" i="3" a="1"/>
  <c r="O39" i="3" s="1"/>
  <c r="N40" i="3" s="1"/>
  <c r="P39" i="3"/>
  <c r="Q39" i="3" s="1"/>
  <c r="T166" i="3"/>
  <c r="U166" i="3" s="1"/>
  <c r="S167" i="3"/>
  <c r="P215" i="3"/>
  <c r="Q215" i="3" s="1"/>
  <c r="O215" i="3" a="1"/>
  <c r="O215" i="3" s="1"/>
  <c r="N216" i="3" s="1"/>
  <c r="T63" i="3"/>
  <c r="U63" i="3"/>
  <c r="V64" i="3" s="1"/>
  <c r="V65" i="3" s="1"/>
  <c r="T27" i="3"/>
  <c r="U27" i="3"/>
  <c r="S28" i="3"/>
  <c r="O27" i="3" a="1"/>
  <c r="O27" i="3" s="1"/>
  <c r="N28" i="3" s="1"/>
  <c r="P27" i="3"/>
  <c r="Q27" i="3" s="1"/>
  <c r="O7" i="3" a="1"/>
  <c r="O7" i="3" s="1"/>
  <c r="N8" i="3" s="1"/>
  <c r="P7" i="3"/>
  <c r="Q7" i="3" s="1"/>
  <c r="O53" i="3" l="1" a="1"/>
  <c r="O53" i="3" s="1"/>
  <c r="N54" i="3" s="1"/>
  <c r="P53" i="3"/>
  <c r="Q53" i="3" s="1"/>
  <c r="V207" i="3"/>
  <c r="V208" i="3" s="1"/>
  <c r="T226" i="3"/>
  <c r="U226" i="3" s="1"/>
  <c r="S227" i="3"/>
  <c r="S168" i="3"/>
  <c r="T167" i="3"/>
  <c r="U167" i="3" s="1"/>
  <c r="P40" i="3"/>
  <c r="Q40" i="3" s="1"/>
  <c r="O40" i="3" a="1"/>
  <c r="O40" i="3" s="1"/>
  <c r="N41" i="3" s="1"/>
  <c r="P250" i="3"/>
  <c r="Q250" i="3" s="1"/>
  <c r="N251" i="3"/>
  <c r="O251" i="3" s="1" a="1"/>
  <c r="O251" i="3" s="1"/>
  <c r="T40" i="3"/>
  <c r="U40" i="3" s="1"/>
  <c r="S41" i="3"/>
  <c r="S181" i="3"/>
  <c r="T180" i="3"/>
  <c r="U180" i="3" s="1"/>
  <c r="P216" i="3"/>
  <c r="Q216" i="3" s="1"/>
  <c r="O216" i="3" a="1"/>
  <c r="O216" i="3" s="1"/>
  <c r="N217" i="3" s="1"/>
  <c r="S116" i="3"/>
  <c r="T115" i="3"/>
  <c r="U115" i="3" s="1"/>
  <c r="S154" i="3"/>
  <c r="T153" i="3"/>
  <c r="U153" i="3" s="1"/>
  <c r="P227" i="3"/>
  <c r="Q227" i="3" s="1"/>
  <c r="N228" i="3"/>
  <c r="O228" i="3" s="1" a="1"/>
  <c r="O228" i="3" s="1"/>
  <c r="O116" i="3" a="1"/>
  <c r="O116" i="3" s="1"/>
  <c r="N117" i="3" s="1"/>
  <c r="P116" i="3"/>
  <c r="Q116" i="3" s="1"/>
  <c r="O155" i="3" a="1"/>
  <c r="O155" i="3" s="1"/>
  <c r="N156" i="3" s="1"/>
  <c r="P155" i="3"/>
  <c r="Q155" i="3" s="1"/>
  <c r="P181" i="3"/>
  <c r="Q181" i="3" s="1"/>
  <c r="O181" i="3" a="1"/>
  <c r="O181" i="3" s="1"/>
  <c r="N182" i="3" s="1"/>
  <c r="S77" i="3"/>
  <c r="T76" i="3"/>
  <c r="U76" i="3" s="1"/>
  <c r="O104" i="3" a="1"/>
  <c r="O104" i="3" s="1"/>
  <c r="N105" i="3" s="1"/>
  <c r="P104" i="3"/>
  <c r="Q104" i="3" s="1"/>
  <c r="S215" i="3"/>
  <c r="T214" i="3"/>
  <c r="U214" i="3" s="1"/>
  <c r="T90" i="3"/>
  <c r="U90" i="3" s="1"/>
  <c r="S91" i="3"/>
  <c r="P194" i="3"/>
  <c r="Q194" i="3" s="1"/>
  <c r="O194" i="3" a="1"/>
  <c r="O194" i="3" s="1"/>
  <c r="N195" i="3" s="1"/>
  <c r="T208" i="3"/>
  <c r="U208" i="3" s="1"/>
  <c r="V209" i="3" s="1"/>
  <c r="S103" i="3"/>
  <c r="T102" i="3"/>
  <c r="U102" i="3" s="1"/>
  <c r="P92" i="3"/>
  <c r="Q92" i="3" s="1"/>
  <c r="O92" i="3" a="1"/>
  <c r="O92" i="3" s="1"/>
  <c r="N93" i="3" s="1"/>
  <c r="P130" i="3"/>
  <c r="Q130" i="3" s="1"/>
  <c r="O130" i="3" a="1"/>
  <c r="O130" i="3" s="1"/>
  <c r="N131" i="3" s="1"/>
  <c r="P77" i="3"/>
  <c r="Q77" i="3" s="1"/>
  <c r="O77" i="3" a="1"/>
  <c r="O77" i="3" s="1"/>
  <c r="N78" i="3" s="1"/>
  <c r="O167" i="3" a="1"/>
  <c r="O167" i="3" s="1"/>
  <c r="N168" i="3" s="1"/>
  <c r="P167" i="3"/>
  <c r="Q167" i="3" s="1"/>
  <c r="O8" i="3" a="1"/>
  <c r="O8" i="3" s="1"/>
  <c r="N9" i="3" s="1"/>
  <c r="P8" i="3"/>
  <c r="Q8" i="3"/>
  <c r="O28" i="3" a="1"/>
  <c r="O28" i="3" s="1"/>
  <c r="N29" i="3" s="1"/>
  <c r="P28" i="3"/>
  <c r="Q28" i="3" s="1"/>
  <c r="S29" i="3"/>
  <c r="T28" i="3"/>
  <c r="U28" i="3" s="1"/>
  <c r="O54" i="3" l="1" a="1"/>
  <c r="O54" i="3" s="1"/>
  <c r="N55" i="3" s="1"/>
  <c r="P54" i="3"/>
  <c r="Q54" i="3" s="1"/>
  <c r="O131" i="3" a="1"/>
  <c r="O131" i="3" s="1"/>
  <c r="N132" i="3" s="1"/>
  <c r="P131" i="3"/>
  <c r="Q131" i="3" s="1"/>
  <c r="S78" i="3"/>
  <c r="T77" i="3"/>
  <c r="U77" i="3" s="1"/>
  <c r="O117" i="3" a="1"/>
  <c r="O117" i="3" s="1"/>
  <c r="N118" i="3" s="1"/>
  <c r="P117" i="3"/>
  <c r="Q117" i="3" s="1"/>
  <c r="N252" i="3"/>
  <c r="O252" i="3" s="1" a="1"/>
  <c r="O252" i="3" s="1"/>
  <c r="P251" i="3"/>
  <c r="Q251" i="3" s="1"/>
  <c r="O78" i="3" a="1"/>
  <c r="O78" i="3" s="1"/>
  <c r="N79" i="3" s="1"/>
  <c r="P78" i="3"/>
  <c r="Q78" i="3" s="1"/>
  <c r="O105" i="3" a="1"/>
  <c r="O105" i="3" s="1"/>
  <c r="N106" i="3" s="1"/>
  <c r="P105" i="3"/>
  <c r="Q105" i="3" s="1"/>
  <c r="O182" i="3" a="1"/>
  <c r="O182" i="3" s="1"/>
  <c r="N183" i="3" s="1"/>
  <c r="P182" i="3"/>
  <c r="Q182" i="3" s="1"/>
  <c r="P156" i="3"/>
  <c r="Q156" i="3" s="1"/>
  <c r="O156" i="3" a="1"/>
  <c r="O156" i="3" s="1"/>
  <c r="N157" i="3" s="1"/>
  <c r="U116" i="3"/>
  <c r="T116" i="3"/>
  <c r="S117" i="3"/>
  <c r="S42" i="3"/>
  <c r="T41" i="3"/>
  <c r="U41" i="3" s="1"/>
  <c r="S228" i="3"/>
  <c r="T227" i="3"/>
  <c r="U227" i="3" s="1"/>
  <c r="T91" i="3"/>
  <c r="U91" i="3" s="1"/>
  <c r="S92" i="3"/>
  <c r="S216" i="3"/>
  <c r="T215" i="3"/>
  <c r="U215" i="3" s="1"/>
  <c r="P228" i="3"/>
  <c r="Q228" i="3" s="1"/>
  <c r="N229" i="3"/>
  <c r="O229" i="3" s="1" a="1"/>
  <c r="O229" i="3" s="1"/>
  <c r="S155" i="3"/>
  <c r="T154" i="3"/>
  <c r="U154" i="3" s="1"/>
  <c r="P168" i="3"/>
  <c r="Q168" i="3" s="1"/>
  <c r="O168" i="3" a="1"/>
  <c r="O168" i="3" s="1"/>
  <c r="N169" i="3" s="1"/>
  <c r="P93" i="3"/>
  <c r="Q93" i="3" s="1"/>
  <c r="O93" i="3" a="1"/>
  <c r="O93" i="3" s="1"/>
  <c r="N94" i="3" s="1"/>
  <c r="U103" i="3"/>
  <c r="T103" i="3"/>
  <c r="S104" i="3"/>
  <c r="P195" i="3"/>
  <c r="Q195" i="3" s="1"/>
  <c r="O195" i="3" a="1"/>
  <c r="O195" i="3" s="1"/>
  <c r="N196" i="3" s="1"/>
  <c r="O217" i="3" a="1"/>
  <c r="O217" i="3" s="1"/>
  <c r="N218" i="3" s="1"/>
  <c r="P217" i="3"/>
  <c r="Q217" i="3" s="1"/>
  <c r="T181" i="3"/>
  <c r="U181" i="3" s="1"/>
  <c r="S182" i="3"/>
  <c r="P41" i="3"/>
  <c r="Q41" i="3" s="1"/>
  <c r="O41" i="3" a="1"/>
  <c r="O41" i="3" s="1"/>
  <c r="N42" i="3" s="1"/>
  <c r="T168" i="3"/>
  <c r="U168" i="3" s="1"/>
  <c r="S169" i="3"/>
  <c r="S30" i="3"/>
  <c r="T29" i="3"/>
  <c r="U29" i="3"/>
  <c r="P29" i="3"/>
  <c r="Q29" i="3" s="1"/>
  <c r="O29" i="3" a="1"/>
  <c r="O29" i="3" s="1"/>
  <c r="N30" i="3" s="1"/>
  <c r="O30" i="3" s="1" a="1"/>
  <c r="O30" i="3" s="1"/>
  <c r="N31" i="3" s="1"/>
  <c r="P9" i="3"/>
  <c r="Q9" i="3" s="1"/>
  <c r="O9" i="3" a="1"/>
  <c r="O9" i="3" s="1"/>
  <c r="N10" i="3" s="1"/>
  <c r="O55" i="3" l="1" a="1"/>
  <c r="O55" i="3" s="1"/>
  <c r="N56" i="3" s="1"/>
  <c r="P55" i="3"/>
  <c r="Q55" i="3"/>
  <c r="P31" i="3"/>
  <c r="Q31" i="3" s="1"/>
  <c r="O31" i="3" a="1"/>
  <c r="O31" i="3" s="1"/>
  <c r="N32" i="3" s="1"/>
  <c r="T182" i="3"/>
  <c r="U182" i="3" s="1"/>
  <c r="S183" i="3"/>
  <c r="T169" i="3"/>
  <c r="U169" i="3" s="1"/>
  <c r="S170" i="3"/>
  <c r="P196" i="3"/>
  <c r="Q196" i="3" s="1"/>
  <c r="O196" i="3" a="1"/>
  <c r="O196" i="3" s="1"/>
  <c r="N197" i="3" s="1"/>
  <c r="S217" i="3"/>
  <c r="T216" i="3"/>
  <c r="U216" i="3" s="1"/>
  <c r="S43" i="3"/>
  <c r="T42" i="3"/>
  <c r="U42" i="3" s="1"/>
  <c r="Q106" i="3"/>
  <c r="O106" i="3" a="1"/>
  <c r="O106" i="3" s="1"/>
  <c r="N107" i="3" s="1"/>
  <c r="P106" i="3"/>
  <c r="S79" i="3"/>
  <c r="T78" i="3"/>
  <c r="U78" i="3" s="1"/>
  <c r="O169" i="3" a="1"/>
  <c r="O169" i="3" s="1"/>
  <c r="N170" i="3" s="1"/>
  <c r="P169" i="3"/>
  <c r="Q169" i="3" s="1"/>
  <c r="S156" i="3"/>
  <c r="T155" i="3"/>
  <c r="U155" i="3" s="1"/>
  <c r="T92" i="3"/>
  <c r="U92" i="3" s="1"/>
  <c r="S93" i="3"/>
  <c r="O157" i="3" a="1"/>
  <c r="O157" i="3" s="1"/>
  <c r="N158" i="3" s="1"/>
  <c r="P157" i="3"/>
  <c r="Q157" i="3" s="1"/>
  <c r="O183" i="3" a="1"/>
  <c r="O183" i="3" s="1"/>
  <c r="N184" i="3" s="1"/>
  <c r="P183" i="3"/>
  <c r="Q183" i="3" s="1"/>
  <c r="P118" i="3"/>
  <c r="Q118" i="3" s="1"/>
  <c r="O118" i="3" a="1"/>
  <c r="O118" i="3" s="1"/>
  <c r="N119" i="3" s="1"/>
  <c r="P94" i="3"/>
  <c r="Q94" i="3" s="1"/>
  <c r="O94" i="3" a="1"/>
  <c r="O94" i="3" s="1"/>
  <c r="N95" i="3" s="1"/>
  <c r="S229" i="3"/>
  <c r="T228" i="3"/>
  <c r="U228" i="3" s="1"/>
  <c r="T117" i="3"/>
  <c r="U117" i="3" s="1"/>
  <c r="S118" i="3"/>
  <c r="N253" i="3"/>
  <c r="O253" i="3" s="1" a="1"/>
  <c r="O253" i="3" s="1"/>
  <c r="P252" i="3"/>
  <c r="Q252" i="3" s="1"/>
  <c r="O132" i="3" a="1"/>
  <c r="O132" i="3" s="1"/>
  <c r="N133" i="3" s="1"/>
  <c r="P132" i="3"/>
  <c r="Q132" i="3" s="1"/>
  <c r="P218" i="3"/>
  <c r="Q218" i="3" s="1"/>
  <c r="O218" i="3" a="1"/>
  <c r="O218" i="3" s="1"/>
  <c r="N219" i="3" s="1"/>
  <c r="Q42" i="3"/>
  <c r="P42" i="3"/>
  <c r="O42" i="3" a="1"/>
  <c r="O42" i="3" s="1"/>
  <c r="N43" i="3" s="1"/>
  <c r="U104" i="3"/>
  <c r="T104" i="3"/>
  <c r="S105" i="3"/>
  <c r="P229" i="3"/>
  <c r="Q229" i="3" s="1"/>
  <c r="N230" i="3"/>
  <c r="O230" i="3" s="1" a="1"/>
  <c r="O230" i="3" s="1"/>
  <c r="O79" i="3" a="1"/>
  <c r="O79" i="3" s="1"/>
  <c r="N80" i="3" s="1"/>
  <c r="P79" i="3"/>
  <c r="Q79" i="3" s="1"/>
  <c r="P10" i="3"/>
  <c r="Q10" i="3" s="1"/>
  <c r="O10" i="3" a="1"/>
  <c r="O10" i="3" s="1"/>
  <c r="N11" i="3" s="1"/>
  <c r="P30" i="3"/>
  <c r="Q30" i="3" s="1"/>
  <c r="T30" i="3"/>
  <c r="U30" i="3"/>
  <c r="S31" i="3"/>
  <c r="P56" i="3" l="1"/>
  <c r="Q56" i="3" s="1"/>
  <c r="O56" i="3" a="1"/>
  <c r="O56" i="3" s="1"/>
  <c r="N57" i="3" s="1"/>
  <c r="P230" i="3"/>
  <c r="Q230" i="3" s="1"/>
  <c r="N231" i="3"/>
  <c r="O231" i="3" s="1" a="1"/>
  <c r="O231" i="3" s="1"/>
  <c r="P107" i="3"/>
  <c r="Q107" i="3" s="1"/>
  <c r="O107" i="3" a="1"/>
  <c r="O107" i="3" s="1"/>
  <c r="N108" i="3" s="1"/>
  <c r="T43" i="3"/>
  <c r="U43" i="3" s="1"/>
  <c r="S44" i="3"/>
  <c r="P197" i="3"/>
  <c r="Q197" i="3" s="1"/>
  <c r="O197" i="3" a="1"/>
  <c r="O197" i="3" s="1"/>
  <c r="N198" i="3" s="1"/>
  <c r="O219" i="3" a="1"/>
  <c r="O219" i="3" s="1"/>
  <c r="N220" i="3" s="1"/>
  <c r="P219" i="3"/>
  <c r="Q219" i="3" s="1"/>
  <c r="O133" i="3" a="1"/>
  <c r="O133" i="3" s="1"/>
  <c r="N134" i="3" s="1"/>
  <c r="P133" i="3"/>
  <c r="Q133" i="3" s="1"/>
  <c r="S119" i="3"/>
  <c r="T118" i="3"/>
  <c r="U118" i="3" s="1"/>
  <c r="S230" i="3"/>
  <c r="T229" i="3"/>
  <c r="U229" i="3" s="1"/>
  <c r="O158" i="3" a="1"/>
  <c r="O158" i="3" s="1"/>
  <c r="N159" i="3" s="1"/>
  <c r="P158" i="3"/>
  <c r="Q158" i="3" s="1"/>
  <c r="S80" i="3"/>
  <c r="T79" i="3"/>
  <c r="U79" i="3" s="1"/>
  <c r="P80" i="3"/>
  <c r="Q80" i="3" s="1"/>
  <c r="O80" i="3" a="1"/>
  <c r="O80" i="3" s="1"/>
  <c r="N81" i="3" s="1"/>
  <c r="P184" i="3"/>
  <c r="Q184" i="3" s="1"/>
  <c r="O184" i="3" a="1"/>
  <c r="O184" i="3" s="1"/>
  <c r="N185" i="3" s="1"/>
  <c r="O170" i="3" a="1"/>
  <c r="O170" i="3" s="1"/>
  <c r="N171" i="3" s="1"/>
  <c r="P170" i="3"/>
  <c r="Q170" i="3" s="1"/>
  <c r="T217" i="3"/>
  <c r="U217" i="3" s="1"/>
  <c r="S218" i="3"/>
  <c r="T183" i="3"/>
  <c r="U183" i="3" s="1"/>
  <c r="S184" i="3"/>
  <c r="O32" i="3" a="1"/>
  <c r="O32" i="3" s="1"/>
  <c r="N33" i="3" s="1"/>
  <c r="P32" i="3"/>
  <c r="Q32" i="3" s="1"/>
  <c r="P43" i="3"/>
  <c r="Q43" i="3" s="1"/>
  <c r="O43" i="3" a="1"/>
  <c r="O43" i="3" s="1"/>
  <c r="N44" i="3" s="1"/>
  <c r="O119" i="3" a="1"/>
  <c r="O119" i="3" s="1"/>
  <c r="N120" i="3" s="1"/>
  <c r="P119" i="3"/>
  <c r="Q119" i="3" s="1"/>
  <c r="T105" i="3"/>
  <c r="U105" i="3" s="1"/>
  <c r="S106" i="3"/>
  <c r="P253" i="3"/>
  <c r="Q253" i="3" s="1"/>
  <c r="N254" i="3"/>
  <c r="O254" i="3" s="1" a="1"/>
  <c r="O254" i="3" s="1"/>
  <c r="P95" i="3"/>
  <c r="Q95" i="3" s="1"/>
  <c r="O95" i="3" a="1"/>
  <c r="O95" i="3" s="1"/>
  <c r="N96" i="3" s="1"/>
  <c r="S94" i="3"/>
  <c r="T93" i="3"/>
  <c r="U93" i="3" s="1"/>
  <c r="S157" i="3"/>
  <c r="T156" i="3"/>
  <c r="U156" i="3" s="1"/>
  <c r="U170" i="3"/>
  <c r="T170" i="3"/>
  <c r="S171" i="3"/>
  <c r="T31" i="3"/>
  <c r="U31" i="3" s="1"/>
  <c r="S32" i="3"/>
  <c r="O11" i="3" a="1"/>
  <c r="O11" i="3" s="1"/>
  <c r="N12" i="3" s="1"/>
  <c r="P11" i="3"/>
  <c r="Q11" i="3" s="1"/>
  <c r="O57" i="3" l="1" a="1"/>
  <c r="O57" i="3" s="1"/>
  <c r="N58" i="3" s="1"/>
  <c r="P57" i="3"/>
  <c r="Q57" i="3" s="1"/>
  <c r="T106" i="3"/>
  <c r="U106" i="3" s="1"/>
  <c r="S107" i="3"/>
  <c r="O120" i="3" a="1"/>
  <c r="O120" i="3" s="1"/>
  <c r="N121" i="3" s="1"/>
  <c r="P120" i="3"/>
  <c r="Q120" i="3" s="1"/>
  <c r="S185" i="3"/>
  <c r="T184" i="3"/>
  <c r="U184" i="3" s="1"/>
  <c r="P81" i="3"/>
  <c r="Q81" i="3" s="1"/>
  <c r="O81" i="3" a="1"/>
  <c r="O81" i="3" s="1"/>
  <c r="N82" i="3" s="1"/>
  <c r="S81" i="3"/>
  <c r="T80" i="3"/>
  <c r="U80" i="3"/>
  <c r="Q134" i="3"/>
  <c r="P134" i="3"/>
  <c r="O134" i="3" a="1"/>
  <c r="O134" i="3" s="1"/>
  <c r="N135" i="3" s="1"/>
  <c r="T44" i="3"/>
  <c r="U44" i="3" s="1"/>
  <c r="S45" i="3"/>
  <c r="T171" i="3"/>
  <c r="U171" i="3" s="1"/>
  <c r="S172" i="3"/>
  <c r="S158" i="3"/>
  <c r="T157" i="3"/>
  <c r="U157" i="3" s="1"/>
  <c r="S95" i="3"/>
  <c r="T94" i="3"/>
  <c r="U94" i="3" s="1"/>
  <c r="P254" i="3"/>
  <c r="Q254" i="3" s="1"/>
  <c r="N255" i="3"/>
  <c r="O255" i="3" s="1" a="1"/>
  <c r="O255" i="3" s="1"/>
  <c r="P185" i="3"/>
  <c r="Q185" i="3" s="1"/>
  <c r="O185" i="3" a="1"/>
  <c r="O185" i="3" s="1"/>
  <c r="N186" i="3" s="1"/>
  <c r="U119" i="3"/>
  <c r="S120" i="3"/>
  <c r="T119" i="3"/>
  <c r="P198" i="3"/>
  <c r="Q198" i="3" s="1"/>
  <c r="O198" i="3" a="1"/>
  <c r="O198" i="3" s="1"/>
  <c r="N199" i="3" s="1"/>
  <c r="P231" i="3"/>
  <c r="Q231" i="3" s="1"/>
  <c r="N232" i="3"/>
  <c r="O232" i="3" s="1" a="1"/>
  <c r="O232" i="3" s="1"/>
  <c r="Q96" i="3"/>
  <c r="O96" i="3" a="1"/>
  <c r="O96" i="3" s="1"/>
  <c r="N97" i="3" s="1"/>
  <c r="P96" i="3"/>
  <c r="O44" i="3" a="1"/>
  <c r="O44" i="3" s="1"/>
  <c r="N45" i="3" s="1"/>
  <c r="P44" i="3"/>
  <c r="Q44" i="3" s="1"/>
  <c r="P33" i="3"/>
  <c r="Q33" i="3" s="1"/>
  <c r="O33" i="3" a="1"/>
  <c r="O33" i="3" s="1"/>
  <c r="N34" i="3" s="1"/>
  <c r="T218" i="3"/>
  <c r="U218" i="3" s="1"/>
  <c r="S219" i="3"/>
  <c r="P171" i="3"/>
  <c r="Q171" i="3" s="1"/>
  <c r="O171" i="3" a="1"/>
  <c r="O171" i="3" s="1"/>
  <c r="N172" i="3" s="1"/>
  <c r="P159" i="3"/>
  <c r="Q159" i="3" s="1"/>
  <c r="O159" i="3" a="1"/>
  <c r="O159" i="3" s="1"/>
  <c r="N160" i="3" s="1"/>
  <c r="S231" i="3"/>
  <c r="T230" i="3"/>
  <c r="U230" i="3" s="1"/>
  <c r="P220" i="3"/>
  <c r="Q220" i="3" s="1"/>
  <c r="O220" i="3" a="1"/>
  <c r="O220" i="3" s="1"/>
  <c r="N221" i="3" s="1"/>
  <c r="P108" i="3"/>
  <c r="Q108" i="3" s="1"/>
  <c r="O108" i="3" a="1"/>
  <c r="O108" i="3" s="1"/>
  <c r="N109" i="3" s="1"/>
  <c r="O12" i="3" a="1"/>
  <c r="O12" i="3" s="1"/>
  <c r="N13" i="3" s="1"/>
  <c r="P12" i="3"/>
  <c r="Q12" i="3"/>
  <c r="S33" i="3"/>
  <c r="T32" i="3"/>
  <c r="U32" i="3" s="1"/>
  <c r="O58" i="3" l="1" a="1"/>
  <c r="O58" i="3" s="1"/>
  <c r="N59" i="3" s="1"/>
  <c r="P58" i="3"/>
  <c r="Q58" i="3" s="1"/>
  <c r="P109" i="3"/>
  <c r="Q109" i="3" s="1"/>
  <c r="O109" i="3" a="1"/>
  <c r="O109" i="3" s="1"/>
  <c r="N110" i="3" s="1"/>
  <c r="O172" i="3" a="1"/>
  <c r="O172" i="3" s="1"/>
  <c r="N173" i="3" s="1"/>
  <c r="P172" i="3"/>
  <c r="Q172" i="3" s="1"/>
  <c r="P186" i="3"/>
  <c r="Q186" i="3" s="1"/>
  <c r="O186" i="3" a="1"/>
  <c r="O186" i="3" s="1"/>
  <c r="N187" i="3" s="1"/>
  <c r="T172" i="3"/>
  <c r="U172" i="3" s="1"/>
  <c r="S173" i="3"/>
  <c r="O82" i="3" a="1"/>
  <c r="O82" i="3" s="1"/>
  <c r="N83" i="3" s="1"/>
  <c r="P82" i="3"/>
  <c r="Q82" i="3" s="1"/>
  <c r="T185" i="3"/>
  <c r="U185" i="3" s="1"/>
  <c r="S186" i="3"/>
  <c r="P160" i="3"/>
  <c r="Q160" i="3" s="1"/>
  <c r="O160" i="3" a="1"/>
  <c r="O160" i="3" s="1"/>
  <c r="N161" i="3" s="1"/>
  <c r="O97" i="3" a="1"/>
  <c r="O97" i="3" s="1"/>
  <c r="N98" i="3" s="1"/>
  <c r="P97" i="3"/>
  <c r="Q97" i="3" s="1"/>
  <c r="U107" i="3"/>
  <c r="T107" i="3"/>
  <c r="S108" i="3"/>
  <c r="O34" i="3" a="1"/>
  <c r="O34" i="3" s="1"/>
  <c r="N35" i="3" s="1"/>
  <c r="P34" i="3"/>
  <c r="Q34" i="3" s="1"/>
  <c r="O45" i="3" a="1"/>
  <c r="O45" i="3" s="1"/>
  <c r="N46" i="3" s="1"/>
  <c r="P45" i="3"/>
  <c r="Q45" i="3" s="1"/>
  <c r="P199" i="3"/>
  <c r="Q199" i="3" s="1"/>
  <c r="O199" i="3" a="1"/>
  <c r="O199" i="3" s="1"/>
  <c r="N200" i="3" s="1"/>
  <c r="S121" i="3"/>
  <c r="T120" i="3"/>
  <c r="U120" i="3" s="1"/>
  <c r="T158" i="3"/>
  <c r="U158" i="3" s="1"/>
  <c r="S159" i="3"/>
  <c r="O135" i="3" a="1"/>
  <c r="O135" i="3" s="1"/>
  <c r="N136" i="3" s="1"/>
  <c r="P135" i="3"/>
  <c r="Q135" i="3" s="1"/>
  <c r="O221" i="3" a="1"/>
  <c r="O221" i="3" s="1"/>
  <c r="N222" i="3" s="1"/>
  <c r="P221" i="3"/>
  <c r="Q221" i="3" s="1"/>
  <c r="S232" i="3"/>
  <c r="U231" i="3"/>
  <c r="T231" i="3"/>
  <c r="S220" i="3"/>
  <c r="T219" i="3"/>
  <c r="U219" i="3" s="1"/>
  <c r="P232" i="3"/>
  <c r="Q232" i="3" s="1"/>
  <c r="N233" i="3"/>
  <c r="O233" i="3" s="1" a="1"/>
  <c r="O233" i="3" s="1"/>
  <c r="N256" i="3"/>
  <c r="O256" i="3" s="1" a="1"/>
  <c r="O256" i="3" s="1"/>
  <c r="P255" i="3"/>
  <c r="Q255" i="3" s="1"/>
  <c r="T95" i="3"/>
  <c r="U95" i="3" s="1"/>
  <c r="S96" i="3"/>
  <c r="T45" i="3"/>
  <c r="U45" i="3" s="1"/>
  <c r="S46" i="3"/>
  <c r="T81" i="3"/>
  <c r="U81" i="3" s="1"/>
  <c r="S82" i="3"/>
  <c r="O121" i="3" a="1"/>
  <c r="O121" i="3" s="1"/>
  <c r="N122" i="3" s="1"/>
  <c r="P121" i="3"/>
  <c r="Q121" i="3" s="1"/>
  <c r="S34" i="3"/>
  <c r="T33" i="3"/>
  <c r="U33" i="3" s="1"/>
  <c r="P13" i="3"/>
  <c r="Q13" i="3" s="1"/>
  <c r="O13" i="3" a="1"/>
  <c r="O13" i="3" s="1"/>
  <c r="N14" i="3" s="1"/>
  <c r="P59" i="3" l="1"/>
  <c r="Q59" i="3" s="1"/>
  <c r="O59" i="3" a="1"/>
  <c r="O59" i="3" s="1"/>
  <c r="N60" i="3" s="1"/>
  <c r="T82" i="3"/>
  <c r="U82" i="3" s="1"/>
  <c r="S83" i="3"/>
  <c r="P233" i="3"/>
  <c r="Q233" i="3" s="1"/>
  <c r="N234" i="3"/>
  <c r="O234" i="3" s="1" a="1"/>
  <c r="O234" i="3" s="1"/>
  <c r="S233" i="3"/>
  <c r="T232" i="3"/>
  <c r="U232" i="3" s="1"/>
  <c r="T173" i="3"/>
  <c r="U173" i="3" s="1"/>
  <c r="S174" i="3"/>
  <c r="S221" i="3"/>
  <c r="T220" i="3"/>
  <c r="U220" i="3" s="1"/>
  <c r="Q136" i="3"/>
  <c r="P136" i="3"/>
  <c r="O136" i="3" a="1"/>
  <c r="O136" i="3" s="1"/>
  <c r="N137" i="3" s="1"/>
  <c r="P200" i="3"/>
  <c r="Q200" i="3" s="1"/>
  <c r="O200" i="3" a="1"/>
  <c r="O200" i="3" s="1"/>
  <c r="N201" i="3" s="1"/>
  <c r="O46" i="3" a="1"/>
  <c r="O46" i="3" s="1"/>
  <c r="N47" i="3" s="1"/>
  <c r="P46" i="3"/>
  <c r="Q46" i="3" s="1"/>
  <c r="O35" i="3" a="1"/>
  <c r="O35" i="3" s="1"/>
  <c r="Q35" i="3"/>
  <c r="P35" i="3"/>
  <c r="S109" i="3"/>
  <c r="T108" i="3"/>
  <c r="U108" i="3" s="1"/>
  <c r="Q98" i="3"/>
  <c r="P98" i="3"/>
  <c r="O98" i="3" a="1"/>
  <c r="O98" i="3" s="1"/>
  <c r="Q110" i="3"/>
  <c r="P110" i="3"/>
  <c r="O110" i="3" a="1"/>
  <c r="O110" i="3" s="1"/>
  <c r="N111" i="3" s="1"/>
  <c r="P122" i="3"/>
  <c r="Q122" i="3" s="1"/>
  <c r="O122" i="3" a="1"/>
  <c r="O122" i="3" s="1"/>
  <c r="N123" i="3" s="1"/>
  <c r="S97" i="3"/>
  <c r="T96" i="3"/>
  <c r="U96" i="3" s="1"/>
  <c r="P256" i="3"/>
  <c r="Q256" i="3" s="1"/>
  <c r="N257" i="3"/>
  <c r="O257" i="3" s="1" a="1"/>
  <c r="O257" i="3" s="1"/>
  <c r="P222" i="3"/>
  <c r="Q222" i="3" s="1"/>
  <c r="O222" i="3" a="1"/>
  <c r="O222" i="3" s="1"/>
  <c r="S187" i="3"/>
  <c r="T186" i="3"/>
  <c r="U186" i="3" s="1"/>
  <c r="T46" i="3"/>
  <c r="U46" i="3" s="1"/>
  <c r="S47" i="3"/>
  <c r="T159" i="3"/>
  <c r="U159" i="3" s="1"/>
  <c r="S160" i="3"/>
  <c r="S122" i="3"/>
  <c r="T121" i="3"/>
  <c r="U121" i="3" s="1"/>
  <c r="P161" i="3"/>
  <c r="Q161" i="3" s="1"/>
  <c r="O161" i="3" a="1"/>
  <c r="O161" i="3" s="1"/>
  <c r="N162" i="3" s="1"/>
  <c r="O83" i="3" a="1"/>
  <c r="O83" i="3" s="1"/>
  <c r="N84" i="3" s="1"/>
  <c r="P83" i="3"/>
  <c r="Q83" i="3" s="1"/>
  <c r="Q187" i="3"/>
  <c r="O187" i="3" a="1"/>
  <c r="O187" i="3" s="1"/>
  <c r="N188" i="3" s="1"/>
  <c r="P187" i="3"/>
  <c r="O173" i="3" a="1"/>
  <c r="O173" i="3" s="1"/>
  <c r="N174" i="3" s="1"/>
  <c r="P173" i="3"/>
  <c r="Q173" i="3" s="1"/>
  <c r="P14" i="3"/>
  <c r="Q14" i="3" s="1"/>
  <c r="O14" i="3" a="1"/>
  <c r="O14" i="3" s="1"/>
  <c r="N15" i="3" s="1"/>
  <c r="T34" i="3"/>
  <c r="U34" i="3" s="1"/>
  <c r="S35" i="3"/>
  <c r="P60" i="3" l="1"/>
  <c r="Q60" i="3" s="1"/>
  <c r="O60" i="3" a="1"/>
  <c r="O60" i="3" s="1"/>
  <c r="N61" i="3" s="1"/>
  <c r="O84" i="3" a="1"/>
  <c r="O84" i="3" s="1"/>
  <c r="N85" i="3" s="1"/>
  <c r="P84" i="3"/>
  <c r="Q84" i="3" s="1"/>
  <c r="S161" i="3"/>
  <c r="T160" i="3"/>
  <c r="U160" i="3" s="1"/>
  <c r="S48" i="3"/>
  <c r="T47" i="3"/>
  <c r="U47" i="3" s="1"/>
  <c r="O111" i="3" a="1"/>
  <c r="O111" i="3" s="1"/>
  <c r="P111" i="3"/>
  <c r="Q111" i="3" s="1"/>
  <c r="U174" i="3"/>
  <c r="T174" i="3"/>
  <c r="S175" i="3"/>
  <c r="S234" i="3"/>
  <c r="U233" i="3"/>
  <c r="T233" i="3"/>
  <c r="P188" i="3"/>
  <c r="Q188" i="3" s="1"/>
  <c r="O188" i="3" a="1"/>
  <c r="O188" i="3" s="1"/>
  <c r="P123" i="3"/>
  <c r="Q123" i="3" s="1"/>
  <c r="O123" i="3" a="1"/>
  <c r="O123" i="3" s="1"/>
  <c r="N124" i="3" s="1"/>
  <c r="P47" i="3"/>
  <c r="Q47" i="3" s="1"/>
  <c r="O47" i="3" a="1"/>
  <c r="O47" i="3" s="1"/>
  <c r="N48" i="3" s="1"/>
  <c r="O174" i="3" a="1"/>
  <c r="O174" i="3" s="1"/>
  <c r="N175" i="3" s="1"/>
  <c r="P174" i="3"/>
  <c r="Q174" i="3" s="1"/>
  <c r="P162" i="3"/>
  <c r="Q162" i="3" s="1"/>
  <c r="O162" i="3" a="1"/>
  <c r="O162" i="3" s="1"/>
  <c r="T122" i="3"/>
  <c r="U122" i="3" s="1"/>
  <c r="S123" i="3"/>
  <c r="P137" i="3"/>
  <c r="Q137" i="3" s="1"/>
  <c r="O137" i="3" a="1"/>
  <c r="O137" i="3" s="1"/>
  <c r="N138" i="3" s="1"/>
  <c r="T221" i="3"/>
  <c r="U221" i="3"/>
  <c r="S222" i="3"/>
  <c r="P234" i="3"/>
  <c r="Q234" i="3" s="1"/>
  <c r="N235" i="3"/>
  <c r="O235" i="3" s="1" a="1"/>
  <c r="O235" i="3" s="1"/>
  <c r="S84" i="3"/>
  <c r="T83" i="3"/>
  <c r="U83" i="3" s="1"/>
  <c r="U35" i="3"/>
  <c r="V36" i="3" s="1"/>
  <c r="T35" i="3"/>
  <c r="T187" i="3"/>
  <c r="U187" i="3" s="1"/>
  <c r="S188" i="3"/>
  <c r="P257" i="3"/>
  <c r="Q257" i="3" s="1"/>
  <c r="N258" i="3"/>
  <c r="O258" i="3" s="1" a="1"/>
  <c r="O258" i="3" s="1"/>
  <c r="T97" i="3"/>
  <c r="U97" i="3" s="1"/>
  <c r="S98" i="3"/>
  <c r="S110" i="3"/>
  <c r="T109" i="3"/>
  <c r="U109" i="3" s="1"/>
  <c r="P201" i="3"/>
  <c r="Q201" i="3" s="1"/>
  <c r="O201" i="3" a="1"/>
  <c r="O201" i="3" s="1"/>
  <c r="N202" i="3" s="1"/>
  <c r="O15" i="3" a="1"/>
  <c r="O15" i="3" s="1"/>
  <c r="N16" i="3" s="1"/>
  <c r="P15" i="3"/>
  <c r="Q15" i="3" s="1"/>
  <c r="O61" i="3" l="1" a="1"/>
  <c r="O61" i="3" s="1"/>
  <c r="N62" i="3" s="1"/>
  <c r="P61" i="3"/>
  <c r="Q61" i="3" s="1"/>
  <c r="T188" i="3"/>
  <c r="U188" i="3" s="1"/>
  <c r="V189" i="3" s="1"/>
  <c r="Q202" i="3"/>
  <c r="O202" i="3" a="1"/>
  <c r="O202" i="3" s="1"/>
  <c r="N203" i="3" s="1"/>
  <c r="P202" i="3"/>
  <c r="S111" i="3"/>
  <c r="T110" i="3"/>
  <c r="U110" i="3" s="1"/>
  <c r="T123" i="3"/>
  <c r="U123" i="3" s="1"/>
  <c r="S124" i="3"/>
  <c r="Q124" i="3"/>
  <c r="P124" i="3"/>
  <c r="O124" i="3" a="1"/>
  <c r="O124" i="3" s="1"/>
  <c r="T234" i="3"/>
  <c r="U234" i="3" s="1"/>
  <c r="S235" i="3"/>
  <c r="T48" i="3"/>
  <c r="U48" i="3" s="1"/>
  <c r="V49" i="3" s="1"/>
  <c r="P258" i="3"/>
  <c r="Q258" i="3" s="1"/>
  <c r="N259" i="3"/>
  <c r="O259" i="3" s="1" a="1"/>
  <c r="O259" i="3" s="1"/>
  <c r="S85" i="3"/>
  <c r="T84" i="3"/>
  <c r="U84" i="3" s="1"/>
  <c r="P138" i="3"/>
  <c r="Q138" i="3" s="1"/>
  <c r="O138" i="3" a="1"/>
  <c r="O138" i="3" s="1"/>
  <c r="N139" i="3" s="1"/>
  <c r="Q48" i="3"/>
  <c r="P48" i="3"/>
  <c r="O48" i="3" a="1"/>
  <c r="O48" i="3" s="1"/>
  <c r="T175" i="3"/>
  <c r="U175" i="3" s="1"/>
  <c r="V176" i="3" s="1"/>
  <c r="T98" i="3"/>
  <c r="U98" i="3" s="1"/>
  <c r="V99" i="3" s="1"/>
  <c r="T222" i="3"/>
  <c r="U222" i="3" s="1"/>
  <c r="V223" i="3" s="1"/>
  <c r="N236" i="3"/>
  <c r="O236" i="3" s="1" a="1"/>
  <c r="O236" i="3" s="1"/>
  <c r="P235" i="3"/>
  <c r="Q235" i="3" s="1"/>
  <c r="O175" i="3" a="1"/>
  <c r="O175" i="3" s="1"/>
  <c r="P175" i="3"/>
  <c r="Q175" i="3" s="1"/>
  <c r="T161" i="3"/>
  <c r="U161" i="3" s="1"/>
  <c r="S162" i="3"/>
  <c r="P85" i="3"/>
  <c r="Q85" i="3"/>
  <c r="O85" i="3" a="1"/>
  <c r="O85" i="3" s="1"/>
  <c r="O16" i="3" a="1"/>
  <c r="O16" i="3" s="1"/>
  <c r="N17" i="3" s="1"/>
  <c r="P16" i="3"/>
  <c r="Q16" i="3"/>
  <c r="O62" i="3" l="1" a="1"/>
  <c r="O62" i="3" s="1"/>
  <c r="N63" i="3" s="1"/>
  <c r="P62" i="3"/>
  <c r="Q62" i="3" s="1"/>
  <c r="P203" i="3"/>
  <c r="Q203" i="3" s="1"/>
  <c r="O203" i="3" a="1"/>
  <c r="O203" i="3" s="1"/>
  <c r="N204" i="3" s="1"/>
  <c r="Q139" i="3"/>
  <c r="P139" i="3"/>
  <c r="O139" i="3" a="1"/>
  <c r="O139" i="3" s="1"/>
  <c r="N140" i="3" s="1"/>
  <c r="T85" i="3"/>
  <c r="U85" i="3" s="1"/>
  <c r="V86" i="3" s="1"/>
  <c r="T124" i="3"/>
  <c r="U124" i="3" s="1"/>
  <c r="V125" i="3" s="1"/>
  <c r="T111" i="3"/>
  <c r="U111" i="3" s="1"/>
  <c r="V112" i="3" s="1"/>
  <c r="N260" i="3"/>
  <c r="O260" i="3" s="1" a="1"/>
  <c r="O260" i="3" s="1"/>
  <c r="P259" i="3"/>
  <c r="Q259" i="3" s="1"/>
  <c r="N237" i="3"/>
  <c r="O237" i="3" s="1" a="1"/>
  <c r="O237" i="3" s="1"/>
  <c r="P236" i="3"/>
  <c r="Q236" i="3" s="1"/>
  <c r="T162" i="3"/>
  <c r="U162" i="3" s="1"/>
  <c r="V163" i="3" s="1"/>
  <c r="U235" i="3"/>
  <c r="T235" i="3"/>
  <c r="S236" i="3"/>
  <c r="P17" i="3"/>
  <c r="Q17" i="3"/>
  <c r="O17" i="3" a="1"/>
  <c r="O17" i="3" s="1"/>
  <c r="N18" i="3" s="1"/>
  <c r="P63" i="3" l="1"/>
  <c r="Q63" i="3" s="1"/>
  <c r="O63" i="3" a="1"/>
  <c r="O63" i="3" s="1"/>
  <c r="N64" i="3" s="1"/>
  <c r="N238" i="3"/>
  <c r="O238" i="3" s="1" a="1"/>
  <c r="O238" i="3" s="1"/>
  <c r="P237" i="3"/>
  <c r="Q237" i="3" s="1"/>
  <c r="P204" i="3"/>
  <c r="Q204" i="3" s="1"/>
  <c r="O204" i="3" a="1"/>
  <c r="O204" i="3" s="1"/>
  <c r="N205" i="3" s="1"/>
  <c r="U236" i="3"/>
  <c r="T236" i="3"/>
  <c r="S237" i="3"/>
  <c r="O140" i="3" a="1"/>
  <c r="O140" i="3" s="1"/>
  <c r="N141" i="3" s="1"/>
  <c r="P140" i="3"/>
  <c r="Q140" i="3" s="1"/>
  <c r="P260" i="3"/>
  <c r="Q260" i="3" s="1"/>
  <c r="N261" i="3"/>
  <c r="O261" i="3" s="1" a="1"/>
  <c r="O261" i="3" s="1"/>
  <c r="P18" i="3"/>
  <c r="Q18" i="3"/>
  <c r="O18" i="3" a="1"/>
  <c r="O18" i="3" s="1"/>
  <c r="N19" i="3" s="1"/>
  <c r="O64" i="3" l="1" a="1"/>
  <c r="O64" i="3" s="1"/>
  <c r="N65" i="3" s="1"/>
  <c r="P64" i="3"/>
  <c r="Q64" i="3" s="1"/>
  <c r="P261" i="3"/>
  <c r="Q261" i="3" s="1"/>
  <c r="N262" i="3"/>
  <c r="O262" i="3" s="1" a="1"/>
  <c r="O262" i="3" s="1"/>
  <c r="P141" i="3"/>
  <c r="Q141" i="3" s="1"/>
  <c r="O141" i="3" a="1"/>
  <c r="O141" i="3" s="1"/>
  <c r="N142" i="3" s="1"/>
  <c r="P205" i="3"/>
  <c r="Q205" i="3" s="1"/>
  <c r="O205" i="3" a="1"/>
  <c r="O205" i="3" s="1"/>
  <c r="N206" i="3" s="1"/>
  <c r="N239" i="3"/>
  <c r="O239" i="3" s="1" a="1"/>
  <c r="O239" i="3" s="1"/>
  <c r="P238" i="3"/>
  <c r="Q238" i="3" s="1"/>
  <c r="U237" i="3"/>
  <c r="T237" i="3"/>
  <c r="S238" i="3"/>
  <c r="O19" i="3" a="1"/>
  <c r="O19" i="3" s="1"/>
  <c r="N20" i="3" s="1"/>
  <c r="P19" i="3"/>
  <c r="Q19" i="3" s="1"/>
  <c r="P65" i="3" l="1"/>
  <c r="Q65" i="3" s="1"/>
  <c r="O65" i="3" a="1"/>
  <c r="O65" i="3" s="1"/>
  <c r="N66" i="3" s="1"/>
  <c r="O206" i="3" a="1"/>
  <c r="O206" i="3" s="1"/>
  <c r="N207" i="3" s="1"/>
  <c r="P206" i="3"/>
  <c r="Q206" i="3" s="1"/>
  <c r="U238" i="3"/>
  <c r="T238" i="3"/>
  <c r="S239" i="3"/>
  <c r="N240" i="3"/>
  <c r="O240" i="3" s="1" a="1"/>
  <c r="O240" i="3" s="1"/>
  <c r="P239" i="3"/>
  <c r="Q239" i="3" s="1"/>
  <c r="P262" i="3"/>
  <c r="Q262" i="3" s="1"/>
  <c r="N263" i="3"/>
  <c r="O263" i="3" s="1" a="1"/>
  <c r="O263" i="3" s="1"/>
  <c r="P142" i="3"/>
  <c r="Q142" i="3" s="1"/>
  <c r="O142" i="3" a="1"/>
  <c r="O142" i="3" s="1"/>
  <c r="N143" i="3" s="1"/>
  <c r="O20" i="3" a="1"/>
  <c r="O20" i="3" s="1"/>
  <c r="P20" i="3"/>
  <c r="Q20" i="3" s="1"/>
  <c r="O66" i="3" l="1" a="1"/>
  <c r="O66" i="3" s="1"/>
  <c r="N67" i="3" s="1"/>
  <c r="P66" i="3"/>
  <c r="Q66" i="3" s="1"/>
  <c r="P263" i="3"/>
  <c r="Q263" i="3" s="1"/>
  <c r="N264" i="3"/>
  <c r="O264" i="3" s="1" a="1"/>
  <c r="O264" i="3" s="1"/>
  <c r="N241" i="3"/>
  <c r="O241" i="3" s="1" a="1"/>
  <c r="O241" i="3" s="1"/>
  <c r="P240" i="3"/>
  <c r="Q240" i="3" s="1"/>
  <c r="O143" i="3" a="1"/>
  <c r="O143" i="3" s="1"/>
  <c r="N144" i="3" s="1"/>
  <c r="P143" i="3"/>
  <c r="Q143" i="3" s="1"/>
  <c r="O207" i="3" a="1"/>
  <c r="O207" i="3" s="1"/>
  <c r="N208" i="3" s="1"/>
  <c r="P207" i="3"/>
  <c r="Q207" i="3" s="1"/>
  <c r="U239" i="3"/>
  <c r="T239" i="3"/>
  <c r="S240" i="3"/>
  <c r="P67" i="3" l="1"/>
  <c r="Q67" i="3" s="1"/>
  <c r="O67" i="3" a="1"/>
  <c r="O67" i="3" s="1"/>
  <c r="N68" i="3" s="1"/>
  <c r="O144" i="3" a="1"/>
  <c r="O144" i="3" s="1"/>
  <c r="N145" i="3" s="1"/>
  <c r="P144" i="3"/>
  <c r="Q144" i="3" s="1"/>
  <c r="O208" i="3" a="1"/>
  <c r="O208" i="3" s="1"/>
  <c r="N209" i="3" s="1"/>
  <c r="P208" i="3"/>
  <c r="Q208" i="3" s="1"/>
  <c r="N265" i="3"/>
  <c r="O265" i="3" s="1" a="1"/>
  <c r="O265" i="3" s="1"/>
  <c r="P264" i="3"/>
  <c r="Q264" i="3" s="1"/>
  <c r="U240" i="3"/>
  <c r="S241" i="3"/>
  <c r="T240" i="3"/>
  <c r="N242" i="3"/>
  <c r="O242" i="3" s="1" a="1"/>
  <c r="O242" i="3" s="1"/>
  <c r="P241" i="3"/>
  <c r="Q241" i="3" s="1"/>
  <c r="O68" i="3" l="1" a="1"/>
  <c r="O68" i="3" s="1"/>
  <c r="N69" i="3" s="1"/>
  <c r="P68" i="3"/>
  <c r="Q68" i="3" s="1"/>
  <c r="P265" i="3"/>
  <c r="Q265" i="3" s="1"/>
  <c r="N266" i="3"/>
  <c r="O266" i="3" s="1" a="1"/>
  <c r="O266" i="3" s="1"/>
  <c r="U241" i="3"/>
  <c r="S242" i="3"/>
  <c r="T241" i="3"/>
  <c r="P242" i="3"/>
  <c r="Q242" i="3" s="1"/>
  <c r="N243" i="3"/>
  <c r="O243" i="3" s="1" a="1"/>
  <c r="O243" i="3" s="1"/>
  <c r="O145" i="3" a="1"/>
  <c r="O145" i="3" s="1"/>
  <c r="N146" i="3" s="1"/>
  <c r="P145" i="3"/>
  <c r="Q145" i="3" s="1"/>
  <c r="O209" i="3" a="1"/>
  <c r="O209" i="3" s="1"/>
  <c r="P209" i="3"/>
  <c r="Q209" i="3" s="1"/>
  <c r="P69" i="3" l="1"/>
  <c r="Q69" i="3" s="1"/>
  <c r="O69" i="3" a="1"/>
  <c r="O69" i="3" s="1"/>
  <c r="N70" i="3" s="1"/>
  <c r="N267" i="3"/>
  <c r="O267" i="3" s="1" a="1"/>
  <c r="O267" i="3" s="1"/>
  <c r="P266" i="3"/>
  <c r="Q266" i="3" s="1"/>
  <c r="O146" i="3" a="1"/>
  <c r="O146" i="3" s="1"/>
  <c r="N147" i="3" s="1"/>
  <c r="P146" i="3"/>
  <c r="Q146" i="3" s="1"/>
  <c r="N244" i="3"/>
  <c r="O244" i="3" s="1" a="1"/>
  <c r="O244" i="3" s="1"/>
  <c r="P243" i="3"/>
  <c r="Q243" i="3" s="1"/>
  <c r="U242" i="3"/>
  <c r="S243" i="3"/>
  <c r="T242" i="3"/>
  <c r="P70" i="3" l="1"/>
  <c r="Q70" i="3" s="1"/>
  <c r="O70" i="3" a="1"/>
  <c r="O70" i="3" s="1"/>
  <c r="N71" i="3" s="1"/>
  <c r="P244" i="3"/>
  <c r="Q244" i="3" s="1"/>
  <c r="N245" i="3"/>
  <c r="O245" i="3" s="1" a="1"/>
  <c r="O245" i="3" s="1"/>
  <c r="P267" i="3"/>
  <c r="Q267" i="3" s="1"/>
  <c r="N268" i="3"/>
  <c r="O268" i="3" s="1" a="1"/>
  <c r="O268" i="3" s="1"/>
  <c r="U243" i="3"/>
  <c r="T243" i="3"/>
  <c r="S244" i="3"/>
  <c r="P147" i="3"/>
  <c r="Q147" i="3" s="1"/>
  <c r="O147" i="3" a="1"/>
  <c r="O147" i="3" s="1"/>
  <c r="N148" i="3" s="1"/>
  <c r="O71" i="3" l="1" a="1"/>
  <c r="O71" i="3" s="1"/>
  <c r="N72" i="3" s="1"/>
  <c r="P71" i="3"/>
  <c r="Q71" i="3" s="1"/>
  <c r="U244" i="3"/>
  <c r="T244" i="3"/>
  <c r="S245" i="3"/>
  <c r="O148" i="3" a="1"/>
  <c r="O148" i="3" s="1"/>
  <c r="P148" i="3"/>
  <c r="Q148" i="3" s="1"/>
  <c r="P245" i="3"/>
  <c r="Q245" i="3" s="1"/>
  <c r="P268" i="3"/>
  <c r="Q268" i="3" s="1"/>
  <c r="N269" i="3"/>
  <c r="O269" i="3" s="1" a="1"/>
  <c r="O269" i="3" s="1"/>
  <c r="P72" i="3" l="1"/>
  <c r="Q72" i="3" s="1"/>
  <c r="O72" i="3" a="1"/>
  <c r="O72" i="3" s="1"/>
  <c r="P269" i="3"/>
  <c r="Q269" i="3" s="1"/>
  <c r="U245" i="3"/>
  <c r="V246" i="3" s="1"/>
  <c r="T245" i="3"/>
  <c r="AI3" i="6" l="1" a="1"/>
  <c r="AI3" i="6"/>
  <c r="AI4" i="6" a="1"/>
  <c r="AI4" i="6"/>
  <c r="AI5" i="6" a="1"/>
  <c r="AI5" i="6"/>
  <c r="AI6" i="6" a="1"/>
  <c r="AI6" i="6"/>
  <c r="AI7" i="6" a="1"/>
  <c r="AI7" i="6"/>
  <c r="AI8" i="6" a="1"/>
  <c r="AI8" i="6"/>
  <c r="AI9" i="6" a="1"/>
  <c r="AI9" i="6"/>
  <c r="AI10" i="6" a="1"/>
  <c r="AI10" i="6"/>
  <c r="AI11" i="6" a="1"/>
  <c r="AI11" i="6"/>
  <c r="AI12" i="6" a="1"/>
  <c r="AI12" i="6"/>
  <c r="AI13" i="6" a="1"/>
  <c r="AI13" i="6"/>
  <c r="AI14" i="6" a="1"/>
  <c r="AI14" i="6"/>
  <c r="AI15" i="6" a="1"/>
  <c r="AI15" i="6"/>
  <c r="AI16" i="6" a="1"/>
  <c r="AI16" i="6"/>
  <c r="AI17" i="6" a="1"/>
  <c r="AI17" i="6"/>
  <c r="AI18" i="6" a="1"/>
  <c r="AI18" i="6"/>
  <c r="AI19" i="6" a="1"/>
  <c r="AI19" i="6"/>
  <c r="AI20" i="6" a="1"/>
  <c r="AI20" i="6"/>
  <c r="AI21" i="6" a="1"/>
  <c r="AI21" i="6"/>
  <c r="AI22" i="6" a="1"/>
  <c r="AI22" i="6"/>
  <c r="AI23" i="6" a="1"/>
  <c r="AI23" i="6"/>
  <c r="AI24" i="6" a="1"/>
  <c r="AI24" i="6"/>
  <c r="AI25" i="6" a="1"/>
  <c r="AI25" i="6"/>
  <c r="AI26" i="6" a="1"/>
  <c r="AI26" i="6"/>
  <c r="AI27" i="6" a="1"/>
  <c r="AI27" i="6"/>
  <c r="AI28" i="6" a="1"/>
  <c r="AI28" i="6"/>
  <c r="AI29" i="6" a="1"/>
  <c r="AI29" i="6"/>
  <c r="AI30" i="6" a="1"/>
  <c r="AI30" i="6"/>
  <c r="AI31" i="6" a="1"/>
  <c r="AI31" i="6"/>
  <c r="AI32" i="6" a="1"/>
  <c r="AI32" i="6"/>
  <c r="AI33" i="6" a="1"/>
  <c r="AI33" i="6"/>
  <c r="AI34" i="6" a="1"/>
  <c r="AI34" i="6"/>
  <c r="AI35" i="6" a="1"/>
  <c r="AI35" i="6"/>
  <c r="AI36" i="6" a="1"/>
  <c r="AI36" i="6"/>
  <c r="AI37" i="6" a="1"/>
  <c r="AI37" i="6"/>
  <c r="AI38" i="6" a="1"/>
  <c r="AI38" i="6"/>
  <c r="AI39" i="6" a="1"/>
  <c r="AI39" i="6"/>
  <c r="AI40" i="6" a="1"/>
  <c r="AI40" i="6"/>
  <c r="AI41" i="6" a="1"/>
  <c r="AI41" i="6"/>
  <c r="AI42" i="6" a="1"/>
  <c r="AI42" i="6"/>
  <c r="AI43" i="6" a="1"/>
  <c r="AI43" i="6"/>
  <c r="AI44" i="6" a="1"/>
  <c r="AI44" i="6"/>
  <c r="AI45" i="6" a="1"/>
  <c r="AI45" i="6"/>
  <c r="AI46" i="6" a="1"/>
  <c r="AI46" i="6"/>
  <c r="AI47" i="6" a="1"/>
  <c r="AI47" i="6"/>
  <c r="AI48" i="6" a="1"/>
  <c r="AI48" i="6"/>
  <c r="AI49" i="6" a="1"/>
  <c r="AI49" i="6"/>
  <c r="AI50" i="6" a="1"/>
  <c r="AI50" i="6"/>
  <c r="AI51" i="6" a="1"/>
  <c r="AI51" i="6"/>
  <c r="AI52" i="6" a="1"/>
  <c r="AI52" i="6"/>
  <c r="AI53" i="6" a="1"/>
  <c r="AI53" i="6" s="1"/>
  <c r="AI54" i="6" a="1"/>
  <c r="AI54" i="6"/>
  <c r="AI55" i="6" a="1"/>
  <c r="AI55" i="6" s="1"/>
  <c r="AI56" i="6" a="1"/>
  <c r="AI56" i="6" s="1"/>
  <c r="AI57" i="6" a="1"/>
  <c r="AI57" i="6" s="1"/>
  <c r="AI58" i="6" a="1"/>
  <c r="AI58" i="6" s="1"/>
  <c r="AI59" i="6" a="1"/>
  <c r="AI59" i="6" s="1"/>
  <c r="AI60" i="6" a="1"/>
  <c r="AI60" i="6" s="1"/>
  <c r="AI61" i="6" a="1"/>
  <c r="AI61" i="6" s="1"/>
  <c r="AI62" i="6" a="1"/>
  <c r="AI62" i="6" s="1"/>
  <c r="AI63" i="6" a="1"/>
  <c r="AI63" i="6" s="1"/>
  <c r="AI64" i="6" a="1"/>
  <c r="AI64" i="6" s="1"/>
  <c r="AI65" i="6" a="1"/>
  <c r="AI65" i="6" s="1"/>
  <c r="AI66" i="6" a="1"/>
  <c r="AI66" i="6" s="1"/>
  <c r="AI67" i="6" a="1"/>
  <c r="AI67" i="6" s="1"/>
  <c r="AI68" i="6" a="1"/>
  <c r="AI68" i="6" s="1"/>
  <c r="AI69" i="6" a="1"/>
  <c r="AI69" i="6" s="1"/>
  <c r="AI70" i="6" a="1"/>
  <c r="AI70" i="6" s="1"/>
  <c r="AI71" i="6" a="1"/>
  <c r="AI71" i="6" s="1"/>
  <c r="AI72" i="6" a="1"/>
  <c r="AI72" i="6" s="1"/>
  <c r="AI73" i="6" a="1"/>
  <c r="AI73" i="6" s="1"/>
  <c r="AI74" i="6" a="1"/>
  <c r="AI74" i="6" s="1"/>
  <c r="AI75" i="6" a="1"/>
  <c r="AI75" i="6" s="1"/>
  <c r="AI76" i="6" a="1"/>
  <c r="AI76" i="6" s="1"/>
  <c r="AI77" i="6" a="1"/>
  <c r="AI77" i="6" s="1"/>
  <c r="AI78" i="6" a="1"/>
  <c r="AI78" i="6" s="1"/>
  <c r="AI79" i="6" a="1"/>
  <c r="AI79" i="6" s="1"/>
  <c r="AI80" i="6" a="1"/>
  <c r="AI80" i="6" s="1"/>
  <c r="AI81" i="6" a="1"/>
  <c r="AI81" i="6" s="1"/>
  <c r="AI82" i="6" a="1"/>
  <c r="AI82" i="6" s="1"/>
  <c r="AI83" i="6" a="1"/>
  <c r="AI83" i="6" s="1"/>
  <c r="AI84" i="6" a="1"/>
  <c r="AI84" i="6" s="1"/>
  <c r="AI85" i="6" a="1"/>
  <c r="AI85" i="6" s="1"/>
  <c r="AI86" i="6" a="1"/>
  <c r="AI86" i="6" s="1"/>
  <c r="AI87" i="6" a="1"/>
  <c r="AI87" i="6" s="1"/>
  <c r="J88" i="6" l="1"/>
  <c r="K88" i="6"/>
  <c r="K89" i="6" s="1"/>
  <c r="AB6" i="6" l="1"/>
  <c r="AB76" i="6" l="1"/>
  <c r="R2" i="3" l="1" a="1"/>
  <c r="R2" i="3" s="1"/>
  <c r="T2" i="3" s="1"/>
  <c r="O2" i="3" a="1"/>
  <c r="O2" i="3" s="1"/>
  <c r="I2" i="3"/>
  <c r="L2" i="3"/>
  <c r="N2" i="3" l="1"/>
  <c r="Q2" i="3" s="1"/>
  <c r="K2" i="3" a="1"/>
  <c r="K2" i="3" s="1"/>
  <c r="H2" i="3" l="1" a="1"/>
  <c r="H2" i="3" s="1"/>
  <c r="J2" i="3" s="1"/>
  <c r="AA77" i="6"/>
  <c r="AA78" i="6"/>
  <c r="AA79" i="6"/>
  <c r="AA80" i="6"/>
  <c r="AA81" i="6"/>
  <c r="AA82" i="6"/>
  <c r="AA83" i="6"/>
  <c r="AA84" i="6"/>
  <c r="AA85" i="6"/>
  <c r="AA86" i="6"/>
  <c r="AA87" i="6"/>
  <c r="AA76" i="6"/>
  <c r="AB4" i="6"/>
  <c r="AB5" i="6"/>
  <c r="AB7" i="6"/>
  <c r="AB8" i="6"/>
  <c r="AB9" i="6"/>
  <c r="AB10" i="6"/>
  <c r="AB11" i="6"/>
  <c r="AB12" i="6"/>
  <c r="AB13" i="6"/>
  <c r="AB14" i="6"/>
  <c r="AB15" i="6"/>
  <c r="AB17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5" i="6"/>
  <c r="AB46" i="6"/>
  <c r="AB47" i="6"/>
  <c r="AB48" i="6"/>
  <c r="AB49" i="6"/>
  <c r="AB50" i="6"/>
  <c r="AB51" i="6"/>
  <c r="AB52" i="6"/>
  <c r="AB53" i="6"/>
  <c r="AB54" i="6"/>
  <c r="AB56" i="6"/>
  <c r="AB58" i="6"/>
  <c r="AB60" i="6"/>
  <c r="AB62" i="6"/>
  <c r="AB64" i="6"/>
  <c r="AB66" i="6"/>
  <c r="AB68" i="6"/>
  <c r="AB70" i="6"/>
  <c r="AB72" i="6"/>
  <c r="AB74" i="6"/>
  <c r="AB77" i="6"/>
  <c r="AB78" i="6"/>
  <c r="AB79" i="6"/>
  <c r="AB80" i="6"/>
  <c r="AB81" i="6"/>
  <c r="AB82" i="6"/>
  <c r="AB83" i="6"/>
  <c r="AB84" i="6"/>
  <c r="AB85" i="6"/>
  <c r="AB86" i="6"/>
  <c r="AB87" i="6"/>
  <c r="U76" i="6"/>
  <c r="H76" i="6"/>
  <c r="H77" i="6"/>
  <c r="Q77" i="6" l="1"/>
  <c r="T77" i="6"/>
  <c r="Q76" i="6"/>
  <c r="T76" i="6"/>
  <c r="S2" i="3"/>
  <c r="U2" i="3" s="1"/>
  <c r="V2" i="3" s="1"/>
  <c r="M2" i="3"/>
  <c r="P2" i="3"/>
  <c r="U77" i="6"/>
  <c r="U78" i="6" s="1"/>
  <c r="S77" i="6" l="1"/>
  <c r="AA5" i="6"/>
  <c r="AA6" i="6"/>
  <c r="AA7" i="6"/>
  <c r="AA8" i="6"/>
  <c r="AA9" i="6"/>
  <c r="AA10" i="6"/>
  <c r="AA11" i="6"/>
  <c r="AA12" i="6"/>
  <c r="AA13" i="6"/>
  <c r="AA14" i="6"/>
  <c r="AA15" i="6"/>
  <c r="AA17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5" i="6"/>
  <c r="AA46" i="6"/>
  <c r="AA47" i="6"/>
  <c r="AA48" i="6"/>
  <c r="AA49" i="6"/>
  <c r="AA50" i="6"/>
  <c r="AA51" i="6"/>
  <c r="AA52" i="6"/>
  <c r="AA53" i="6"/>
  <c r="AA54" i="6"/>
  <c r="AA56" i="6"/>
  <c r="AA58" i="6"/>
  <c r="AA60" i="6"/>
  <c r="AA62" i="6"/>
  <c r="AA64" i="6"/>
  <c r="AA66" i="6"/>
  <c r="AA68" i="6"/>
  <c r="AA70" i="6"/>
  <c r="AA72" i="6"/>
  <c r="AA74" i="6"/>
  <c r="AA4" i="6"/>
  <c r="Y16" i="6" l="1"/>
  <c r="Y18" i="6"/>
  <c r="Y31" i="6"/>
  <c r="Y44" i="6"/>
  <c r="Y55" i="6"/>
  <c r="Y57" i="6"/>
  <c r="Y59" i="6"/>
  <c r="Y61" i="6"/>
  <c r="Y63" i="6"/>
  <c r="Y65" i="6"/>
  <c r="Y67" i="6"/>
  <c r="Y69" i="6"/>
  <c r="Y71" i="6"/>
  <c r="Y73" i="6"/>
  <c r="Y75" i="6"/>
  <c r="Y3" i="6"/>
  <c r="S16" i="6"/>
  <c r="S18" i="6"/>
  <c r="S31" i="6"/>
  <c r="S44" i="6"/>
  <c r="S55" i="6"/>
  <c r="S57" i="6"/>
  <c r="S59" i="6"/>
  <c r="S61" i="6"/>
  <c r="S63" i="6"/>
  <c r="S65" i="6"/>
  <c r="S67" i="6"/>
  <c r="S69" i="6"/>
  <c r="S71" i="6"/>
  <c r="S73" i="6"/>
  <c r="S75" i="6"/>
  <c r="S3" i="6"/>
  <c r="Q16" i="6"/>
  <c r="Q18" i="6"/>
  <c r="Q31" i="6"/>
  <c r="Q44" i="6"/>
  <c r="Q55" i="6"/>
  <c r="Q57" i="6"/>
  <c r="Q59" i="6"/>
  <c r="Q61" i="6"/>
  <c r="Q63" i="6"/>
  <c r="Q65" i="6"/>
  <c r="Q67" i="6"/>
  <c r="Q69" i="6"/>
  <c r="Q71" i="6"/>
  <c r="Q73" i="6"/>
  <c r="Q75" i="6"/>
  <c r="S76" i="6" l="1"/>
  <c r="Q3" i="6"/>
  <c r="H4" i="6"/>
  <c r="H5" i="6"/>
  <c r="H6" i="6"/>
  <c r="H7" i="6"/>
  <c r="T7" i="6" s="1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8" i="6"/>
  <c r="H79" i="6"/>
  <c r="H80" i="6"/>
  <c r="H81" i="6"/>
  <c r="H82" i="6"/>
  <c r="H83" i="6"/>
  <c r="H84" i="6"/>
  <c r="H85" i="6"/>
  <c r="H86" i="6"/>
  <c r="H87" i="6"/>
  <c r="H3" i="6"/>
  <c r="W16" i="6"/>
  <c r="W18" i="6"/>
  <c r="W31" i="6"/>
  <c r="W44" i="6"/>
  <c r="W55" i="6"/>
  <c r="W57" i="6"/>
  <c r="W59" i="6"/>
  <c r="W61" i="6"/>
  <c r="W63" i="6"/>
  <c r="W65" i="6"/>
  <c r="W67" i="6"/>
  <c r="W69" i="6"/>
  <c r="W71" i="6"/>
  <c r="W73" i="6"/>
  <c r="W75" i="6"/>
  <c r="W3" i="6"/>
  <c r="V16" i="6"/>
  <c r="V18" i="6"/>
  <c r="V31" i="6"/>
  <c r="V44" i="6"/>
  <c r="V55" i="6"/>
  <c r="V57" i="6"/>
  <c r="V59" i="6"/>
  <c r="V61" i="6"/>
  <c r="V63" i="6"/>
  <c r="V65" i="6"/>
  <c r="V67" i="6"/>
  <c r="V69" i="6"/>
  <c r="V71" i="6"/>
  <c r="V73" i="6"/>
  <c r="V75" i="6"/>
  <c r="V3" i="6"/>
  <c r="U4" i="6"/>
  <c r="U17" i="6"/>
  <c r="U19" i="6"/>
  <c r="U32" i="6"/>
  <c r="U45" i="6"/>
  <c r="U56" i="6"/>
  <c r="U58" i="6"/>
  <c r="U60" i="6"/>
  <c r="U62" i="6"/>
  <c r="U64" i="6"/>
  <c r="U66" i="6"/>
  <c r="U68" i="6"/>
  <c r="U70" i="6"/>
  <c r="U72" i="6"/>
  <c r="U74" i="6"/>
  <c r="U79" i="6" l="1"/>
  <c r="T3" i="6"/>
  <c r="T75" i="6"/>
  <c r="T73" i="6"/>
  <c r="T71" i="6"/>
  <c r="T69" i="6"/>
  <c r="T67" i="6"/>
  <c r="T65" i="6"/>
  <c r="T63" i="6"/>
  <c r="T61" i="6"/>
  <c r="T59" i="6"/>
  <c r="T57" i="6"/>
  <c r="T55" i="6"/>
  <c r="T44" i="6"/>
  <c r="T31" i="6"/>
  <c r="T18" i="6"/>
  <c r="T16" i="6"/>
  <c r="Q87" i="6"/>
  <c r="T87" i="6"/>
  <c r="Q86" i="6"/>
  <c r="T86" i="6"/>
  <c r="Q85" i="6"/>
  <c r="T85" i="6"/>
  <c r="Q84" i="6"/>
  <c r="T84" i="6"/>
  <c r="Q83" i="6"/>
  <c r="T83" i="6"/>
  <c r="Q82" i="6"/>
  <c r="T82" i="6"/>
  <c r="Q81" i="6"/>
  <c r="T81" i="6"/>
  <c r="Q80" i="6"/>
  <c r="T80" i="6"/>
  <c r="Q79" i="6"/>
  <c r="T79" i="6"/>
  <c r="Q78" i="6"/>
  <c r="S78" i="6" s="1"/>
  <c r="V78" i="6" s="1"/>
  <c r="T78" i="6"/>
  <c r="Q74" i="6"/>
  <c r="S74" i="6" s="1"/>
  <c r="V74" i="6" s="1"/>
  <c r="T74" i="6"/>
  <c r="Q72" i="6"/>
  <c r="S72" i="6" s="1"/>
  <c r="V72" i="6" s="1"/>
  <c r="T72" i="6"/>
  <c r="Q70" i="6"/>
  <c r="S70" i="6" s="1"/>
  <c r="V70" i="6" s="1"/>
  <c r="T70" i="6"/>
  <c r="Q68" i="6"/>
  <c r="S68" i="6" s="1"/>
  <c r="V68" i="6" s="1"/>
  <c r="T68" i="6"/>
  <c r="Q66" i="6"/>
  <c r="S66" i="6" s="1"/>
  <c r="V66" i="6" s="1"/>
  <c r="T66" i="6"/>
  <c r="Q64" i="6"/>
  <c r="S64" i="6" s="1"/>
  <c r="V64" i="6" s="1"/>
  <c r="T64" i="6"/>
  <c r="Q62" i="6"/>
  <c r="S62" i="6" s="1"/>
  <c r="V62" i="6" s="1"/>
  <c r="T62" i="6"/>
  <c r="Q60" i="6"/>
  <c r="S60" i="6" s="1"/>
  <c r="V60" i="6" s="1"/>
  <c r="T60" i="6"/>
  <c r="Q58" i="6"/>
  <c r="S58" i="6" s="1"/>
  <c r="V58" i="6" s="1"/>
  <c r="T58" i="6"/>
  <c r="Q56" i="6"/>
  <c r="S56" i="6" s="1"/>
  <c r="V56" i="6" s="1"/>
  <c r="T56" i="6"/>
  <c r="Q54" i="6"/>
  <c r="T54" i="6"/>
  <c r="Q53" i="6"/>
  <c r="T53" i="6"/>
  <c r="Q52" i="6"/>
  <c r="T52" i="6"/>
  <c r="Q51" i="6"/>
  <c r="T51" i="6"/>
  <c r="Q50" i="6"/>
  <c r="T50" i="6"/>
  <c r="Q49" i="6"/>
  <c r="T49" i="6"/>
  <c r="Q48" i="6"/>
  <c r="T48" i="6"/>
  <c r="Q47" i="6"/>
  <c r="T47" i="6"/>
  <c r="Q46" i="6"/>
  <c r="T46" i="6"/>
  <c r="Q45" i="6"/>
  <c r="S45" i="6" s="1"/>
  <c r="V45" i="6" s="1"/>
  <c r="T45" i="6"/>
  <c r="Q43" i="6"/>
  <c r="T43" i="6"/>
  <c r="Q42" i="6"/>
  <c r="T42" i="6"/>
  <c r="Q41" i="6"/>
  <c r="T41" i="6"/>
  <c r="Q40" i="6"/>
  <c r="T40" i="6"/>
  <c r="Q39" i="6"/>
  <c r="T39" i="6"/>
  <c r="Q38" i="6"/>
  <c r="T38" i="6"/>
  <c r="Q37" i="6"/>
  <c r="T37" i="6"/>
  <c r="Q36" i="6"/>
  <c r="T36" i="6"/>
  <c r="Q35" i="6"/>
  <c r="T35" i="6"/>
  <c r="Q34" i="6"/>
  <c r="T34" i="6"/>
  <c r="Q33" i="6"/>
  <c r="T33" i="6"/>
  <c r="Q32" i="6"/>
  <c r="S32" i="6" s="1"/>
  <c r="V32" i="6" s="1"/>
  <c r="T32" i="6"/>
  <c r="Q30" i="6"/>
  <c r="T30" i="6"/>
  <c r="Q29" i="6"/>
  <c r="T29" i="6"/>
  <c r="Q28" i="6"/>
  <c r="T28" i="6"/>
  <c r="Q27" i="6"/>
  <c r="T27" i="6"/>
  <c r="Q26" i="6"/>
  <c r="T26" i="6"/>
  <c r="Q25" i="6"/>
  <c r="T25" i="6"/>
  <c r="Q24" i="6"/>
  <c r="T24" i="6"/>
  <c r="Q23" i="6"/>
  <c r="T23" i="6"/>
  <c r="Q22" i="6"/>
  <c r="T22" i="6"/>
  <c r="Q21" i="6"/>
  <c r="T21" i="6"/>
  <c r="Q20" i="6"/>
  <c r="T20" i="6"/>
  <c r="Q19" i="6"/>
  <c r="S19" i="6" s="1"/>
  <c r="V19" i="6" s="1"/>
  <c r="T19" i="6"/>
  <c r="Q17" i="6"/>
  <c r="S17" i="6" s="1"/>
  <c r="V17" i="6" s="1"/>
  <c r="T17" i="6"/>
  <c r="Q15" i="6"/>
  <c r="T15" i="6"/>
  <c r="Q14" i="6"/>
  <c r="T14" i="6"/>
  <c r="Q13" i="6"/>
  <c r="T13" i="6"/>
  <c r="Q12" i="6"/>
  <c r="T12" i="6"/>
  <c r="Q11" i="6"/>
  <c r="T11" i="6"/>
  <c r="Q10" i="6"/>
  <c r="T10" i="6"/>
  <c r="Q9" i="6"/>
  <c r="T9" i="6"/>
  <c r="Q8" i="6"/>
  <c r="T8" i="6"/>
  <c r="Q7" i="6"/>
  <c r="Q6" i="6"/>
  <c r="T6" i="6"/>
  <c r="Q5" i="6"/>
  <c r="T5" i="6"/>
  <c r="Q4" i="6"/>
  <c r="S4" i="6" s="1"/>
  <c r="T4" i="6"/>
  <c r="V77" i="6"/>
  <c r="W77" i="6" s="1"/>
  <c r="V76" i="6"/>
  <c r="U80" i="6"/>
  <c r="U81" i="6" s="1"/>
  <c r="U82" i="6" s="1"/>
  <c r="U83" i="6" s="1"/>
  <c r="U84" i="6" s="1"/>
  <c r="U85" i="6" s="1"/>
  <c r="U86" i="6" s="1"/>
  <c r="U87" i="6" s="1"/>
  <c r="U33" i="6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6" i="6"/>
  <c r="U5" i="6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S84" i="6" l="1"/>
  <c r="AC77" i="6"/>
  <c r="AD77" i="6" s="1"/>
  <c r="AE77" i="6" s="1"/>
  <c r="AF77" i="6" s="1"/>
  <c r="AG77" i="6" s="1"/>
  <c r="AC31" i="6"/>
  <c r="AD31" i="6" s="1"/>
  <c r="AE31" i="6" s="1"/>
  <c r="AF31" i="6" s="1"/>
  <c r="AG31" i="6" s="1"/>
  <c r="AH31" i="6" s="1"/>
  <c r="AC59" i="6"/>
  <c r="AD59" i="6" s="1"/>
  <c r="AE59" i="6" s="1"/>
  <c r="AF59" i="6" s="1"/>
  <c r="AG59" i="6" s="1"/>
  <c r="AH59" i="6" s="1"/>
  <c r="AC75" i="6"/>
  <c r="AD75" i="6" s="1"/>
  <c r="AE75" i="6" s="1"/>
  <c r="AF75" i="6" s="1"/>
  <c r="AG75" i="6" s="1"/>
  <c r="AH75" i="6" s="1"/>
  <c r="AC44" i="6"/>
  <c r="AD44" i="6" s="1"/>
  <c r="AE44" i="6" s="1"/>
  <c r="AF44" i="6" s="1"/>
  <c r="AG44" i="6" s="1"/>
  <c r="AH44" i="6" s="1"/>
  <c r="AC61" i="6"/>
  <c r="AD61" i="6" s="1"/>
  <c r="AE61" i="6" s="1"/>
  <c r="AF61" i="6" s="1"/>
  <c r="AG61" i="6" s="1"/>
  <c r="AH61" i="6" s="1"/>
  <c r="AC69" i="6"/>
  <c r="AD69" i="6" s="1"/>
  <c r="AE69" i="6" s="1"/>
  <c r="AF69" i="6" s="1"/>
  <c r="AG69" i="6" s="1"/>
  <c r="AH69" i="6" s="1"/>
  <c r="AC3" i="6"/>
  <c r="AD3" i="6" s="1"/>
  <c r="AE3" i="6" s="1"/>
  <c r="AF3" i="6" s="1"/>
  <c r="AG3" i="6" s="1"/>
  <c r="AH3" i="6" s="1"/>
  <c r="AC67" i="6"/>
  <c r="AD67" i="6" s="1"/>
  <c r="AE67" i="6" s="1"/>
  <c r="AF67" i="6" s="1"/>
  <c r="AG67" i="6" s="1"/>
  <c r="AH67" i="6" s="1"/>
  <c r="AC16" i="6"/>
  <c r="AD16" i="6" s="1"/>
  <c r="AE16" i="6" s="1"/>
  <c r="AF16" i="6" s="1"/>
  <c r="AG16" i="6" s="1"/>
  <c r="AH16" i="6" s="1"/>
  <c r="AC55" i="6"/>
  <c r="AD55" i="6" s="1"/>
  <c r="AE55" i="6" s="1"/>
  <c r="AF55" i="6" s="1"/>
  <c r="AG55" i="6" s="1"/>
  <c r="AH55" i="6" s="1"/>
  <c r="AC63" i="6"/>
  <c r="AD63" i="6" s="1"/>
  <c r="AE63" i="6" s="1"/>
  <c r="AF63" i="6" s="1"/>
  <c r="AG63" i="6" s="1"/>
  <c r="AH63" i="6" s="1"/>
  <c r="AC71" i="6"/>
  <c r="AD71" i="6" s="1"/>
  <c r="AE71" i="6" s="1"/>
  <c r="AF71" i="6" s="1"/>
  <c r="AG71" i="6" s="1"/>
  <c r="AH71" i="6" s="1"/>
  <c r="AC18" i="6"/>
  <c r="AD18" i="6" s="1"/>
  <c r="AE18" i="6" s="1"/>
  <c r="AF18" i="6" s="1"/>
  <c r="AG18" i="6" s="1"/>
  <c r="AH18" i="6" s="1"/>
  <c r="AC57" i="6"/>
  <c r="AD57" i="6" s="1"/>
  <c r="AE57" i="6" s="1"/>
  <c r="AF57" i="6" s="1"/>
  <c r="AG57" i="6" s="1"/>
  <c r="AH57" i="6" s="1"/>
  <c r="AC65" i="6"/>
  <c r="AD65" i="6" s="1"/>
  <c r="AE65" i="6" s="1"/>
  <c r="AF65" i="6" s="1"/>
  <c r="AG65" i="6" s="1"/>
  <c r="AH65" i="6" s="1"/>
  <c r="AC73" i="6"/>
  <c r="AD73" i="6" s="1"/>
  <c r="AE73" i="6" s="1"/>
  <c r="AF73" i="6" s="1"/>
  <c r="AG73" i="6" s="1"/>
  <c r="AH73" i="6" s="1"/>
  <c r="S11" i="6"/>
  <c r="S39" i="6"/>
  <c r="V39" i="6" s="1"/>
  <c r="W39" i="6" s="1"/>
  <c r="AC39" i="6" s="1"/>
  <c r="AD39" i="6" s="1"/>
  <c r="AE39" i="6" s="1"/>
  <c r="AF39" i="6" s="1"/>
  <c r="AG39" i="6" s="1"/>
  <c r="S52" i="6"/>
  <c r="S33" i="6"/>
  <c r="V33" i="6" s="1"/>
  <c r="W33" i="6" s="1"/>
  <c r="AC33" i="6" s="1"/>
  <c r="AD33" i="6" s="1"/>
  <c r="AE33" i="6" s="1"/>
  <c r="AF33" i="6" s="1"/>
  <c r="AG33" i="6" s="1"/>
  <c r="S8" i="6"/>
  <c r="S10" i="6"/>
  <c r="S12" i="6"/>
  <c r="S14" i="6"/>
  <c r="S21" i="6"/>
  <c r="V21" i="6" s="1"/>
  <c r="W21" i="6" s="1"/>
  <c r="AC21" i="6" s="1"/>
  <c r="AD21" i="6" s="1"/>
  <c r="AE21" i="6" s="1"/>
  <c r="AF21" i="6" s="1"/>
  <c r="AG21" i="6" s="1"/>
  <c r="S22" i="6"/>
  <c r="V22" i="6" s="1"/>
  <c r="W22" i="6" s="1"/>
  <c r="AC22" i="6" s="1"/>
  <c r="AD22" i="6" s="1"/>
  <c r="AE22" i="6" s="1"/>
  <c r="AF22" i="6" s="1"/>
  <c r="AG22" i="6" s="1"/>
  <c r="S24" i="6"/>
  <c r="V24" i="6" s="1"/>
  <c r="W24" i="6" s="1"/>
  <c r="AC24" i="6" s="1"/>
  <c r="AD24" i="6" s="1"/>
  <c r="AE24" i="6" s="1"/>
  <c r="AF24" i="6" s="1"/>
  <c r="AG24" i="6" s="1"/>
  <c r="S26" i="6"/>
  <c r="V26" i="6" s="1"/>
  <c r="W26" i="6" s="1"/>
  <c r="AC26" i="6" s="1"/>
  <c r="AD26" i="6" s="1"/>
  <c r="AE26" i="6" s="1"/>
  <c r="AF26" i="6" s="1"/>
  <c r="AG26" i="6" s="1"/>
  <c r="S28" i="6"/>
  <c r="V28" i="6" s="1"/>
  <c r="W28" i="6" s="1"/>
  <c r="AC28" i="6" s="1"/>
  <c r="AD28" i="6" s="1"/>
  <c r="AE28" i="6" s="1"/>
  <c r="AF28" i="6" s="1"/>
  <c r="AG28" i="6" s="1"/>
  <c r="S30" i="6"/>
  <c r="V30" i="6" s="1"/>
  <c r="W30" i="6" s="1"/>
  <c r="AC30" i="6" s="1"/>
  <c r="AD30" i="6" s="1"/>
  <c r="AE30" i="6" s="1"/>
  <c r="AF30" i="6" s="1"/>
  <c r="AG30" i="6" s="1"/>
  <c r="S34" i="6"/>
  <c r="V34" i="6" s="1"/>
  <c r="W34" i="6" s="1"/>
  <c r="AC34" i="6" s="1"/>
  <c r="AD34" i="6" s="1"/>
  <c r="AE34" i="6" s="1"/>
  <c r="AF34" i="6" s="1"/>
  <c r="AG34" i="6" s="1"/>
  <c r="S36" i="6"/>
  <c r="V36" i="6" s="1"/>
  <c r="W36" i="6" s="1"/>
  <c r="AC36" i="6" s="1"/>
  <c r="AD36" i="6" s="1"/>
  <c r="AE36" i="6" s="1"/>
  <c r="AF36" i="6" s="1"/>
  <c r="AG36" i="6" s="1"/>
  <c r="S38" i="6"/>
  <c r="V38" i="6" s="1"/>
  <c r="W38" i="6" s="1"/>
  <c r="AC38" i="6" s="1"/>
  <c r="AD38" i="6" s="1"/>
  <c r="AE38" i="6" s="1"/>
  <c r="AF38" i="6" s="1"/>
  <c r="AG38" i="6" s="1"/>
  <c r="S40" i="6"/>
  <c r="V40" i="6" s="1"/>
  <c r="W40" i="6" s="1"/>
  <c r="AC40" i="6" s="1"/>
  <c r="AD40" i="6" s="1"/>
  <c r="AE40" i="6" s="1"/>
  <c r="AF40" i="6" s="1"/>
  <c r="AG40" i="6" s="1"/>
  <c r="S42" i="6"/>
  <c r="V42" i="6" s="1"/>
  <c r="W42" i="6" s="1"/>
  <c r="AC42" i="6" s="1"/>
  <c r="AD42" i="6" s="1"/>
  <c r="AE42" i="6" s="1"/>
  <c r="AF42" i="6" s="1"/>
  <c r="AG42" i="6" s="1"/>
  <c r="S43" i="6"/>
  <c r="V43" i="6" s="1"/>
  <c r="W43" i="6" s="1"/>
  <c r="AC43" i="6" s="1"/>
  <c r="AD43" i="6" s="1"/>
  <c r="AE43" i="6" s="1"/>
  <c r="AF43" i="6" s="1"/>
  <c r="AG43" i="6" s="1"/>
  <c r="S47" i="6"/>
  <c r="S49" i="6"/>
  <c r="S51" i="6"/>
  <c r="S53" i="6"/>
  <c r="S54" i="6"/>
  <c r="S80" i="6"/>
  <c r="V80" i="6" s="1"/>
  <c r="W80" i="6" s="1"/>
  <c r="S82" i="6"/>
  <c r="V82" i="6" s="1"/>
  <c r="W82" i="6" s="1"/>
  <c r="S46" i="6"/>
  <c r="V46" i="6" s="1"/>
  <c r="W46" i="6" s="1"/>
  <c r="AC46" i="6" s="1"/>
  <c r="AD46" i="6" s="1"/>
  <c r="AE46" i="6" s="1"/>
  <c r="AF46" i="6" s="1"/>
  <c r="AG46" i="6" s="1"/>
  <c r="S7" i="6"/>
  <c r="S35" i="6"/>
  <c r="V35" i="6" s="1"/>
  <c r="W35" i="6" s="1"/>
  <c r="AC35" i="6" s="1"/>
  <c r="AD35" i="6" s="1"/>
  <c r="AE35" i="6" s="1"/>
  <c r="AF35" i="6" s="1"/>
  <c r="AG35" i="6" s="1"/>
  <c r="S9" i="6"/>
  <c r="S13" i="6"/>
  <c r="S83" i="6"/>
  <c r="S86" i="6"/>
  <c r="V86" i="6" s="1"/>
  <c r="W86" i="6" s="1"/>
  <c r="Y77" i="6"/>
  <c r="S87" i="6"/>
  <c r="V87" i="6" s="1"/>
  <c r="W87" i="6" s="1"/>
  <c r="S15" i="6"/>
  <c r="S20" i="6"/>
  <c r="V20" i="6" s="1"/>
  <c r="W20" i="6" s="1"/>
  <c r="AC20" i="6" s="1"/>
  <c r="AD20" i="6" s="1"/>
  <c r="AE20" i="6" s="1"/>
  <c r="AF20" i="6" s="1"/>
  <c r="AG20" i="6" s="1"/>
  <c r="S50" i="6"/>
  <c r="S37" i="6"/>
  <c r="V37" i="6" s="1"/>
  <c r="W37" i="6" s="1"/>
  <c r="AC37" i="6" s="1"/>
  <c r="AD37" i="6" s="1"/>
  <c r="AE37" i="6" s="1"/>
  <c r="AF37" i="6" s="1"/>
  <c r="AG37" i="6" s="1"/>
  <c r="S48" i="6"/>
  <c r="S23" i="6"/>
  <c r="V23" i="6" s="1"/>
  <c r="W23" i="6" s="1"/>
  <c r="AC23" i="6" s="1"/>
  <c r="AD23" i="6" s="1"/>
  <c r="AE23" i="6" s="1"/>
  <c r="AF23" i="6" s="1"/>
  <c r="AG23" i="6" s="1"/>
  <c r="S81" i="6"/>
  <c r="V81" i="6" s="1"/>
  <c r="W81" i="6" s="1"/>
  <c r="S25" i="6"/>
  <c r="V25" i="6" s="1"/>
  <c r="W25" i="6" s="1"/>
  <c r="AC25" i="6" s="1"/>
  <c r="AD25" i="6" s="1"/>
  <c r="AE25" i="6" s="1"/>
  <c r="AF25" i="6" s="1"/>
  <c r="AG25" i="6" s="1"/>
  <c r="S41" i="6"/>
  <c r="V41" i="6" s="1"/>
  <c r="W41" i="6" s="1"/>
  <c r="AC41" i="6" s="1"/>
  <c r="AD41" i="6" s="1"/>
  <c r="AE41" i="6" s="1"/>
  <c r="AF41" i="6" s="1"/>
  <c r="AG41" i="6" s="1"/>
  <c r="S85" i="6"/>
  <c r="V85" i="6" s="1"/>
  <c r="W85" i="6" s="1"/>
  <c r="S29" i="6"/>
  <c r="V29" i="6" s="1"/>
  <c r="W29" i="6" s="1"/>
  <c r="AC29" i="6" s="1"/>
  <c r="AD29" i="6" s="1"/>
  <c r="AE29" i="6" s="1"/>
  <c r="AF29" i="6" s="1"/>
  <c r="AG29" i="6" s="1"/>
  <c r="S79" i="6"/>
  <c r="V79" i="6" s="1"/>
  <c r="W79" i="6" s="1"/>
  <c r="S27" i="6"/>
  <c r="V27" i="6" s="1"/>
  <c r="W27" i="6" s="1"/>
  <c r="AC27" i="6" s="1"/>
  <c r="AD27" i="6" s="1"/>
  <c r="AE27" i="6" s="1"/>
  <c r="AF27" i="6" s="1"/>
  <c r="AG27" i="6" s="1"/>
  <c r="S5" i="6"/>
  <c r="V5" i="6" s="1"/>
  <c r="S6" i="6"/>
  <c r="W76" i="6"/>
  <c r="Z76" i="6"/>
  <c r="Z77" i="6"/>
  <c r="Z78" i="6"/>
  <c r="W62" i="6"/>
  <c r="AC62" i="6" s="1"/>
  <c r="AD62" i="6" s="1"/>
  <c r="AE62" i="6" s="1"/>
  <c r="AF62" i="6" s="1"/>
  <c r="AG62" i="6" s="1"/>
  <c r="Z62" i="6"/>
  <c r="W74" i="6"/>
  <c r="Z74" i="6"/>
  <c r="W58" i="6"/>
  <c r="AC58" i="6" s="1"/>
  <c r="AD58" i="6" s="1"/>
  <c r="AE58" i="6" s="1"/>
  <c r="AF58" i="6" s="1"/>
  <c r="AG58" i="6" s="1"/>
  <c r="Z58" i="6"/>
  <c r="W17" i="6"/>
  <c r="AC17" i="6" s="1"/>
  <c r="AD17" i="6" s="1"/>
  <c r="AE17" i="6" s="1"/>
  <c r="AF17" i="6" s="1"/>
  <c r="AG17" i="6" s="1"/>
  <c r="Z17" i="6"/>
  <c r="W32" i="6"/>
  <c r="AC32" i="6" s="1"/>
  <c r="AD32" i="6" s="1"/>
  <c r="AE32" i="6" s="1"/>
  <c r="AF32" i="6" s="1"/>
  <c r="AG32" i="6" s="1"/>
  <c r="Z32" i="6"/>
  <c r="W45" i="6"/>
  <c r="AC45" i="6" s="1"/>
  <c r="AD45" i="6" s="1"/>
  <c r="AE45" i="6" s="1"/>
  <c r="AF45" i="6" s="1"/>
  <c r="AG45" i="6" s="1"/>
  <c r="Z45" i="6"/>
  <c r="W68" i="6"/>
  <c r="AC68" i="6" s="1"/>
  <c r="AD68" i="6" s="1"/>
  <c r="AE68" i="6" s="1"/>
  <c r="AF68" i="6" s="1"/>
  <c r="AG68" i="6" s="1"/>
  <c r="Z68" i="6"/>
  <c r="W66" i="6"/>
  <c r="AC66" i="6" s="1"/>
  <c r="AD66" i="6" s="1"/>
  <c r="AE66" i="6" s="1"/>
  <c r="AF66" i="6" s="1"/>
  <c r="AG66" i="6" s="1"/>
  <c r="Z66" i="6"/>
  <c r="W78" i="6"/>
  <c r="W70" i="6"/>
  <c r="Z70" i="6"/>
  <c r="W60" i="6"/>
  <c r="AC60" i="6" s="1"/>
  <c r="AD60" i="6" s="1"/>
  <c r="AE60" i="6" s="1"/>
  <c r="AF60" i="6" s="1"/>
  <c r="AG60" i="6" s="1"/>
  <c r="Z60" i="6"/>
  <c r="W72" i="6"/>
  <c r="AC72" i="6" s="1"/>
  <c r="AD72" i="6" s="1"/>
  <c r="AE72" i="6" s="1"/>
  <c r="AF72" i="6" s="1"/>
  <c r="AG72" i="6" s="1"/>
  <c r="Z72" i="6"/>
  <c r="W64" i="6"/>
  <c r="AC64" i="6" s="1"/>
  <c r="AD64" i="6" s="1"/>
  <c r="AE64" i="6" s="1"/>
  <c r="AF64" i="6" s="1"/>
  <c r="AG64" i="6" s="1"/>
  <c r="Z64" i="6"/>
  <c r="W19" i="6"/>
  <c r="AC19" i="6" s="1"/>
  <c r="AD19" i="6" s="1"/>
  <c r="AE19" i="6" s="1"/>
  <c r="AF19" i="6" s="1"/>
  <c r="AG19" i="6" s="1"/>
  <c r="Z19" i="6"/>
  <c r="W56" i="6"/>
  <c r="AC56" i="6" s="1"/>
  <c r="AD56" i="6" s="1"/>
  <c r="AE56" i="6" s="1"/>
  <c r="AF56" i="6" s="1"/>
  <c r="AG56" i="6" s="1"/>
  <c r="Z56" i="6"/>
  <c r="V4" i="6"/>
  <c r="U6" i="6"/>
  <c r="U7" i="6" s="1"/>
  <c r="U47" i="6"/>
  <c r="U48" i="6" s="1"/>
  <c r="U49" i="6" s="1"/>
  <c r="V84" i="6"/>
  <c r="W84" i="6" s="1"/>
  <c r="V83" i="6"/>
  <c r="W83" i="6" s="1"/>
  <c r="AC70" i="6" l="1"/>
  <c r="AD70" i="6" s="1"/>
  <c r="AE70" i="6" s="1"/>
  <c r="AH77" i="6"/>
  <c r="AC81" i="6"/>
  <c r="AD81" i="6" s="1"/>
  <c r="AE81" i="6" s="1"/>
  <c r="AF81" i="6" s="1"/>
  <c r="AG81" i="6" s="1"/>
  <c r="AC84" i="6"/>
  <c r="AD84" i="6" s="1"/>
  <c r="AE84" i="6" s="1"/>
  <c r="AF84" i="6" s="1"/>
  <c r="AG84" i="6" s="1"/>
  <c r="AC74" i="6"/>
  <c r="AD74" i="6" s="1"/>
  <c r="AE74" i="6" s="1"/>
  <c r="AF74" i="6" s="1"/>
  <c r="AG74" i="6" s="1"/>
  <c r="AC85" i="6"/>
  <c r="AD85" i="6" s="1"/>
  <c r="AE85" i="6" s="1"/>
  <c r="AF85" i="6" s="1"/>
  <c r="AG85" i="6" s="1"/>
  <c r="AC86" i="6"/>
  <c r="AD86" i="6" s="1"/>
  <c r="AE86" i="6" s="1"/>
  <c r="AF86" i="6" s="1"/>
  <c r="AG86" i="6" s="1"/>
  <c r="AC82" i="6"/>
  <c r="AD82" i="6" s="1"/>
  <c r="AE82" i="6" s="1"/>
  <c r="AF82" i="6" s="1"/>
  <c r="AG82" i="6" s="1"/>
  <c r="AC83" i="6"/>
  <c r="AD83" i="6" s="1"/>
  <c r="AE83" i="6" s="1"/>
  <c r="AF83" i="6" s="1"/>
  <c r="AG83" i="6" s="1"/>
  <c r="AF70" i="6"/>
  <c r="AG70" i="6" s="1"/>
  <c r="AC80" i="6"/>
  <c r="AD80" i="6" s="1"/>
  <c r="AE80" i="6" s="1"/>
  <c r="AF80" i="6" s="1"/>
  <c r="AG80" i="6" s="1"/>
  <c r="AC78" i="6"/>
  <c r="AD78" i="6" s="1"/>
  <c r="AE78" i="6" s="1"/>
  <c r="AF78" i="6" s="1"/>
  <c r="AG78" i="6" s="1"/>
  <c r="AC76" i="6"/>
  <c r="AD76" i="6" s="1"/>
  <c r="AE76" i="6" s="1"/>
  <c r="AF76" i="6" s="1"/>
  <c r="AG76" i="6" s="1"/>
  <c r="AC79" i="6"/>
  <c r="AD79" i="6" s="1"/>
  <c r="AE79" i="6" s="1"/>
  <c r="AF79" i="6" s="1"/>
  <c r="AG79" i="6" s="1"/>
  <c r="AC87" i="6"/>
  <c r="AD87" i="6" s="1"/>
  <c r="AE87" i="6" s="1"/>
  <c r="AF87" i="6" s="1"/>
  <c r="AG87" i="6" s="1"/>
  <c r="V7" i="6"/>
  <c r="W7" i="6" s="1"/>
  <c r="AC7" i="6" s="1"/>
  <c r="AD7" i="6" s="1"/>
  <c r="AE7" i="6" s="1"/>
  <c r="AF7" i="6" s="1"/>
  <c r="AG7" i="6" s="1"/>
  <c r="Y83" i="6"/>
  <c r="Y39" i="6"/>
  <c r="AH39" i="6" s="1"/>
  <c r="Y40" i="6"/>
  <c r="AH40" i="6" s="1"/>
  <c r="Y29" i="6"/>
  <c r="AH29" i="6" s="1"/>
  <c r="Y42" i="6"/>
  <c r="AH42" i="6" s="1"/>
  <c r="Y41" i="6"/>
  <c r="AH41" i="6" s="1"/>
  <c r="Y87" i="6"/>
  <c r="Y30" i="6"/>
  <c r="AH30" i="6" s="1"/>
  <c r="Y28" i="6"/>
  <c r="AH28" i="6" s="1"/>
  <c r="Y86" i="6"/>
  <c r="Y85" i="6"/>
  <c r="Y37" i="6"/>
  <c r="AH37" i="6" s="1"/>
  <c r="Y36" i="6"/>
  <c r="AH36" i="6" s="1"/>
  <c r="Y25" i="6"/>
  <c r="AH25" i="6" s="1"/>
  <c r="Y27" i="6"/>
  <c r="AH27" i="6" s="1"/>
  <c r="Y38" i="6"/>
  <c r="AH38" i="6" s="1"/>
  <c r="Y82" i="6"/>
  <c r="Y84" i="6"/>
  <c r="Y24" i="6"/>
  <c r="AH24" i="6" s="1"/>
  <c r="Y43" i="6"/>
  <c r="AH43" i="6" s="1"/>
  <c r="Y26" i="6"/>
  <c r="AH26" i="6" s="1"/>
  <c r="Y22" i="6"/>
  <c r="AH22" i="6" s="1"/>
  <c r="Y20" i="6"/>
  <c r="AH20" i="6" s="1"/>
  <c r="Y21" i="6"/>
  <c r="AH21" i="6" s="1"/>
  <c r="Y23" i="6"/>
  <c r="AH23" i="6" s="1"/>
  <c r="Y35" i="6"/>
  <c r="AH35" i="6" s="1"/>
  <c r="Y81" i="6"/>
  <c r="Y80" i="6"/>
  <c r="Y34" i="6"/>
  <c r="AH34" i="6" s="1"/>
  <c r="Y33" i="6"/>
  <c r="AH33" i="6" s="1"/>
  <c r="Y56" i="6"/>
  <c r="AH56" i="6" s="1"/>
  <c r="Y19" i="6"/>
  <c r="AH19" i="6" s="1"/>
  <c r="Y64" i="6"/>
  <c r="AH64" i="6" s="1"/>
  <c r="Y72" i="6"/>
  <c r="AH72" i="6" s="1"/>
  <c r="Y60" i="6"/>
  <c r="AH60" i="6" s="1"/>
  <c r="Y70" i="6"/>
  <c r="Y78" i="6"/>
  <c r="Y66" i="6"/>
  <c r="AH66" i="6" s="1"/>
  <c r="Y68" i="6"/>
  <c r="AH68" i="6" s="1"/>
  <c r="Y45" i="6"/>
  <c r="AH45" i="6" s="1"/>
  <c r="Y32" i="6"/>
  <c r="AH32" i="6" s="1"/>
  <c r="Y17" i="6"/>
  <c r="AH17" i="6" s="1"/>
  <c r="Y58" i="6"/>
  <c r="AH58" i="6" s="1"/>
  <c r="Y74" i="6"/>
  <c r="Y62" i="6"/>
  <c r="AH62" i="6" s="1"/>
  <c r="Y46" i="6"/>
  <c r="AH46" i="6" s="1"/>
  <c r="Y79" i="6"/>
  <c r="Y76" i="6"/>
  <c r="Z46" i="6"/>
  <c r="W5" i="6"/>
  <c r="AC5" i="6" s="1"/>
  <c r="AD5" i="6" s="1"/>
  <c r="AE5" i="6" s="1"/>
  <c r="AF5" i="6" s="1"/>
  <c r="AG5" i="6" s="1"/>
  <c r="Z5" i="6"/>
  <c r="Z83" i="6"/>
  <c r="Z79" i="6"/>
  <c r="Z85" i="6"/>
  <c r="Z84" i="6"/>
  <c r="Z86" i="6"/>
  <c r="Z81" i="6"/>
  <c r="Z80" i="6"/>
  <c r="Z87" i="6"/>
  <c r="Z82" i="6"/>
  <c r="Z41" i="6"/>
  <c r="Z39" i="6"/>
  <c r="Z29" i="6"/>
  <c r="Z23" i="6"/>
  <c r="Z26" i="6"/>
  <c r="Z38" i="6"/>
  <c r="Z40" i="6"/>
  <c r="Z35" i="6"/>
  <c r="Z4" i="6"/>
  <c r="Z21" i="6"/>
  <c r="Z20" i="6"/>
  <c r="Z22" i="6"/>
  <c r="Z42" i="6"/>
  <c r="Z33" i="6"/>
  <c r="Z36" i="6"/>
  <c r="Z28" i="6"/>
  <c r="Z30" i="6"/>
  <c r="Z25" i="6"/>
  <c r="Z24" i="6"/>
  <c r="Z27" i="6"/>
  <c r="Z34" i="6"/>
  <c r="Z37" i="6"/>
  <c r="Z43" i="6"/>
  <c r="W4" i="6"/>
  <c r="AC4" i="6" s="1"/>
  <c r="AD4" i="6" s="1"/>
  <c r="AE4" i="6" s="1"/>
  <c r="AF4" i="6" s="1"/>
  <c r="AG4" i="6" s="1"/>
  <c r="V47" i="6"/>
  <c r="U8" i="6"/>
  <c r="U9" i="6" s="1"/>
  <c r="V9" i="6" s="1"/>
  <c r="W9" i="6" s="1"/>
  <c r="AC9" i="6" s="1"/>
  <c r="AD9" i="6" s="1"/>
  <c r="AE9" i="6" s="1"/>
  <c r="AF9" i="6" s="1"/>
  <c r="AG9" i="6" s="1"/>
  <c r="V6" i="6"/>
  <c r="W6" i="6" s="1"/>
  <c r="AC6" i="6" s="1"/>
  <c r="AD6" i="6" s="1"/>
  <c r="AE6" i="6" s="1"/>
  <c r="AF6" i="6" s="1"/>
  <c r="AG6" i="6" s="1"/>
  <c r="V48" i="6"/>
  <c r="W48" i="6" s="1"/>
  <c r="AC48" i="6" s="1"/>
  <c r="AD48" i="6" s="1"/>
  <c r="AE48" i="6" s="1"/>
  <c r="AF48" i="6" s="1"/>
  <c r="AG48" i="6" s="1"/>
  <c r="U50" i="6"/>
  <c r="V49" i="6"/>
  <c r="W49" i="6" s="1"/>
  <c r="AC49" i="6" s="1"/>
  <c r="AD49" i="6" s="1"/>
  <c r="AE49" i="6" s="1"/>
  <c r="AF49" i="6" s="1"/>
  <c r="AG49" i="6" s="1"/>
  <c r="AH84" i="6" l="1"/>
  <c r="AH70" i="6"/>
  <c r="Y7" i="6"/>
  <c r="AH7" i="6" s="1"/>
  <c r="AH87" i="6"/>
  <c r="AH80" i="6"/>
  <c r="AH86" i="6"/>
  <c r="AH74" i="6"/>
  <c r="AH81" i="6"/>
  <c r="AH79" i="6"/>
  <c r="AH83" i="6"/>
  <c r="AH76" i="6"/>
  <c r="AH85" i="6"/>
  <c r="AH78" i="6"/>
  <c r="AH82" i="6"/>
  <c r="Y49" i="6"/>
  <c r="AH49" i="6" s="1"/>
  <c r="Y48" i="6"/>
  <c r="AH48" i="6" s="1"/>
  <c r="Y4" i="6"/>
  <c r="AH4" i="6" s="1"/>
  <c r="Y6" i="6"/>
  <c r="AH6" i="6" s="1"/>
  <c r="Y9" i="6"/>
  <c r="AH9" i="6" s="1"/>
  <c r="Y5" i="6"/>
  <c r="AH5" i="6" s="1"/>
  <c r="Z7" i="6"/>
  <c r="Z6" i="6"/>
  <c r="W47" i="6"/>
  <c r="AC47" i="6" s="1"/>
  <c r="AD47" i="6" s="1"/>
  <c r="AE47" i="6" s="1"/>
  <c r="AF47" i="6" s="1"/>
  <c r="AG47" i="6" s="1"/>
  <c r="Z47" i="6"/>
  <c r="Z48" i="6"/>
  <c r="Z49" i="6"/>
  <c r="V8" i="6"/>
  <c r="W8" i="6" s="1"/>
  <c r="AC8" i="6" s="1"/>
  <c r="AD8" i="6" s="1"/>
  <c r="AE8" i="6" s="1"/>
  <c r="AF8" i="6" s="1"/>
  <c r="AG8" i="6" s="1"/>
  <c r="U10" i="6"/>
  <c r="V10" i="6" s="1"/>
  <c r="W10" i="6" s="1"/>
  <c r="AC10" i="6" s="1"/>
  <c r="AD10" i="6" s="1"/>
  <c r="AE10" i="6" s="1"/>
  <c r="AF10" i="6" s="1"/>
  <c r="AG10" i="6" s="1"/>
  <c r="U51" i="6"/>
  <c r="V50" i="6"/>
  <c r="W50" i="6" s="1"/>
  <c r="AC50" i="6" s="1"/>
  <c r="AD50" i="6" s="1"/>
  <c r="AE50" i="6" s="1"/>
  <c r="AF50" i="6" s="1"/>
  <c r="AG50" i="6" s="1"/>
  <c r="Y50" i="6" l="1"/>
  <c r="AH50" i="6" s="1"/>
  <c r="Y10" i="6"/>
  <c r="AH10" i="6" s="1"/>
  <c r="Y8" i="6"/>
  <c r="AH8" i="6" s="1"/>
  <c r="Y47" i="6"/>
  <c r="AH47" i="6" s="1"/>
  <c r="Z9" i="6"/>
  <c r="Z10" i="6"/>
  <c r="Z50" i="6"/>
  <c r="Z8" i="6"/>
  <c r="U11" i="6"/>
  <c r="U12" i="6" s="1"/>
  <c r="V12" i="6" s="1"/>
  <c r="W12" i="6" s="1"/>
  <c r="AC12" i="6" s="1"/>
  <c r="AD12" i="6" s="1"/>
  <c r="AE12" i="6" s="1"/>
  <c r="AF12" i="6" s="1"/>
  <c r="AG12" i="6" s="1"/>
  <c r="U52" i="6"/>
  <c r="V51" i="6"/>
  <c r="Y12" i="6" l="1"/>
  <c r="AH12" i="6" s="1"/>
  <c r="W51" i="6"/>
  <c r="AC51" i="6" s="1"/>
  <c r="AD51" i="6" s="1"/>
  <c r="AE51" i="6" s="1"/>
  <c r="AF51" i="6" s="1"/>
  <c r="AG51" i="6" s="1"/>
  <c r="Z51" i="6"/>
  <c r="U13" i="6"/>
  <c r="U14" i="6" s="1"/>
  <c r="V11" i="6"/>
  <c r="U53" i="6"/>
  <c r="V52" i="6"/>
  <c r="W52" i="6" s="1"/>
  <c r="AC52" i="6" s="1"/>
  <c r="AD52" i="6" s="1"/>
  <c r="AE52" i="6" s="1"/>
  <c r="AF52" i="6" s="1"/>
  <c r="AG52" i="6" s="1"/>
  <c r="Y51" i="6" l="1"/>
  <c r="AH51" i="6" s="1"/>
  <c r="Y52" i="6"/>
  <c r="AH52" i="6" s="1"/>
  <c r="Z52" i="6"/>
  <c r="Z11" i="6"/>
  <c r="Z12" i="6"/>
  <c r="V13" i="6"/>
  <c r="W13" i="6" s="1"/>
  <c r="AC13" i="6" s="1"/>
  <c r="AD13" i="6" s="1"/>
  <c r="AE13" i="6" s="1"/>
  <c r="AF13" i="6" s="1"/>
  <c r="AG13" i="6" s="1"/>
  <c r="W11" i="6"/>
  <c r="AC11" i="6" s="1"/>
  <c r="AD11" i="6" s="1"/>
  <c r="AE11" i="6" s="1"/>
  <c r="AF11" i="6" s="1"/>
  <c r="AG11" i="6" s="1"/>
  <c r="U54" i="6"/>
  <c r="V53" i="6"/>
  <c r="U15" i="6"/>
  <c r="V14" i="6"/>
  <c r="W14" i="6" s="1"/>
  <c r="AC14" i="6" s="1"/>
  <c r="AD14" i="6" s="1"/>
  <c r="AE14" i="6" s="1"/>
  <c r="AF14" i="6" s="1"/>
  <c r="AG14" i="6" s="1"/>
  <c r="Y14" i="6" l="1"/>
  <c r="AH14" i="6" s="1"/>
  <c r="Y11" i="6"/>
  <c r="AH11" i="6" s="1"/>
  <c r="Y13" i="6"/>
  <c r="AH13" i="6" s="1"/>
  <c r="Z13" i="6"/>
  <c r="W53" i="6"/>
  <c r="AC53" i="6" s="1"/>
  <c r="AD53" i="6" s="1"/>
  <c r="AE53" i="6" s="1"/>
  <c r="AF53" i="6" s="1"/>
  <c r="AG53" i="6" s="1"/>
  <c r="Z53" i="6"/>
  <c r="Z14" i="6"/>
  <c r="V54" i="6"/>
  <c r="W54" i="6" s="1"/>
  <c r="AC54" i="6" s="1"/>
  <c r="AD54" i="6" s="1"/>
  <c r="AE54" i="6" s="1"/>
  <c r="AF54" i="6" s="1"/>
  <c r="AG54" i="6" s="1"/>
  <c r="V15" i="6"/>
  <c r="Z15" i="6" s="1"/>
  <c r="Y53" i="6" l="1"/>
  <c r="AH53" i="6" s="1"/>
  <c r="Y54" i="6"/>
  <c r="AH54" i="6" s="1"/>
  <c r="Z54" i="6"/>
  <c r="W15" i="6"/>
  <c r="AC15" i="6" s="1"/>
  <c r="AD15" i="6" s="1"/>
  <c r="AE15" i="6" s="1"/>
  <c r="AF15" i="6" s="1"/>
  <c r="AG15" i="6" s="1"/>
  <c r="Y15" i="6" l="1"/>
  <c r="AH1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G21" authorId="0" shapeId="0" xr:uid="{E91557D9-0B4D-46A1-A8B5-2C1466F631F5}">
      <text>
        <r>
          <rPr>
            <b/>
            <sz val="9"/>
            <color indexed="81"/>
            <rFont val="Tahoma"/>
            <charset val="1"/>
          </rPr>
          <t>Freddy: Na verdade é para constar lançamento por lançamento da compra de contas</t>
        </r>
      </text>
    </comment>
    <comment ref="B189" authorId="0" shapeId="0" xr:uid="{D1FB2CE4-1184-46D7-BDED-38D621272185}">
      <text>
        <r>
          <rPr>
            <b/>
            <sz val="9"/>
            <color indexed="81"/>
            <rFont val="Tahoma"/>
            <charset val="1"/>
          </rPr>
          <t>Freddy:
Carencia
Inserir Formula da Carencia</t>
        </r>
      </text>
    </comment>
  </commentList>
</comments>
</file>

<file path=xl/sharedStrings.xml><?xml version="1.0" encoding="utf-8"?>
<sst xmlns="http://schemas.openxmlformats.org/spreadsheetml/2006/main" count="1518" uniqueCount="118">
  <si>
    <t>Id</t>
  </si>
  <si>
    <t>Número Contrato</t>
  </si>
  <si>
    <t xml:space="preserve">1655155 </t>
  </si>
  <si>
    <t xml:space="preserve">1633952 </t>
  </si>
  <si>
    <t xml:space="preserve">1583328 </t>
  </si>
  <si>
    <t>1563037</t>
  </si>
  <si>
    <t xml:space="preserve">1536390 </t>
  </si>
  <si>
    <t xml:space="preserve">1495473 </t>
  </si>
  <si>
    <t>1484298</t>
  </si>
  <si>
    <t>1442502</t>
  </si>
  <si>
    <t>1479584</t>
  </si>
  <si>
    <t>1443478</t>
  </si>
  <si>
    <t>1458035</t>
  </si>
  <si>
    <t>1465935</t>
  </si>
  <si>
    <t>1465857</t>
  </si>
  <si>
    <t>1442064</t>
  </si>
  <si>
    <t xml:space="preserve">1445693 </t>
  </si>
  <si>
    <t>1391549</t>
  </si>
  <si>
    <t>Cliente Name</t>
  </si>
  <si>
    <t>CNPJ</t>
  </si>
  <si>
    <t>MAIS INTERNET</t>
  </si>
  <si>
    <t>11832927000104</t>
  </si>
  <si>
    <t>Jetbov</t>
  </si>
  <si>
    <t>21249460000128</t>
  </si>
  <si>
    <t>Linktel</t>
  </si>
  <si>
    <t>02945663000104</t>
  </si>
  <si>
    <t>MyClipp</t>
  </si>
  <si>
    <t>09308405000166</t>
  </si>
  <si>
    <t>Findup</t>
  </si>
  <si>
    <t>23588698000103</t>
  </si>
  <si>
    <t>Boa Consulta</t>
  </si>
  <si>
    <t>15224465000101</t>
  </si>
  <si>
    <t>Gold Soluções</t>
  </si>
  <si>
    <t>22379394000173</t>
  </si>
  <si>
    <t>Home Agent</t>
  </si>
  <si>
    <t>14069185000103</t>
  </si>
  <si>
    <t>Vai Car</t>
  </si>
  <si>
    <t>28944402000163</t>
  </si>
  <si>
    <t>A Lavadeira</t>
  </si>
  <si>
    <t>17192825000158</t>
  </si>
  <si>
    <t>tx Liquida Mensal</t>
  </si>
  <si>
    <t>Tipo de Evento</t>
  </si>
  <si>
    <t>Status do Evento</t>
  </si>
  <si>
    <t>Valor Desembolsado</t>
  </si>
  <si>
    <t>Parcela</t>
  </si>
  <si>
    <t>Principal</t>
  </si>
  <si>
    <t>Juros</t>
  </si>
  <si>
    <t>Saldo Devedor Esperado</t>
  </si>
  <si>
    <t>Juros Calculados até Vencimento</t>
  </si>
  <si>
    <t>Saldo Devedor Atualizado Data Vencimento</t>
  </si>
  <si>
    <t>disbursement</t>
  </si>
  <si>
    <t>Amortization</t>
  </si>
  <si>
    <t>Agenda</t>
  </si>
  <si>
    <t>DataBase</t>
  </si>
  <si>
    <t>Data Realizada</t>
  </si>
  <si>
    <t>Intervalo Entre Eventos</t>
  </si>
  <si>
    <t>Data Lançamento</t>
  </si>
  <si>
    <t>Conta Creditada</t>
  </si>
  <si>
    <t>Conta Debitada</t>
  </si>
  <si>
    <t>Valor</t>
  </si>
  <si>
    <t>Contrato</t>
  </si>
  <si>
    <t>Tipo</t>
  </si>
  <si>
    <t>Investidores</t>
  </si>
  <si>
    <t>B2S8</t>
  </si>
  <si>
    <t xml:space="preserve">Cotas por Investidores </t>
  </si>
  <si>
    <t>Saldo Devedor Atualizado</t>
  </si>
  <si>
    <t>Saldo Devedor</t>
  </si>
  <si>
    <t>Coluna Com Data Suporte (HIDE)</t>
  </si>
  <si>
    <t>Carência</t>
  </si>
  <si>
    <t>Variação Acumulada %</t>
  </si>
  <si>
    <t>Variação eventos %</t>
  </si>
  <si>
    <t>Juros DataBase ou Data Realizada</t>
  </si>
  <si>
    <t>Fator Diario</t>
  </si>
  <si>
    <t>PMT Data Localizador</t>
  </si>
  <si>
    <t>Proporção PMT/Principal</t>
  </si>
  <si>
    <t>PMT/Principal</t>
  </si>
  <si>
    <t>Principal Esperado</t>
  </si>
  <si>
    <t>Fator</t>
  </si>
  <si>
    <t>Principal (Valor (D))</t>
  </si>
  <si>
    <t>SD BOP</t>
  </si>
  <si>
    <t>SD EOP (M-L)</t>
  </si>
  <si>
    <t>Juros (Valor (D))</t>
  </si>
  <si>
    <t>Intervalo entre eventos -Dias</t>
  </si>
  <si>
    <t>SD BOP X Fator (J * N)</t>
  </si>
  <si>
    <t>Em aberto PMT</t>
  </si>
  <si>
    <t>Amortizado Acumulado (L Acumulado)</t>
  </si>
  <si>
    <t>Fim de Mês</t>
  </si>
  <si>
    <t>Sum of Fator</t>
  </si>
  <si>
    <t>Sobre de Principal Amortizado
(Q-L)</t>
  </si>
  <si>
    <t>Column1</t>
  </si>
  <si>
    <t>2020</t>
  </si>
  <si>
    <t>2021</t>
  </si>
  <si>
    <t>PDD Flag</t>
  </si>
  <si>
    <t>PDD Nota</t>
  </si>
  <si>
    <t>PDD Fator</t>
  </si>
  <si>
    <t>Provisão</t>
  </si>
  <si>
    <t>Valor Presente Liquido</t>
  </si>
  <si>
    <t>Rentabilidade Líquida</t>
  </si>
  <si>
    <t>Total Em Aberto Acumulado</t>
  </si>
  <si>
    <t>Dias em Atraso</t>
  </si>
  <si>
    <t>PDD</t>
  </si>
  <si>
    <t>2020 Total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</si>
  <si>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</si>
  <si>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</si>
  <si>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</si>
  <si>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</si>
  <si>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</si>
  <si>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</si>
  <si>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</si>
  <si>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</si>
  <si>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</si>
  <si>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2021 Total</t>
  </si>
  <si>
    <t>jan</t>
  </si>
  <si>
    <t>fev</t>
  </si>
  <si>
    <t>mar</t>
  </si>
  <si>
    <t>Column Labels</t>
  </si>
  <si>
    <t>Row Labels</t>
  </si>
  <si>
    <t>Data Vencimento - Última Pacela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</si>
</sst>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R$&quot;* #,##0.00_-;\-&quot;R$&quot;* #,##0.00_-;_-&quot;R$&quot;* &quot;-&quot;??_-;_-@_-"/>
    <numFmt numFmtId="164" formatCode="0.00000000%"/>
    <numFmt numFmtId="165" formatCode="0.0000%"/>
    <numFmt numFmtId="166" formatCode="0.000"/>
    <numFmt numFmtId="167" formatCode="0.000000"/>
    <numFmt numFmtId="168" formatCode="_-&quot;R$&quot;* #,##0.00000_-;\-&quot;R$&quot;* #,##0.00000_-;_-&quot;R$&quot;* &quot;-&quot;??_-;_-@_-"/>
    <numFmt numFmtId="169" formatCode="0.0000"/>
    <numFmt numFmtId="170" formatCode="_-&quot;R$&quot;* #,##0.0000_-;\-&quot;R$&quot;* #,##0.0000_-;_-&quot;R$&quot;* &quot;-&quot;????_-;_-@_-"/>
    <numFmt numFmtId="171" formatCode="0.00000%"/>
    <numFmt numFmtId="172" formatCode="_-&quot;R$&quot;* #,##0.00_-;\-&quot;R$&quot;* #,##0.00_-;_-&quot;R$&quot;* &quot;-&quot;????_-;_-@_-"/>
    <numFmt numFmtId="173" formatCode="0.0"/>
    <numFmt numFmtId="17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44" fontId="0" fillId="0" borderId="0" xfId="1" applyFont="1"/>
    <xf numFmtId="0" fontId="0" fillId="0" borderId="0" xfId="0" applyFill="1"/>
    <xf numFmtId="14" fontId="0" fillId="0" borderId="0" xfId="0" applyNumberFormat="1" applyFill="1"/>
    <xf numFmtId="0" fontId="0" fillId="2" borderId="1" xfId="0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44" fontId="0" fillId="0" borderId="0" xfId="1" applyFont="1" applyFill="1" applyAlignment="1">
      <alignment horizontal="center" vertical="center" wrapText="1"/>
    </xf>
    <xf numFmtId="166" fontId="0" fillId="0" borderId="0" xfId="0" applyNumberFormat="1" applyFill="1"/>
    <xf numFmtId="44" fontId="0" fillId="0" borderId="0" xfId="1" applyNumberFormat="1" applyFont="1" applyFill="1"/>
    <xf numFmtId="44" fontId="0" fillId="0" borderId="0" xfId="0" applyNumberFormat="1" applyFill="1"/>
    <xf numFmtId="1" fontId="0" fillId="0" borderId="0" xfId="0" applyNumberFormat="1" applyFill="1"/>
    <xf numFmtId="44" fontId="0" fillId="0" borderId="0" xfId="1" applyFont="1" applyFill="1"/>
    <xf numFmtId="164" fontId="0" fillId="0" borderId="0" xfId="2" applyNumberFormat="1" applyFont="1" applyFill="1"/>
    <xf numFmtId="165" fontId="0" fillId="0" borderId="0" xfId="1" applyNumberFormat="1" applyFont="1" applyFill="1"/>
    <xf numFmtId="44" fontId="0" fillId="0" borderId="0" xfId="1" applyFont="1" applyFill="1" applyAlignment="1">
      <alignment horizontal="center"/>
    </xf>
    <xf numFmtId="165" fontId="0" fillId="0" borderId="0" xfId="2" applyNumberFormat="1" applyFont="1" applyFill="1"/>
    <xf numFmtId="14" fontId="0" fillId="3" borderId="0" xfId="0" applyNumberFormat="1" applyFill="1" applyAlignment="1">
      <alignment horizontal="center" vertical="center" wrapText="1"/>
    </xf>
    <xf numFmtId="14" fontId="0" fillId="0" borderId="0" xfId="1" applyNumberFormat="1" applyFont="1" applyFill="1"/>
    <xf numFmtId="2" fontId="0" fillId="0" borderId="0" xfId="1" applyNumberFormat="1" applyFont="1" applyFill="1"/>
    <xf numFmtId="167" fontId="0" fillId="0" borderId="0" xfId="1" applyNumberFormat="1" applyFont="1" applyFill="1"/>
    <xf numFmtId="0" fontId="0" fillId="0" borderId="0" xfId="0" applyBorder="1"/>
    <xf numFmtId="44" fontId="0" fillId="0" borderId="0" xfId="0" applyNumberFormat="1"/>
    <xf numFmtId="2" fontId="0" fillId="2" borderId="0" xfId="0" applyNumberFormat="1" applyFill="1"/>
    <xf numFmtId="2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/>
    <xf numFmtId="0" fontId="0" fillId="0" borderId="0" xfId="0" applyFill="1" applyAlignment="1">
      <alignment horizontal="center" vertical="center"/>
    </xf>
    <xf numFmtId="168" fontId="0" fillId="0" borderId="0" xfId="0" applyNumberFormat="1" applyFill="1"/>
    <xf numFmtId="0" fontId="0" fillId="0" borderId="0" xfId="0" applyFill="1" applyBorder="1"/>
    <xf numFmtId="44" fontId="0" fillId="0" borderId="0" xfId="1" applyFont="1" applyFill="1" applyBorder="1"/>
    <xf numFmtId="165" fontId="0" fillId="0" borderId="0" xfId="2" applyNumberFormat="1" applyFon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/>
    <xf numFmtId="169" fontId="0" fillId="0" borderId="0" xfId="2" applyNumberFormat="1" applyFont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71" fontId="0" fillId="0" borderId="0" xfId="2" applyNumberFormat="1" applyFont="1" applyFill="1"/>
    <xf numFmtId="172" fontId="0" fillId="0" borderId="0" xfId="0" applyNumberFormat="1"/>
    <xf numFmtId="14" fontId="0" fillId="0" borderId="0" xfId="0" applyNumberFormat="1" applyFill="1" applyBorder="1"/>
    <xf numFmtId="14" fontId="0" fillId="0" borderId="3" xfId="0" applyNumberFormat="1" applyFont="1" applyFill="1" applyBorder="1"/>
    <xf numFmtId="0" fontId="0" fillId="4" borderId="0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1" applyNumberFormat="1" applyFont="1" applyFill="1"/>
    <xf numFmtId="14" fontId="0" fillId="0" borderId="0" xfId="0" applyNumberFormat="1"/>
    <xf numFmtId="14" fontId="0" fillId="6" borderId="0" xfId="0" applyNumberFormat="1" applyFill="1" applyBorder="1"/>
    <xf numFmtId="0" fontId="0" fillId="0" borderId="0" xfId="1" applyNumberFormat="1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0" xfId="1" applyNumberFormat="1" applyFont="1" applyFill="1" applyAlignment="1">
      <alignment horizontal="center" vertical="center"/>
    </xf>
    <xf numFmtId="10" fontId="0" fillId="0" borderId="0" xfId="2" applyNumberFormat="1" applyFont="1" applyFill="1"/>
    <xf numFmtId="10" fontId="0" fillId="2" borderId="0" xfId="2" applyNumberFormat="1" applyFont="1" applyFill="1"/>
    <xf numFmtId="10" fontId="0" fillId="0" borderId="0" xfId="2" applyNumberFormat="1" applyFont="1" applyFill="1" applyAlignment="1">
      <alignment horizontal="center" vertical="center" wrapText="1"/>
    </xf>
    <xf numFmtId="44" fontId="0" fillId="5" borderId="0" xfId="0" applyNumberFormat="1" applyFill="1"/>
    <xf numFmtId="172" fontId="0" fillId="5" borderId="0" xfId="0" applyNumberFormat="1" applyFill="1" applyAlignment="1">
      <alignment horizontal="center" vertical="center" wrapText="1"/>
    </xf>
    <xf numFmtId="172" fontId="0" fillId="5" borderId="0" xfId="0" applyNumberFormat="1" applyFill="1"/>
    <xf numFmtId="172" fontId="0" fillId="0" borderId="0" xfId="0" applyNumberFormat="1" applyFill="1"/>
    <xf numFmtId="0" fontId="0" fillId="7" borderId="0" xfId="0" applyFill="1" applyAlignment="1">
      <alignment horizontal="center" vertical="center" wrapText="1"/>
    </xf>
    <xf numFmtId="44" fontId="0" fillId="0" borderId="0" xfId="1" applyNumberFormat="1" applyFont="1" applyFill="1" applyBorder="1"/>
    <xf numFmtId="44" fontId="0" fillId="0" borderId="0" xfId="0" applyNumberFormat="1" applyFont="1" applyFill="1"/>
    <xf numFmtId="173" fontId="0" fillId="0" borderId="0" xfId="0" applyNumberFormat="1" applyFont="1" applyFill="1"/>
    <xf numFmtId="164" fontId="0" fillId="0" borderId="0" xfId="0" applyNumberFormat="1" applyFont="1" applyFill="1"/>
    <xf numFmtId="14" fontId="0" fillId="0" borderId="0" xfId="0" applyNumberFormat="1" applyFont="1" applyFill="1"/>
    <xf numFmtId="2" fontId="0" fillId="0" borderId="0" xfId="0" applyNumberFormat="1" applyFont="1" applyFill="1"/>
    <xf numFmtId="0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10" fontId="0" fillId="0" borderId="0" xfId="0" applyNumberFormat="1" applyFont="1" applyFill="1"/>
    <xf numFmtId="0" fontId="4" fillId="0" borderId="0" xfId="0" applyFont="1" applyFill="1"/>
    <xf numFmtId="44" fontId="0" fillId="5" borderId="0" xfId="1" applyFont="1" applyFill="1" applyAlignment="1">
      <alignment horizontal="center" vertical="center" wrapText="1"/>
    </xf>
    <xf numFmtId="44" fontId="0" fillId="5" borderId="0" xfId="1" applyFont="1" applyFill="1"/>
    <xf numFmtId="44" fontId="0" fillId="8" borderId="3" xfId="0" applyNumberFormat="1" applyFont="1" applyFill="1" applyBorder="1"/>
    <xf numFmtId="44" fontId="0" fillId="9" borderId="3" xfId="0" applyNumberFormat="1" applyFont="1" applyFill="1" applyBorder="1"/>
    <xf numFmtId="44" fontId="0" fillId="10" borderId="0" xfId="0" applyNumberFormat="1" applyFill="1"/>
    <xf numFmtId="0" fontId="0" fillId="10" borderId="0" xfId="0" applyFill="1" applyAlignment="1">
      <alignment horizontal="center" vertical="center" wrapText="1"/>
    </xf>
    <xf numFmtId="0" fontId="0" fillId="10" borderId="0" xfId="0" applyFill="1"/>
    <xf numFmtId="0" fontId="4" fillId="0" borderId="0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20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numFmt numFmtId="34" formatCode="_-&quot;R$&quot;* #,##0.00_-;\-&quot;R$&quot;* #,##0.00_-;_-&quot;R$&quot;* &quot;-&quot;??_-;_-@_-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6" formatCode="0.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numFmt numFmtId="14" formatCode="0.0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34" formatCode="_-&quot;R$&quot;* #,##0.00_-;\-&quot;R$&quot;* #,##0.00_-;_-&quot;R$&quot;* &quot;-&quot;??_-;_-@_-"/>
      <fill>
        <patternFill patternType="none">
          <fgColor indexed="64"/>
          <bgColor auto="1"/>
        </patternFill>
      </fill>
    </dxf>
    <dxf>
      <numFmt numFmtId="34" formatCode="_-&quot;R$&quot;* #,##0.00_-;\-&quot;R$&quot;* #,##0.00_-;_-&quot;R$&quot;* &quot;-&quot;??_-;_-@_-"/>
      <fill>
        <patternFill patternType="none">
          <fgColor indexed="64"/>
          <bgColor auto="1"/>
        </patternFill>
      </fill>
    </dxf>
    <dxf>
      <numFmt numFmtId="34" formatCode="_-&quot;R$&quot;* #,##0.00_-;\-&quot;R$&quot;* #,##0.00_-;_-&quot;R$&quot;* &quot;-&quot;??_-;_-@_-"/>
      <fill>
        <patternFill patternType="none">
          <fgColor indexed="64"/>
          <bgColor auto="1"/>
        </patternFill>
      </fill>
    </dxf>
    <dxf>
      <numFmt numFmtId="34" formatCode="_-&quot;R$&quot;* #,##0.00_-;\-&quot;R$&quot;* #,##0.00_-;_-&quot;R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* #,##0.00_-;\-&quot;R$&quot;* #,##0.00_-;_-&quot;R$&quot;* &quot;-&quot;??_-;_-@_-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6" formatCode="0.0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050.739112499999" createdVersion="6" refreshedVersion="6" minRefreshableVersion="3" recordCount="255" xr:uid="{F4789187-90D3-4617-888A-63E8F9B2E070}">
  <cacheSource type="worksheet">
    <worksheetSource ref="A1:U245" sheet="Lançamentos- Credito Débito"/>
  </cacheSource>
  <cacheFields count="23">
    <cacheField name="Data Lançamento" numFmtId="14">
      <sharedItems containsSemiMixedTypes="0" containsNonDate="0" containsDate="1" containsString="0" minDate="2020-04-15T00:00:00" maxDate="2021-06-21T00:00:00" count="61">
        <d v="2020-04-22T00:00:00"/>
        <d v="2020-04-30T00:00:00"/>
        <d v="2020-05-30T00:00:00"/>
        <d v="2020-05-31T00:00:00"/>
        <d v="2020-06-30T00:00:00"/>
        <d v="2020-07-30T00:00:00"/>
        <d v="2020-07-31T00:00:00"/>
        <d v="2020-08-30T00:00:00"/>
        <d v="2020-08-31T00:00:00"/>
        <d v="2020-09-30T00:00:00"/>
        <d v="2020-10-30T00:00:00"/>
        <d v="2020-10-31T00:00:00"/>
        <d v="2020-11-30T00:00:00"/>
        <d v="2020-12-30T00:00:00"/>
        <d v="2020-12-31T00:00:00"/>
        <d v="2021-01-30T00:00:00"/>
        <d v="2021-01-31T00:00:00"/>
        <d v="2021-02-28T00:00:00"/>
        <d v="2021-03-30T00:00:00"/>
        <d v="2020-04-15T00:00:00"/>
        <d v="2020-05-21T00:00:00"/>
        <d v="2021-03-31T00:00:00"/>
        <d v="2021-04-30T00:00:00"/>
        <d v="2021-05-09T00:00:00"/>
        <d v="2021-04-26T00:00:00"/>
        <d v="2020-05-26T00:00:00"/>
        <d v="2020-06-26T00:00:00"/>
        <d v="2020-07-26T00:00:00"/>
        <d v="2020-08-26T00:00:00"/>
        <d v="2020-09-26T00:00:00"/>
        <d v="2020-11-26T00:00:00"/>
        <d v="2020-12-26T00:00:00"/>
        <d v="2021-01-26T00:00:00"/>
        <d v="2021-02-26T00:00:00"/>
        <d v="2021-03-26T00:00:00"/>
        <d v="2020-06-01T00:00:00"/>
        <d v="2021-05-26T00:00:00"/>
        <d v="2020-05-07T00:00:00"/>
        <d v="2020-05-13T00:00:00"/>
        <d v="2020-05-20T00:00:00"/>
        <d v="2020-06-20T00:00:00"/>
        <d v="2020-07-20T00:00:00"/>
        <d v="2020-08-20T00:00:00"/>
        <d v="2020-09-20T00:00:00"/>
        <d v="2020-10-20T00:00:00"/>
        <d v="2020-11-20T00:00:00"/>
        <d v="2020-12-20T00:00:00"/>
        <d v="2021-01-20T00:00:00"/>
        <d v="2021-02-20T00:00:00"/>
        <d v="2021-03-20T00:00:00"/>
        <d v="2021-04-20T00:00:00"/>
        <d v="2020-06-24T00:00:00"/>
        <d v="2021-05-31T00:00:00"/>
        <d v="2021-06-20T00:00:00"/>
        <d v="2020-05-15T00:00:00"/>
        <d v="2021-04-29T00:00:00"/>
        <d v="2020-06-12T00:00:00"/>
        <d v="2021-05-29T00:00:00"/>
        <d v="2020-07-07T00:00:00"/>
        <d v="2021-05-20T00:00:00"/>
        <d v="2021-05-30T00:00:00"/>
      </sharedItems>
      <fieldGroup par="22" base="0">
        <rangePr groupBy="months" startDate="2020-04-15T00:00:00" endDate="2021-06-21T00:00:00"/>
        <groupItems count="14">
          <s v="&lt;15/04/2020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1/06/2021"/>
        </groupItems>
      </fieldGroup>
    </cacheField>
    <cacheField name="Conta Creditada" numFmtId="0">
      <sharedItems/>
    </cacheField>
    <cacheField name="Conta Debitada" numFmtId="0">
      <sharedItems count="12">
        <s v="B2S8"/>
        <s v="A Lavadeira"/>
        <s v="Investidores"/>
        <s v="Boa Consulta"/>
        <s v="Findup"/>
        <s v="Gold Soluções"/>
        <s v="Home Agent"/>
        <s v="Jetbov"/>
        <s v="Linktel"/>
        <s v="MAIS INTERNET"/>
        <s v="MyClipp"/>
        <s v="Vai Car"/>
      </sharedItems>
    </cacheField>
    <cacheField name="Valor" numFmtId="44">
      <sharedItems containsString="0" containsBlank="1" containsNumber="1" minValue="0" maxValue="1200000"/>
    </cacheField>
    <cacheField name="Contrato" numFmtId="0">
      <sharedItems count="17">
        <s v="1391549"/>
        <s v="B2S8"/>
        <s v="1495473 "/>
        <s v="1442064"/>
        <s v="1442502"/>
        <s v="1536390 "/>
        <s v="1458035"/>
        <s v="1465857"/>
        <s v="1465935"/>
        <s v="1443478"/>
        <s v="1633952 "/>
        <s v="1479584"/>
        <s v="1583328 "/>
        <s v="1655155 "/>
        <s v="1484298"/>
        <s v="1563037"/>
        <s v="1445693 "/>
      </sharedItems>
    </cacheField>
    <cacheField name="PMT Data Localizador" numFmtId="0">
      <sharedItems containsNonDate="0" containsDate="1" containsString="0" containsBlank="1" minDate="2020-04-30T00:00:00" maxDate="2021-06-21T00:00:00"/>
    </cacheField>
    <cacheField name="Tipo" numFmtId="0">
      <sharedItems/>
    </cacheField>
    <cacheField name="Fator Diario" numFmtId="0">
      <sharedItems containsMixedTypes="1" containsNumber="1" minValue="4.9641025393465377E-4" maxValue="8.5595768115309667E-4"/>
    </cacheField>
    <cacheField name="Intervalo entre eventos -Dias" numFmtId="0">
      <sharedItems containsMixedTypes="1" containsNumber="1" containsInteger="1" minValue="1" maxValue="35"/>
    </cacheField>
    <cacheField name="Fator" numFmtId="165">
      <sharedItems containsMixedTypes="1" containsNumber="1" minValue="6.2758865942558195E-4" maxValue="2.922701335176936E-2"/>
    </cacheField>
    <cacheField name="Proporção PMT/Principal" numFmtId="169">
      <sharedItems containsMixedTypes="1" containsNumber="1" minValue="9.9999999999999991E-22" maxValue="1"/>
    </cacheField>
    <cacheField name="Principal (Valor (D))" numFmtId="44">
      <sharedItems containsMixedTypes="1" containsNumber="1" minValue="0" maxValue="50737.06"/>
    </cacheField>
    <cacheField name="Juros (Valor (D))" numFmtId="44">
      <sharedItems containsMixedTypes="1" containsNumber="1" minValue="0" maxValue="17711.490000000002"/>
    </cacheField>
    <cacheField name="SD BOP" numFmtId="44">
      <sharedItems containsMixedTypes="1" containsNumber="1" minValue="10201.196357089691" maxValue="187596.9"/>
    </cacheField>
    <cacheField name="SD EOP (M-L)" numFmtId="44">
      <sharedItems containsMixedTypes="1" containsNumber="1" minValue="-737.15114724947489" maxValue="187596.9"/>
    </cacheField>
    <cacheField name="SD BOP X Fator (J * N)" numFmtId="172">
      <sharedItems containsMixedTypes="1" containsNumber="1" minValue="12.692929727852258" maxValue="2583.9792499996925"/>
    </cacheField>
    <cacheField name="Saldo Devedor Atualizado" numFmtId="170">
      <sharedItems containsMixedTypes="1" containsNumber="1" minValue="10395.019087874431" maxValue="188551.87978247655"/>
    </cacheField>
    <cacheField name="Principal Esperado" numFmtId="44">
      <sharedItems containsMixedTypes="1" containsNumber="1" minValue="0" maxValue="50737.06"/>
    </cacheField>
    <cacheField name="Amortizado Acumulado (L Acumulado)" numFmtId="44">
      <sharedItems containsMixedTypes="1" containsNumber="1" minValue="0" maxValue="50737.06"/>
    </cacheField>
    <cacheField name="Sobre de Principal Amortizado_x000a_(Q-L)" numFmtId="44">
      <sharedItems containsMixedTypes="1" containsNumber="1" minValue="-8.0082581553142518E-4" maxValue="50737.06"/>
    </cacheField>
    <cacheField name="Em aberto PMT" numFmtId="44">
      <sharedItems containsMixedTypes="1" containsNumber="1" minValue="-1.0779085158697064E-3" maxValue="68108.89"/>
    </cacheField>
    <cacheField name="Quarters" numFmtId="0" databaseField="0">
      <fieldGroup base="0">
        <rangePr groupBy="quarters" startDate="2020-04-15T00:00:00" endDate="2021-06-21T00:00:00"/>
        <groupItems count="6">
          <s v="&lt;15/04/2020"/>
          <s v="Qtr1"/>
          <s v="Qtr2"/>
          <s v="Qtr3"/>
          <s v="Qtr4"/>
          <s v="&gt;21/06/2021"/>
        </groupItems>
      </fieldGroup>
    </cacheField>
    <cacheField name="Years" numFmtId="0" databaseField="0">
      <fieldGroup base="0">
        <rangePr groupBy="years" startDate="2020-04-15T00:00:00" endDate="2021-06-21T00:00:00"/>
        <groupItems count="4">
          <s v="&lt;15/04/2020"/>
          <s v="2020"/>
          <s v="2021"/>
          <s v="&gt;21/06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  <s v="A Lavadeira"/>
    <x v="0"/>
    <n v="111972.43"/>
    <x v="0"/>
    <m/>
    <s v="disbursement"/>
    <s v=""/>
    <s v=""/>
    <s v=""/>
    <e v="#N/A"/>
    <s v=""/>
    <s v=""/>
    <s v=""/>
    <n v="111972.43"/>
    <s v=""/>
    <s v=""/>
    <s v=""/>
    <s v=""/>
    <s v=""/>
    <s v=""/>
  </r>
  <r>
    <x v="1"/>
    <s v="B2S8"/>
    <x v="1"/>
    <n v="10395.07"/>
    <x v="0"/>
    <d v="2020-04-30T00:00:00"/>
    <s v="Amortization"/>
    <n v="6.2758865942558195E-4"/>
    <n v="8"/>
    <n v="5.0317514194420099E-3"/>
    <n v="0.94579930678677493"/>
    <n v="9831.65"/>
    <n v="563.4199999999995"/>
    <n v="111972.43"/>
    <n v="102140.77743359088"/>
    <n v="563.41743359087104"/>
    <n v="112535.84743359087"/>
    <n v="9831.65"/>
    <n v="9831.65"/>
    <n v="0"/>
    <n v="0"/>
  </r>
  <r>
    <x v="2"/>
    <s v="B2S8"/>
    <x v="1"/>
    <n v="10395.07"/>
    <x v="0"/>
    <d v="2020-05-30T00:00:00"/>
    <s v="Amortization"/>
    <n v="6.2758865942558195E-4"/>
    <n v="30"/>
    <n v="1.9000000000003459E-2"/>
    <n v="0.81330765449390907"/>
    <n v="8454.39"/>
    <n v="1940.6800000000005"/>
    <n v="102140.77743359088"/>
    <n v="93686.382204829453"/>
    <n v="1940.67477123858"/>
    <n v="104081.45220482946"/>
    <n v="8454.39"/>
    <n v="8454.39"/>
    <n v="0"/>
    <n v="0"/>
  </r>
  <r>
    <x v="3"/>
    <s v="B2S8"/>
    <x v="1"/>
    <n v="0"/>
    <x v="0"/>
    <d v="2020-05-30T00:00:00"/>
    <s v="Fim de Mês"/>
    <n v="6.2758865942558195E-4"/>
    <n v="1"/>
    <n v="6.2758865942558195E-4"/>
    <n v="0.81330765449390907"/>
    <n v="0"/>
    <n v="0"/>
    <n v="93686.382204829453"/>
    <n v="93745.178715843809"/>
    <n v="58.796511014361613"/>
    <n v="93745.178715843809"/>
    <n v="8454.39"/>
    <n v="8454.39"/>
    <n v="0"/>
    <n v="0"/>
  </r>
  <r>
    <x v="4"/>
    <s v="B2S8"/>
    <x v="1"/>
    <n v="10395.07"/>
    <x v="0"/>
    <d v="2020-06-30T00:00:00"/>
    <s v="Amortization"/>
    <n v="6.2758865942558195E-4"/>
    <n v="30"/>
    <n v="1.9000000000003459E-2"/>
    <n v="0.82299686293598795"/>
    <n v="8555.11"/>
    <n v="1839.9599999999996"/>
    <n v="93745.178715843809"/>
    <n v="85131.267111445166"/>
    <n v="1781.1583956013567"/>
    <n v="95526.337111445173"/>
    <n v="8555.11"/>
    <n v="8555.11"/>
    <n v="0"/>
    <n v="0"/>
  </r>
  <r>
    <x v="5"/>
    <s v="B2S8"/>
    <x v="1"/>
    <n v="10395.07"/>
    <x v="0"/>
    <d v="2020-07-30T00:00:00"/>
    <s v="Amortization"/>
    <n v="6.2758865942558195E-4"/>
    <n v="30"/>
    <n v="1.9000000000003459E-2"/>
    <n v="0.84439739222535293"/>
    <n v="8777.57"/>
    <n v="1617.5000000000005"/>
    <n v="85131.267111445166"/>
    <n v="76353.691186562908"/>
    <n v="1617.4940751177526"/>
    <n v="86748.761186562915"/>
    <n v="8777.57"/>
    <n v="8777.57"/>
    <n v="0"/>
    <n v="0"/>
  </r>
  <r>
    <x v="6"/>
    <s v="B2S8"/>
    <x v="1"/>
    <n v="0"/>
    <x v="0"/>
    <d v="2020-07-30T00:00:00"/>
    <s v="Fim de Mês"/>
    <n v="6.2758865942558195E-4"/>
    <n v="1"/>
    <n v="6.2758865942558195E-4"/>
    <n v="0.84439739222535293"/>
    <n v="0"/>
    <n v="0"/>
    <n v="76353.691186562908"/>
    <n v="76401.609897256873"/>
    <n v="47.918710693969885"/>
    <n v="76401.609897256873"/>
    <n v="8777.57"/>
    <n v="8777.57"/>
    <n v="0"/>
    <n v="0"/>
  </r>
  <r>
    <x v="7"/>
    <s v="B2S8"/>
    <x v="1"/>
    <n v="10395.07"/>
    <x v="0"/>
    <d v="2020-08-30T00:00:00"/>
    <s v="Amortization"/>
    <n v="6.2758865942558195E-4"/>
    <n v="30"/>
    <n v="1.9000000000003459E-2"/>
    <n v="0.85574411716323229"/>
    <n v="8895.52"/>
    <n v="1499.5499999999988"/>
    <n v="76401.609897256873"/>
    <n v="67458.170485305018"/>
    <n v="1451.6305880481448"/>
    <n v="77853.24048530501"/>
    <n v="8895.52"/>
    <n v="8895.52"/>
    <n v="0"/>
    <n v="0"/>
  </r>
  <r>
    <x v="8"/>
    <s v="B2S8"/>
    <x v="1"/>
    <n v="0"/>
    <x v="0"/>
    <d v="2020-08-30T00:00:00"/>
    <s v="Fim de Mês"/>
    <n v="6.2758865942558195E-4"/>
    <n v="1"/>
    <n v="6.2758865942558195E-4"/>
    <n v="0.85574411716323229"/>
    <n v="0"/>
    <n v="0"/>
    <n v="67458.170485305018"/>
    <n v="67500.506468087187"/>
    <n v="42.335982782174938"/>
    <n v="67500.506468087187"/>
    <n v="8895.52"/>
    <n v="8895.52"/>
    <n v="0"/>
    <n v="0"/>
  </r>
  <r>
    <x v="9"/>
    <s v="B2S8"/>
    <x v="1"/>
    <n v="10395.07"/>
    <x v="0"/>
    <d v="2020-09-30T00:00:00"/>
    <s v="Amortization"/>
    <n v="6.2758865942558195E-4"/>
    <n v="30"/>
    <n v="1.9000000000003459E-2"/>
    <n v="0.87255016079737791"/>
    <n v="9070.2199999999993"/>
    <n v="1324.8500000000008"/>
    <n v="67500.506468087187"/>
    <n v="58387.94609098108"/>
    <n v="1282.5096228938901"/>
    <n v="68783.01609098108"/>
    <n v="9070.2199999999993"/>
    <n v="9070.2199999999993"/>
    <n v="0"/>
    <n v="0"/>
  </r>
  <r>
    <x v="10"/>
    <s v="B2S8"/>
    <x v="1"/>
    <n v="10395.07"/>
    <x v="0"/>
    <d v="2020-10-30T00:00:00"/>
    <s v="Amortization"/>
    <n v="6.2758865942558195E-4"/>
    <n v="30"/>
    <n v="1.9000000000003459E-2"/>
    <n v="0.89327921793696441"/>
    <n v="9285.7000000000007"/>
    <n v="1109.3699999999994"/>
    <n v="58387.94609098108"/>
    <n v="49102.247066709926"/>
    <n v="1109.3709757288425"/>
    <n v="59497.317066709926"/>
    <n v="9285.7000000000007"/>
    <n v="9285.7000000000007"/>
    <n v="0"/>
    <n v="0"/>
  </r>
  <r>
    <x v="11"/>
    <s v="B2S8"/>
    <x v="1"/>
    <n v="0"/>
    <x v="0"/>
    <d v="2020-10-30T00:00:00"/>
    <s v="Fim de Mês"/>
    <n v="6.2758865942558195E-4"/>
    <n v="1"/>
    <n v="6.2758865942558195E-4"/>
    <n v="0.89327921793696441"/>
    <n v="0"/>
    <n v="0"/>
    <n v="49102.247066709926"/>
    <n v="49133.063080121305"/>
    <n v="30.816013411380197"/>
    <n v="49133.063080121305"/>
    <n v="9285.7000000000007"/>
    <n v="9285.7000000000007"/>
    <n v="0"/>
    <n v="0"/>
  </r>
  <r>
    <x v="12"/>
    <s v="B2S8"/>
    <x v="1"/>
    <n v="10395.07"/>
    <x v="0"/>
    <d v="2020-11-30T00:00:00"/>
    <s v="Amortization"/>
    <n v="6.2758865942558195E-4"/>
    <n v="30"/>
    <n v="1.9000000000003459E-2"/>
    <n v="0.90723006194282474"/>
    <n v="9430.7199999999993"/>
    <n v="964.35000000000082"/>
    <n v="49133.063080121305"/>
    <n v="39671.521278643777"/>
    <n v="933.52819852247467"/>
    <n v="50066.591278643777"/>
    <n v="9430.7199999999993"/>
    <n v="9430.7199999999993"/>
    <n v="0"/>
    <n v="0"/>
  </r>
  <r>
    <x v="13"/>
    <s v="B2S8"/>
    <x v="1"/>
    <n v="10395.07"/>
    <x v="0"/>
    <d v="2020-12-30T00:00:00"/>
    <s v="Amortization"/>
    <n v="6.2758865942558195E-4"/>
    <n v="30"/>
    <n v="1.9000000000003459E-2"/>
    <n v="0.92748870377977255"/>
    <n v="9641.31"/>
    <n v="753.75999999999976"/>
    <n v="39671.521278643777"/>
    <n v="30030.210182938143"/>
    <n v="753.75890429436902"/>
    <n v="40425.280182938142"/>
    <n v="9641.31"/>
    <n v="9641.31"/>
    <n v="0"/>
    <n v="0"/>
  </r>
  <r>
    <x v="14"/>
    <s v="B2S8"/>
    <x v="1"/>
    <n v="0"/>
    <x v="0"/>
    <d v="2020-12-30T00:00:00"/>
    <s v="Fim de Mês"/>
    <n v="6.2758865942558195E-4"/>
    <n v="1"/>
    <n v="6.2758865942558195E-4"/>
    <n v="0.92748870377977255"/>
    <n v="0"/>
    <n v="0"/>
    <n v="30030.210182938143"/>
    <n v="30049.05680228912"/>
    <n v="18.84661935097861"/>
    <n v="30049.05680228912"/>
    <n v="9641.31"/>
    <n v="9641.31"/>
    <n v="0"/>
    <n v="0"/>
  </r>
  <r>
    <x v="15"/>
    <s v="B2S8"/>
    <x v="1"/>
    <n v="10395.07"/>
    <x v="0"/>
    <d v="2021-01-30T00:00:00"/>
    <s v="Amortization"/>
    <n v="6.2758865942558195E-4"/>
    <n v="30"/>
    <n v="1.9000000000003459E-2"/>
    <n v="0.94326348932715232"/>
    <n v="9805.2900000000009"/>
    <n v="589.77999999999872"/>
    <n v="30049.05680228912"/>
    <n v="20224.918881532718"/>
    <n v="570.93207924359717"/>
    <n v="30619.988881532718"/>
    <n v="9805.2900000000009"/>
    <n v="9805.2900000000009"/>
    <n v="0"/>
    <n v="0"/>
  </r>
  <r>
    <x v="16"/>
    <s v="B2S8"/>
    <x v="1"/>
    <n v="0"/>
    <x v="0"/>
    <d v="2021-01-30T00:00:00"/>
    <s v="Fim de Mês"/>
    <n v="6.2758865942558195E-4"/>
    <n v="1"/>
    <n v="6.2758865942558195E-4"/>
    <n v="0.94326348932715232"/>
    <n v="0"/>
    <n v="0"/>
    <n v="20224.918881532718"/>
    <n v="20237.611811260569"/>
    <n v="12.692929727852258"/>
    <n v="20237.611811260569"/>
    <n v="9805.2900000000009"/>
    <n v="9805.2900000000009"/>
    <n v="0"/>
    <n v="0"/>
  </r>
  <r>
    <x v="17"/>
    <s v="B2S8"/>
    <x v="1"/>
    <n v="10395.07"/>
    <x v="0"/>
    <d v="2021-02-28T00:00:00"/>
    <s v="Amortization"/>
    <n v="6.2758865942558195E-4"/>
    <n v="28"/>
    <n v="1.7722177358375779E-2"/>
    <n v="0.96427633483949604"/>
    <n v="10023.719999999999"/>
    <n v="371.34999999999985"/>
    <n v="20237.611811260569"/>
    <n v="10201.196357089691"/>
    <n v="358.65454582912031"/>
    <n v="20596.266357089691"/>
    <n v="10023.719999999999"/>
    <n v="10023.719999999999"/>
    <n v="0"/>
    <n v="0"/>
  </r>
  <r>
    <x v="18"/>
    <s v="B2S8"/>
    <x v="1"/>
    <n v="10395.07"/>
    <x v="0"/>
    <d v="2021-03-30T00:00:00"/>
    <s v="Amortization"/>
    <n v="6.2758865942558195E-4"/>
    <n v="30"/>
    <n v="1.9000000000003459E-2"/>
    <n v="0.98135366091810827"/>
    <n v="10201.24"/>
    <n v="193.83000000000024"/>
    <n v="10201.196357089691"/>
    <n v="-5.091212556908431E-2"/>
    <n v="193.82273078473941"/>
    <n v="10395.019087874431"/>
    <n v="10201.24"/>
    <n v="10201.24"/>
    <n v="0"/>
    <n v="0"/>
  </r>
  <r>
    <x v="19"/>
    <s v="B2S8"/>
    <x v="2"/>
    <n v="1200000"/>
    <x v="1"/>
    <m/>
    <s v="Cotas por Investidores "/>
    <s v=""/>
    <s v=""/>
    <s v=""/>
    <e v="#N/A"/>
    <s v=""/>
    <s v=""/>
    <s v=""/>
    <e v="#N/A"/>
    <s v=""/>
    <s v=""/>
    <s v=""/>
    <s v=""/>
    <s v=""/>
    <s v=""/>
  </r>
  <r>
    <x v="20"/>
    <s v="Boa Consulta"/>
    <x v="0"/>
    <n v="19923.78"/>
    <x v="2"/>
    <m/>
    <s v="disbursement"/>
    <s v=""/>
    <s v=""/>
    <s v=""/>
    <e v="#N/A"/>
    <s v=""/>
    <s v=""/>
    <s v=""/>
    <n v="19923.78"/>
    <s v=""/>
    <s v=""/>
    <s v=""/>
    <s v=""/>
    <s v=""/>
    <s v=""/>
  </r>
  <r>
    <x v="3"/>
    <s v="B2S8"/>
    <x v="3"/>
    <n v="0"/>
    <x v="2"/>
    <d v="2021-05-09T00:00:00"/>
    <s v="Fim de Mês"/>
    <n v="8.2342591547712729E-4"/>
    <n v="10"/>
    <n v="8.2648376090512787E-3"/>
    <n v="0.74785230316954887"/>
    <n v="0"/>
    <n v="0"/>
    <n v="19923.78"/>
    <n v="20088.446806258464"/>
    <n v="164.66680625846368"/>
    <n v="20088.446806258464"/>
    <n v="19923.78"/>
    <n v="0"/>
    <n v="19923.78"/>
    <n v="26641.33"/>
  </r>
  <r>
    <x v="4"/>
    <s v="B2S8"/>
    <x v="3"/>
    <n v="0"/>
    <x v="2"/>
    <d v="2021-05-09T00:00:00"/>
    <s v="Fim de Mês"/>
    <n v="8.2342591547712729E-4"/>
    <n v="30"/>
    <n v="2.4999999999997025E-2"/>
    <n v="0.74785230316954887"/>
    <n v="0"/>
    <n v="0"/>
    <n v="20088.446806258464"/>
    <n v="20590.657976414866"/>
    <n v="502.21117015640181"/>
    <n v="20590.657976414866"/>
    <n v="19923.78"/>
    <n v="0"/>
    <n v="19923.78"/>
    <n v="26641.33"/>
  </r>
  <r>
    <x v="6"/>
    <s v="B2S8"/>
    <x v="3"/>
    <n v="0"/>
    <x v="2"/>
    <d v="2021-05-09T00:00:00"/>
    <s v="Fim de Mês"/>
    <n v="8.2342591547712729E-4"/>
    <n v="31"/>
    <n v="2.5844011563361136E-2"/>
    <n v="0.74785230316954887"/>
    <n v="0"/>
    <n v="0"/>
    <n v="20590.657976414866"/>
    <n v="21122.803179254548"/>
    <n v="532.14520283968"/>
    <n v="21122.803179254548"/>
    <n v="19923.78"/>
    <n v="0"/>
    <n v="19923.78"/>
    <n v="26641.33"/>
  </r>
  <r>
    <x v="8"/>
    <s v="B2S8"/>
    <x v="3"/>
    <n v="0"/>
    <x v="2"/>
    <d v="2021-05-09T00:00:00"/>
    <s v="Fim de Mês"/>
    <n v="8.2342591547712729E-4"/>
    <n v="31"/>
    <n v="2.5844011563361136E-2"/>
    <n v="0.74785230316954887"/>
    <n v="0"/>
    <n v="0"/>
    <n v="21122.803179254548"/>
    <n v="21668.701148869804"/>
    <n v="545.89796961525587"/>
    <n v="21668.701148869804"/>
    <n v="19923.78"/>
    <n v="0"/>
    <n v="19923.78"/>
    <n v="26641.33"/>
  </r>
  <r>
    <x v="9"/>
    <s v="B2S8"/>
    <x v="3"/>
    <n v="0"/>
    <x v="2"/>
    <d v="2021-05-09T00:00:00"/>
    <s v="Fim de Mês"/>
    <n v="8.2342591547712729E-4"/>
    <n v="30"/>
    <n v="2.4999999999997025E-2"/>
    <n v="0.74785230316954887"/>
    <n v="0"/>
    <n v="0"/>
    <n v="21668.701148869804"/>
    <n v="22210.418677591486"/>
    <n v="541.71752872168065"/>
    <n v="22210.418677591486"/>
    <n v="19923.78"/>
    <n v="0"/>
    <n v="19923.78"/>
    <n v="26641.33"/>
  </r>
  <r>
    <x v="11"/>
    <s v="B2S8"/>
    <x v="3"/>
    <n v="0"/>
    <x v="2"/>
    <d v="2021-05-09T00:00:00"/>
    <s v="Fim de Mês"/>
    <n v="8.2342591547712729E-4"/>
    <n v="31"/>
    <n v="2.5844011563361136E-2"/>
    <n v="0.74785230316954887"/>
    <n v="0"/>
    <n v="0"/>
    <n v="22210.418677591486"/>
    <n v="22784.424994722252"/>
    <n v="574.00631713076655"/>
    <n v="22784.424994722252"/>
    <n v="19923.78"/>
    <n v="0"/>
    <n v="19923.78"/>
    <n v="26641.33"/>
  </r>
  <r>
    <x v="12"/>
    <s v="B2S8"/>
    <x v="3"/>
    <n v="0"/>
    <x v="2"/>
    <d v="2021-05-09T00:00:00"/>
    <s v="Fim de Mês"/>
    <n v="8.2342591547712729E-4"/>
    <n v="30"/>
    <n v="2.4999999999997025E-2"/>
    <n v="0.74785230316954887"/>
    <n v="0"/>
    <n v="0"/>
    <n v="22784.424994722252"/>
    <n v="23354.035619590242"/>
    <n v="569.61062486798846"/>
    <n v="23354.035619590242"/>
    <n v="19923.78"/>
    <n v="0"/>
    <n v="19923.78"/>
    <n v="26641.33"/>
  </r>
  <r>
    <x v="14"/>
    <s v="B2S8"/>
    <x v="3"/>
    <n v="0"/>
    <x v="2"/>
    <d v="2021-05-09T00:00:00"/>
    <s v="Fim de Mês"/>
    <n v="8.2342591547712729E-4"/>
    <n v="31"/>
    <n v="2.5844011563361136E-2"/>
    <n v="0.74785230316954887"/>
    <n v="0"/>
    <n v="0"/>
    <n v="23354.035619590242"/>
    <n v="23957.597586194079"/>
    <n v="603.56196660383807"/>
    <n v="23957.597586194079"/>
    <n v="19923.78"/>
    <n v="0"/>
    <n v="19923.78"/>
    <n v="26641.33"/>
  </r>
  <r>
    <x v="16"/>
    <s v="B2S8"/>
    <x v="3"/>
    <n v="0"/>
    <x v="2"/>
    <d v="2021-05-09T00:00:00"/>
    <s v="Fim de Mês"/>
    <n v="8.2342591547712729E-4"/>
    <n v="31"/>
    <n v="2.5844011563361136E-2"/>
    <n v="0.74785230316954887"/>
    <n v="0"/>
    <n v="0"/>
    <n v="23957.597586194079"/>
    <n v="24576.758015242031"/>
    <n v="619.16042904795256"/>
    <n v="24576.758015242031"/>
    <n v="19923.78"/>
    <n v="0"/>
    <n v="19923.78"/>
    <n v="26641.33"/>
  </r>
  <r>
    <x v="17"/>
    <s v="B2S8"/>
    <x v="3"/>
    <n v="0"/>
    <x v="2"/>
    <d v="2021-05-09T00:00:00"/>
    <s v="Fim de Mês"/>
    <n v="8.2342591547712729E-4"/>
    <n v="28"/>
    <n v="2.3314059529544018E-2"/>
    <n v="0.74785230316954887"/>
    <n v="0"/>
    <n v="0"/>
    <n v="24576.758015242031"/>
    <n v="25149.74201465258"/>
    <n v="572.98399941055084"/>
    <n v="25149.74201465258"/>
    <n v="19923.78"/>
    <n v="0"/>
    <n v="19923.78"/>
    <n v="26641.33"/>
  </r>
  <r>
    <x v="21"/>
    <s v="B2S8"/>
    <x v="3"/>
    <n v="0"/>
    <x v="2"/>
    <d v="2021-05-09T00:00:00"/>
    <s v="Fim de Mês"/>
    <n v="8.2342591547712729E-4"/>
    <n v="31"/>
    <n v="2.5844011563361136E-2"/>
    <n v="0.74785230316954887"/>
    <n v="0"/>
    <n v="0"/>
    <n v="25149.74201465258"/>
    <n v="25799.712238094809"/>
    <n v="649.97022344223069"/>
    <n v="25799.712238094809"/>
    <n v="19923.78"/>
    <n v="0"/>
    <n v="19923.78"/>
    <n v="26641.33"/>
  </r>
  <r>
    <x v="22"/>
    <s v="B2S8"/>
    <x v="3"/>
    <n v="0"/>
    <x v="2"/>
    <d v="2021-05-09T00:00:00"/>
    <s v="Fim de Mês"/>
    <n v="8.2342591547712729E-4"/>
    <n v="30"/>
    <n v="2.4999999999997025E-2"/>
    <n v="0.74785230316954887"/>
    <n v="0"/>
    <n v="0"/>
    <n v="25799.712238094809"/>
    <n v="26444.705044047103"/>
    <n v="644.99280595229345"/>
    <n v="26444.705044047103"/>
    <n v="19923.78"/>
    <n v="0"/>
    <n v="19923.78"/>
    <n v="26641.33"/>
  </r>
  <r>
    <x v="23"/>
    <s v="B2S8"/>
    <x v="3"/>
    <n v="26641.33"/>
    <x v="2"/>
    <d v="2021-05-09T00:00:00"/>
    <s v="Amortization"/>
    <n v="8.2342591547712729E-4"/>
    <n v="9"/>
    <n v="7.4352892836888618E-3"/>
    <n v="0.74785230316954887"/>
    <n v="19923.78"/>
    <n v="6717.5500000000029"/>
    <n v="26444.705044047103"/>
    <n v="-9.23928582778899E-4"/>
    <n v="196.62403202431622"/>
    <n v="26641.329076071419"/>
    <n v="19923.78"/>
    <n v="19923.78"/>
    <n v="0"/>
    <n v="0"/>
  </r>
  <r>
    <x v="1"/>
    <s v="Findup"/>
    <x v="0"/>
    <n v="40761.919999999998"/>
    <x v="3"/>
    <m/>
    <s v="disbursement"/>
    <s v=""/>
    <s v=""/>
    <s v=""/>
    <e v="#N/A"/>
    <s v=""/>
    <s v=""/>
    <s v=""/>
    <n v="40761.919999999998"/>
    <s v=""/>
    <s v=""/>
    <s v=""/>
    <s v=""/>
    <s v=""/>
    <s v=""/>
  </r>
  <r>
    <x v="2"/>
    <s v="B2S8"/>
    <x v="4"/>
    <n v="0"/>
    <x v="3"/>
    <d v="2021-04-26T00:00:00"/>
    <s v="Fim de Mês"/>
    <n v="8.2342591547712729E-4"/>
    <n v="30"/>
    <n v="2.4999999999997025E-2"/>
    <n v="0.74294414019475663"/>
    <n v="0"/>
    <n v="0"/>
    <n v="40761.919999999998"/>
    <n v="41780.967999999877"/>
    <n v="1019.0479999998787"/>
    <n v="41780.967999999877"/>
    <n v="40761.919999999998"/>
    <n v="0"/>
    <n v="40761.919999999998"/>
    <n v="54865.39"/>
  </r>
  <r>
    <x v="4"/>
    <s v="B2S8"/>
    <x v="4"/>
    <n v="0"/>
    <x v="3"/>
    <d v="2021-04-26T00:00:00"/>
    <s v="Fim de Mês"/>
    <n v="8.2342591547712729E-4"/>
    <n v="31"/>
    <n v="2.5844011563361136E-2"/>
    <n v="0.74294414019475663"/>
    <n v="0"/>
    <n v="0"/>
    <n v="41780.967999999877"/>
    <n v="42860.755820120292"/>
    <n v="1079.7878201204185"/>
    <n v="42860.755820120292"/>
    <n v="40761.919999999998"/>
    <n v="0"/>
    <n v="40761.919999999998"/>
    <n v="54865.39"/>
  </r>
  <r>
    <x v="6"/>
    <s v="B2S8"/>
    <x v="4"/>
    <n v="0"/>
    <x v="3"/>
    <d v="2021-04-26T00:00:00"/>
    <s v="Fim de Mês"/>
    <n v="8.2342591547712729E-4"/>
    <n v="31"/>
    <n v="2.5844011563361136E-2"/>
    <n v="0.74294414019475663"/>
    <n v="0"/>
    <n v="0"/>
    <n v="42860.755820120292"/>
    <n v="43968.449689149878"/>
    <n v="1107.6938690295869"/>
    <n v="43968.449689149878"/>
    <n v="40761.919999999998"/>
    <n v="0"/>
    <n v="40761.919999999998"/>
    <n v="54865.39"/>
  </r>
  <r>
    <x v="8"/>
    <s v="B2S8"/>
    <x v="4"/>
    <n v="0"/>
    <x v="3"/>
    <d v="2021-04-26T00:00:00"/>
    <s v="Fim de Mês"/>
    <n v="8.2342591547712729E-4"/>
    <n v="31"/>
    <n v="2.5844011563361136E-2"/>
    <n v="0.74294414019475663"/>
    <n v="0"/>
    <n v="0"/>
    <n v="43968.449689149878"/>
    <n v="45104.770811339331"/>
    <n v="1136.3211221894517"/>
    <n v="45104.770811339331"/>
    <n v="40761.919999999998"/>
    <n v="0"/>
    <n v="40761.919999999998"/>
    <n v="54865.39"/>
  </r>
  <r>
    <x v="9"/>
    <s v="B2S8"/>
    <x v="4"/>
    <n v="0"/>
    <x v="3"/>
    <d v="2021-04-26T00:00:00"/>
    <s v="Fim de Mês"/>
    <n v="8.2342591547712729E-4"/>
    <n v="30"/>
    <n v="2.4999999999997025E-2"/>
    <n v="0.74294414019475663"/>
    <n v="0"/>
    <n v="0"/>
    <n v="45104.770811339331"/>
    <n v="46232.390081622681"/>
    <n v="1127.6192702833491"/>
    <n v="46232.390081622681"/>
    <n v="40761.919999999998"/>
    <n v="0"/>
    <n v="40761.919999999998"/>
    <n v="54865.39"/>
  </r>
  <r>
    <x v="11"/>
    <s v="B2S8"/>
    <x v="4"/>
    <n v="0"/>
    <x v="3"/>
    <d v="2021-04-26T00:00:00"/>
    <s v="Fim de Mês"/>
    <n v="8.2342591547712729E-4"/>
    <n v="31"/>
    <n v="2.5844011563361136E-2"/>
    <n v="0.74294414019475663"/>
    <n v="0"/>
    <n v="0"/>
    <n v="46232.390081622681"/>
    <n v="47427.220505493962"/>
    <n v="1194.8304238712792"/>
    <n v="47427.220505493962"/>
    <n v="40761.919999999998"/>
    <n v="0"/>
    <n v="40761.919999999998"/>
    <n v="54865.39"/>
  </r>
  <r>
    <x v="12"/>
    <s v="B2S8"/>
    <x v="4"/>
    <n v="0"/>
    <x v="3"/>
    <d v="2021-04-26T00:00:00"/>
    <s v="Fim de Mês"/>
    <n v="8.2342591547712729E-4"/>
    <n v="30"/>
    <n v="2.4999999999997025E-2"/>
    <n v="0.74294414019475663"/>
    <n v="0"/>
    <n v="0"/>
    <n v="47427.220505493962"/>
    <n v="48612.901018131168"/>
    <n v="1185.680512637208"/>
    <n v="48612.901018131168"/>
    <n v="40761.919999999998"/>
    <n v="0"/>
    <n v="40761.919999999998"/>
    <n v="54865.39"/>
  </r>
  <r>
    <x v="14"/>
    <s v="B2S8"/>
    <x v="4"/>
    <n v="0"/>
    <x v="3"/>
    <d v="2021-04-26T00:00:00"/>
    <s v="Fim de Mês"/>
    <n v="8.2342591547712729E-4"/>
    <n v="31"/>
    <n v="2.5844011563361136E-2"/>
    <n v="0.74294414019475663"/>
    <n v="0"/>
    <n v="0"/>
    <n v="48612.901018131168"/>
    <n v="49869.25339417228"/>
    <n v="1256.3523760411122"/>
    <n v="49869.25339417228"/>
    <n v="40761.919999999998"/>
    <n v="0"/>
    <n v="40761.919999999998"/>
    <n v="54865.39"/>
  </r>
  <r>
    <x v="16"/>
    <s v="B2S8"/>
    <x v="4"/>
    <n v="0"/>
    <x v="3"/>
    <d v="2021-04-26T00:00:00"/>
    <s v="Fim de Mês"/>
    <n v="8.2342591547712729E-4"/>
    <n v="31"/>
    <n v="2.5844011563361136E-2"/>
    <n v="0.74294414019475663"/>
    <n v="0"/>
    <n v="0"/>
    <n v="49869.25339417228"/>
    <n v="51158.074955547454"/>
    <n v="1288.821561375175"/>
    <n v="51158.074955547454"/>
    <n v="40761.919999999998"/>
    <n v="0"/>
    <n v="40761.919999999998"/>
    <n v="54865.39"/>
  </r>
  <r>
    <x v="17"/>
    <s v="B2S8"/>
    <x v="4"/>
    <n v="0"/>
    <x v="3"/>
    <d v="2021-04-26T00:00:00"/>
    <s v="Fim de Mês"/>
    <n v="8.2342591547712729E-4"/>
    <n v="28"/>
    <n v="2.3314059529544018E-2"/>
    <n v="0.74294414019475663"/>
    <n v="0"/>
    <n v="0"/>
    <n v="51158.074955547454"/>
    <n v="52350.777360477965"/>
    <n v="1192.7024049305082"/>
    <n v="52350.777360477965"/>
    <n v="40761.919999999998"/>
    <n v="0"/>
    <n v="40761.919999999998"/>
    <n v="54865.39"/>
  </r>
  <r>
    <x v="21"/>
    <s v="B2S8"/>
    <x v="4"/>
    <n v="0"/>
    <x v="3"/>
    <d v="2021-04-26T00:00:00"/>
    <s v="Fim de Mês"/>
    <n v="8.2342591547712729E-4"/>
    <n v="31"/>
    <n v="2.5844011563361136E-2"/>
    <n v="0.74294414019475663"/>
    <n v="0"/>
    <n v="0"/>
    <n v="52350.777360477965"/>
    <n v="53703.731455933099"/>
    <n v="1352.9540954551369"/>
    <n v="53703.731455933099"/>
    <n v="40761.919999999998"/>
    <n v="0"/>
    <n v="40761.919999999998"/>
    <n v="54865.39"/>
  </r>
  <r>
    <x v="24"/>
    <s v="B2S8"/>
    <x v="4"/>
    <n v="54865.39107790852"/>
    <x v="3"/>
    <d v="2021-04-26T00:00:00"/>
    <s v="Amortization"/>
    <n v="8.2342591547712729E-4"/>
    <n v="26"/>
    <n v="2.1630892127647128E-2"/>
    <n v="0.74294414019475663"/>
    <n v="40761.920800825814"/>
    <n v="14103.470277082703"/>
    <n v="53703.731455933099"/>
    <n v="0"/>
    <n v="1161.6596219754188"/>
    <n v="54865.39107790852"/>
    <n v="40761.919999999998"/>
    <n v="40761.920800825814"/>
    <n v="-8.0082581553142518E-4"/>
    <n v="-1.0779085158697064E-3"/>
  </r>
  <r>
    <x v="1"/>
    <s v="Findup"/>
    <x v="0"/>
    <n v="103359.17"/>
    <x v="4"/>
    <m/>
    <s v="disbursement"/>
    <s v=""/>
    <s v=""/>
    <s v=""/>
    <e v="#N/A"/>
    <s v=""/>
    <s v=""/>
    <s v=""/>
    <n v="103359.17"/>
    <s v=""/>
    <s v=""/>
    <s v=""/>
    <s v=""/>
    <s v=""/>
    <s v=""/>
  </r>
  <r>
    <x v="25"/>
    <s v="B2S8"/>
    <x v="4"/>
    <n v="10068.1"/>
    <x v="4"/>
    <d v="2020-05-26T00:00:00"/>
    <s v="Amortization"/>
    <n v="8.2342591547712729E-4"/>
    <n v="26"/>
    <n v="2.1630892127647128E-2"/>
    <n v="0.77793724734557668"/>
    <n v="7832.3500000000013"/>
    <n v="2235.7499999999995"/>
    <n v="103359.17"/>
    <n v="95526.821056673129"/>
    <n v="2235.7510566731412"/>
    <n v="105594.92105667313"/>
    <n v="7832.35"/>
    <n v="7832.3500000000013"/>
    <n v="-9.0949470177292824E-13"/>
    <n v="-1.1691106254087238E-12"/>
  </r>
  <r>
    <x v="2"/>
    <s v="B2S8"/>
    <x v="4"/>
    <m/>
    <x v="4"/>
    <d v="2020-05-26T00:00:00"/>
    <s v="Fim de Mês"/>
    <n v="8.2342591547712729E-4"/>
    <n v="4"/>
    <n v="3.2977740770283592E-3"/>
    <n v="0.77793724734557668"/>
    <n v="0"/>
    <n v="0"/>
    <n v="95526.821056673129"/>
    <n v="95841.846930814747"/>
    <n v="315.02587414162343"/>
    <n v="95841.846930814747"/>
    <n v="7832.35"/>
    <n v="7832.3500000000013"/>
    <n v="-9.0949470177292824E-13"/>
    <n v="-1.1691106254087238E-12"/>
  </r>
  <r>
    <x v="26"/>
    <s v="B2S8"/>
    <x v="4"/>
    <n v="10068.1"/>
    <x v="4"/>
    <d v="2020-06-26T00:00:00"/>
    <s v="Amortization"/>
    <n v="8.2342591547712729E-4"/>
    <n v="27"/>
    <n v="2.2472129480276992E-2"/>
    <n v="0.75478988091099608"/>
    <n v="7599.3"/>
    <n v="2468.8000000000006"/>
    <n v="95841.846930814747"/>
    <n v="87927.517324672895"/>
    <n v="2153.7703938581571"/>
    <n v="97995.617324672901"/>
    <n v="7599.3"/>
    <n v="7599.3"/>
    <n v="0"/>
    <n v="0"/>
  </r>
  <r>
    <x v="4"/>
    <s v="B2S8"/>
    <x v="4"/>
    <m/>
    <x v="4"/>
    <d v="2020-06-26T00:00:00"/>
    <s v="Fim de Mês"/>
    <n v="8.2342591547712729E-4"/>
    <n v="4"/>
    <n v="3.2977740770283592E-3"/>
    <n v="0.75478988091099608"/>
    <n v="0"/>
    <n v="0"/>
    <n v="87927.517324672895"/>
    <n v="88217.482411963661"/>
    <n v="289.96508729076822"/>
    <n v="88217.482411963661"/>
    <n v="7599.3"/>
    <n v="7599.3"/>
    <n v="0"/>
    <n v="0"/>
  </r>
  <r>
    <x v="27"/>
    <s v="B2S8"/>
    <x v="4"/>
    <n v="10068.1"/>
    <x v="4"/>
    <d v="2020-07-26T00:00:00"/>
    <s v="Amortization"/>
    <n v="8.2342591547712729E-4"/>
    <n v="26"/>
    <n v="2.1630892127647128E-2"/>
    <n v="0.78166784199600714"/>
    <n v="7869.91"/>
    <n v="2198.1900000000005"/>
    <n v="88217.482411963661"/>
    <n v="80057.605257789444"/>
    <n v="1908.2228458257937"/>
    <n v="90125.70525778945"/>
    <n v="7869.91"/>
    <n v="7869.91"/>
    <n v="0"/>
    <n v="0"/>
  </r>
  <r>
    <x v="5"/>
    <s v="B2S8"/>
    <x v="4"/>
    <m/>
    <x v="4"/>
    <d v="2020-07-26T00:00:00"/>
    <s v="Fim de Mês"/>
    <n v="8.2342591547712729E-4"/>
    <n v="4"/>
    <n v="3.2977740770283592E-3"/>
    <n v="0.78166784199600714"/>
    <n v="0"/>
    <n v="0"/>
    <n v="80057.605257789444"/>
    <n v="80321.617153077546"/>
    <n v="264.01189528810733"/>
    <n v="80321.617153077546"/>
    <n v="7869.91"/>
    <n v="7869.91"/>
    <n v="0"/>
    <n v="0"/>
  </r>
  <r>
    <x v="28"/>
    <s v="B2S8"/>
    <x v="4"/>
    <n v="10068.1"/>
    <x v="4"/>
    <d v="2020-08-26T00:00:00"/>
    <s v="Amortization"/>
    <n v="8.2342591547712729E-4"/>
    <n v="27"/>
    <n v="2.2472129480276992E-2"/>
    <n v="0.79449846545028358"/>
    <n v="7999.09"/>
    <n v="2069.0100000000002"/>
    <n v="80321.617153077546"/>
    <n v="72058.514933806742"/>
    <n v="1804.9977807291962"/>
    <n v="82126.614933806748"/>
    <n v="7999.09"/>
    <n v="7999.09"/>
    <n v="0"/>
    <n v="0"/>
  </r>
  <r>
    <x v="8"/>
    <s v="B2S8"/>
    <x v="4"/>
    <m/>
    <x v="4"/>
    <d v="2020-08-26T00:00:00"/>
    <s v="Fim de Mês"/>
    <n v="8.2342591547712729E-4"/>
    <n v="5"/>
    <n v="4.1239154651437904E-3"/>
    <n v="0.79449846545028358"/>
    <n v="0"/>
    <n v="0"/>
    <n v="72058.514933806742"/>
    <n v="72355.678157937567"/>
    <n v="297.16322413082042"/>
    <n v="72355.678157937567"/>
    <n v="7999.09"/>
    <n v="7999.09"/>
    <n v="0"/>
    <n v="0"/>
  </r>
  <r>
    <x v="29"/>
    <s v="B2S8"/>
    <x v="4"/>
    <n v="10068.1"/>
    <x v="4"/>
    <d v="2020-09-26T00:00:00"/>
    <s v="Amortization"/>
    <n v="8.2342591547712729E-4"/>
    <n v="26"/>
    <n v="2.1630892127647128E-2"/>
    <n v="0.81503163456858785"/>
    <n v="8205.82"/>
    <n v="1862.2800000000007"/>
    <n v="72355.678157937567"/>
    <n v="63852.696026994665"/>
    <n v="1565.117869057101"/>
    <n v="73920.796026994663"/>
    <n v="8205.82"/>
    <n v="8205.82"/>
    <n v="0"/>
    <n v="0"/>
  </r>
  <r>
    <x v="11"/>
    <s v="B2S8"/>
    <x v="4"/>
    <m/>
    <x v="4"/>
    <d v="2020-09-26T00:00:00"/>
    <s v="Fim de Mês"/>
    <n v="8.2342591547712729E-4"/>
    <n v="35"/>
    <n v="2.922701335176936E-2"/>
    <n v="0.81503163456858785"/>
    <n v="0"/>
    <n v="0"/>
    <n v="63852.696026994665"/>
    <n v="65718.919626322109"/>
    <n v="1866.2235993274435"/>
    <n v="65718.919626322109"/>
    <n v="8205.82"/>
    <n v="8205.82"/>
    <n v="0"/>
    <n v="0"/>
  </r>
  <r>
    <x v="30"/>
    <s v="B2S8"/>
    <x v="4"/>
    <n v="10068.1"/>
    <x v="4"/>
    <d v="2020-11-26T00:00:00"/>
    <s v="Amortization"/>
    <n v="8.2342591547712729E-4"/>
    <n v="26"/>
    <n v="2.1630892127647128E-2"/>
    <n v="0.85784110209473485"/>
    <n v="8636.83"/>
    <n v="1431.27"/>
    <n v="65718.919626322109"/>
    <n v="57072.378487504589"/>
    <n v="1421.5588611824853"/>
    <n v="67140.478487504588"/>
    <n v="8636.83"/>
    <n v="8636.83"/>
    <n v="0"/>
    <n v="0"/>
  </r>
  <r>
    <x v="12"/>
    <s v="B2S8"/>
    <x v="4"/>
    <m/>
    <x v="4"/>
    <d v="2020-11-26T00:00:00"/>
    <s v="Fim de Mês"/>
    <n v="8.2342591547712729E-4"/>
    <n v="4"/>
    <n v="3.2977740770283592E-3"/>
    <n v="0.85784110209473485"/>
    <n v="0"/>
    <n v="0"/>
    <n v="57072.378487504589"/>
    <n v="57260.590297795032"/>
    <n v="188.21181029044362"/>
    <n v="57260.590297795032"/>
    <n v="8636.83"/>
    <n v="8636.83"/>
    <n v="0"/>
    <n v="0"/>
  </r>
  <r>
    <x v="31"/>
    <s v="B2S8"/>
    <x v="4"/>
    <n v="10068.1"/>
    <x v="4"/>
    <d v="2020-12-26T00:00:00"/>
    <s v="Amortization"/>
    <n v="8.2342591547712729E-4"/>
    <n v="26"/>
    <n v="2.1630892127647128E-2"/>
    <n v="0.8839304337461884"/>
    <n v="8899.5"/>
    <n v="1168.6000000000006"/>
    <n v="57260.590297795032"/>
    <n v="48431.087949692039"/>
    <n v="1238.5976518970022"/>
    <n v="58499.187949692037"/>
    <n v="8899.5"/>
    <n v="8899.5"/>
    <n v="0"/>
    <n v="0"/>
  </r>
  <r>
    <x v="14"/>
    <s v="B2S8"/>
    <x v="4"/>
    <m/>
    <x v="4"/>
    <d v="2020-12-26T00:00:00"/>
    <s v="Fim de Mês"/>
    <n v="8.2342591547712729E-4"/>
    <n v="5"/>
    <n v="4.1239154651437904E-3"/>
    <n v="0.8839304337461884"/>
    <n v="0"/>
    <n v="0"/>
    <n v="48431.087949692039"/>
    <n v="48630.813662281515"/>
    <n v="199.72571258947406"/>
    <n v="48630.813662281515"/>
    <n v="8899.5"/>
    <n v="8899.5"/>
    <n v="0"/>
    <n v="0"/>
  </r>
  <r>
    <x v="32"/>
    <s v="B2S8"/>
    <x v="4"/>
    <n v="10068.1"/>
    <x v="4"/>
    <d v="2021-01-26T00:00:00"/>
    <s v="Amortization"/>
    <n v="8.2342591547712729E-4"/>
    <n v="26"/>
    <n v="2.1630892127647128E-2"/>
    <n v="0.90285555367944303"/>
    <n v="9090.0400000000009"/>
    <n v="978.0599999999996"/>
    <n v="48630.813662281515"/>
    <n v="39614.641546690036"/>
    <n v="1051.9278844085195"/>
    <n v="49682.741546690035"/>
    <n v="9090.0400000000009"/>
    <n v="9090.0400000000009"/>
    <n v="0"/>
    <n v="0"/>
  </r>
  <r>
    <x v="16"/>
    <s v="B2S8"/>
    <x v="4"/>
    <m/>
    <x v="4"/>
    <d v="2021-01-26T00:00:00"/>
    <s v="Fim de Mês"/>
    <n v="8.2342591547712729E-4"/>
    <n v="5"/>
    <n v="4.1239154651437904E-3"/>
    <n v="0.90285555367944303"/>
    <n v="0"/>
    <n v="0"/>
    <n v="39614.641546690036"/>
    <n v="39778.00897961056"/>
    <n v="163.36743292052276"/>
    <n v="39778.00897961056"/>
    <n v="9090.0400000000009"/>
    <n v="9090.0400000000009"/>
    <n v="0"/>
    <n v="0"/>
  </r>
  <r>
    <x v="33"/>
    <s v="B2S8"/>
    <x v="4"/>
    <n v="10068.1"/>
    <x v="4"/>
    <d v="2021-02-26T00:00:00"/>
    <s v="Amortization"/>
    <n v="8.2342591547712729E-4"/>
    <n v="26"/>
    <n v="2.1630892127647128E-2"/>
    <n v="0.9261896484937574"/>
    <n v="9324.9699999999993"/>
    <n v="743.13000000000113"/>
    <n v="39778.00897961056"/>
    <n v="30570.342800901097"/>
    <n v="860.43382129053487"/>
    <n v="40638.442800901095"/>
    <n v="9324.9699999999993"/>
    <n v="9324.9699999999993"/>
    <n v="0"/>
    <n v="0"/>
  </r>
  <r>
    <x v="17"/>
    <s v="B2S8"/>
    <x v="4"/>
    <m/>
    <x v="4"/>
    <d v="2021-02-26T00:00:00"/>
    <s v="Fim de Mês"/>
    <n v="8.2342591547712729E-4"/>
    <n v="2"/>
    <n v="1.6475298611924316E-3"/>
    <n v="0.9261896484937574"/>
    <n v="0"/>
    <n v="0"/>
    <n v="30570.342800901097"/>
    <n v="30620.708353532471"/>
    <n v="50.365552631373632"/>
    <n v="30620.708353532471"/>
    <n v="9324.9699999999993"/>
    <n v="9324.9699999999993"/>
    <n v="0"/>
    <n v="0"/>
  </r>
  <r>
    <x v="34"/>
    <s v="B2S8"/>
    <x v="4"/>
    <n v="10068.1"/>
    <x v="4"/>
    <d v="2021-03-26T00:00:00"/>
    <s v="Amortization"/>
    <n v="8.2342591547712729E-4"/>
    <n v="26"/>
    <n v="2.1630892127647128E-2"/>
    <n v="0.95500839284472749"/>
    <n v="9615.1200000000008"/>
    <n v="452.97999999999911"/>
    <n v="30620.708353532471"/>
    <n v="21214.961592799875"/>
    <n v="662.35323926740421"/>
    <n v="31283.061592799873"/>
    <n v="9615.1200000000008"/>
    <n v="9615.1200000000008"/>
    <n v="0"/>
    <n v="0"/>
  </r>
  <r>
    <x v="21"/>
    <s v="B2S8"/>
    <x v="4"/>
    <m/>
    <x v="4"/>
    <d v="2021-03-26T00:00:00"/>
    <s v="Fim de Mês"/>
    <n v="8.2342591547712729E-4"/>
    <n v="5"/>
    <n v="4.1239154651437904E-3"/>
    <n v="0.95500839284472749"/>
    <n v="0"/>
    <n v="0"/>
    <n v="21214.961592799875"/>
    <n v="21302.450301004854"/>
    <n v="87.488708204978948"/>
    <n v="21302.450301004854"/>
    <n v="9615.1200000000008"/>
    <n v="9615.1200000000008"/>
    <n v="0"/>
    <n v="0"/>
  </r>
  <r>
    <x v="24"/>
    <s v="B2S8"/>
    <x v="4"/>
    <n v="10068.1"/>
    <x v="4"/>
    <d v="2021-04-26T00:00:00"/>
    <s v="Amortization"/>
    <n v="8.2342591547712729E-4"/>
    <n v="26"/>
    <n v="2.1630892127647128E-2"/>
    <n v="0.97480756051290696"/>
    <n v="9814.4599999999991"/>
    <n v="253.64000000000149"/>
    <n v="21302.450301004854"/>
    <n v="11695.141305520452"/>
    <n v="460.79100451560009"/>
    <n v="21763.241305520452"/>
    <n v="9814.4599999999991"/>
    <n v="9814.4599999999991"/>
    <n v="0"/>
    <n v="0"/>
  </r>
  <r>
    <x v="35"/>
    <s v="Findup"/>
    <x v="0"/>
    <n v="49947.44"/>
    <x v="5"/>
    <m/>
    <s v="disbursement"/>
    <s v=""/>
    <s v=""/>
    <s v=""/>
    <e v="#N/A"/>
    <s v=""/>
    <s v=""/>
    <s v=""/>
    <n v="49947.44"/>
    <s v=""/>
    <s v=""/>
    <s v=""/>
    <s v=""/>
    <s v=""/>
    <s v=""/>
  </r>
  <r>
    <x v="4"/>
    <s v="B2S8"/>
    <x v="4"/>
    <n v="0"/>
    <x v="5"/>
    <d v="2021-05-26T00:00:00"/>
    <s v="Fim de Mês"/>
    <n v="8.2342591547712729E-4"/>
    <n v="29"/>
    <n v="2.4156682845832833E-2"/>
    <n v="0.74416811224447987"/>
    <n v="0"/>
    <n v="0"/>
    <n v="49947.44"/>
    <n v="51154.004467041268"/>
    <n v="1206.5644670412648"/>
    <n v="51154.004467041268"/>
    <n v="49947.44"/>
    <n v="0"/>
    <n v="49947.44"/>
    <n v="67118.490000000005"/>
  </r>
  <r>
    <x v="6"/>
    <s v="B2S8"/>
    <x v="4"/>
    <n v="0"/>
    <x v="5"/>
    <d v="2021-05-26T00:00:00"/>
    <s v="Fim de Mês"/>
    <n v="8.2342591547712729E-4"/>
    <n v="31"/>
    <n v="2.5844011563361136E-2"/>
    <n v="0.74416811224447987"/>
    <n v="0"/>
    <n v="0"/>
    <n v="51154.004467041268"/>
    <n v="52476.029149999711"/>
    <n v="1322.0246829584416"/>
    <n v="52476.029149999711"/>
    <n v="49947.44"/>
    <n v="0"/>
    <n v="49947.44"/>
    <n v="67118.490000000005"/>
  </r>
  <r>
    <x v="8"/>
    <s v="B2S8"/>
    <x v="4"/>
    <n v="0"/>
    <x v="5"/>
    <d v="2021-05-26T00:00:00"/>
    <s v="Fim de Mês"/>
    <n v="8.2342591547712729E-4"/>
    <n v="31"/>
    <n v="2.5844011563361136E-2"/>
    <n v="0.74416811224447987"/>
    <n v="0"/>
    <n v="0"/>
    <n v="52476.029149999711"/>
    <n v="53832.22025415158"/>
    <n v="1356.1911041518686"/>
    <n v="53832.22025415158"/>
    <n v="49947.44"/>
    <n v="0"/>
    <n v="49947.44"/>
    <n v="67118.490000000005"/>
  </r>
  <r>
    <x v="9"/>
    <s v="B2S8"/>
    <x v="4"/>
    <n v="0"/>
    <x v="5"/>
    <d v="2021-05-26T00:00:00"/>
    <s v="Fim de Mês"/>
    <n v="8.2342591547712729E-4"/>
    <n v="30"/>
    <n v="2.4999999999997025E-2"/>
    <n v="0.74416811224447987"/>
    <n v="0"/>
    <n v="0"/>
    <n v="53832.22025415158"/>
    <n v="55178.02576050521"/>
    <n v="1345.8055063536294"/>
    <n v="55178.02576050521"/>
    <n v="49947.44"/>
    <n v="0"/>
    <n v="49947.44"/>
    <n v="67118.490000000005"/>
  </r>
  <r>
    <x v="11"/>
    <s v="B2S8"/>
    <x v="4"/>
    <n v="0"/>
    <x v="5"/>
    <d v="2021-05-26T00:00:00"/>
    <s v="Fim de Mês"/>
    <n v="8.2342591547712729E-4"/>
    <n v="31"/>
    <n v="2.5844011563361136E-2"/>
    <n v="0.74416811224447987"/>
    <n v="0"/>
    <n v="0"/>
    <n v="55178.02576050521"/>
    <n v="56604.047296303143"/>
    <n v="1426.0215357979353"/>
    <n v="56604.047296303143"/>
    <n v="49947.44"/>
    <n v="0"/>
    <n v="49947.44"/>
    <n v="67118.490000000005"/>
  </r>
  <r>
    <x v="12"/>
    <s v="B2S8"/>
    <x v="4"/>
    <n v="0"/>
    <x v="5"/>
    <d v="2021-05-26T00:00:00"/>
    <s v="Fim de Mês"/>
    <n v="8.2342591547712729E-4"/>
    <n v="30"/>
    <n v="2.4999999999997025E-2"/>
    <n v="0.74416811224447987"/>
    <n v="0"/>
    <n v="0"/>
    <n v="56604.047296303143"/>
    <n v="58019.148478710551"/>
    <n v="1415.1011824074101"/>
    <n v="58019.148478710551"/>
    <n v="49947.44"/>
    <n v="0"/>
    <n v="49947.44"/>
    <n v="67118.490000000005"/>
  </r>
  <r>
    <x v="14"/>
    <s v="B2S8"/>
    <x v="4"/>
    <n v="0"/>
    <x v="5"/>
    <d v="2021-05-26T00:00:00"/>
    <s v="Fim de Mês"/>
    <n v="8.2342591547712729E-4"/>
    <n v="31"/>
    <n v="2.5844011563361136E-2"/>
    <n v="0.74416811224447987"/>
    <n v="0"/>
    <n v="0"/>
    <n v="58019.148478710551"/>
    <n v="59518.596022890713"/>
    <n v="1499.4475441801621"/>
    <n v="59518.596022890713"/>
    <n v="49947.44"/>
    <n v="0"/>
    <n v="49947.44"/>
    <n v="67118.490000000005"/>
  </r>
  <r>
    <x v="16"/>
    <s v="B2S8"/>
    <x v="4"/>
    <n v="0"/>
    <x v="5"/>
    <d v="2021-05-26T00:00:00"/>
    <s v="Fim de Mês"/>
    <n v="8.2342591547712729E-4"/>
    <n v="31"/>
    <n v="2.5844011563361136E-2"/>
    <n v="0.74416811224447987"/>
    <n v="0"/>
    <n v="0"/>
    <n v="59518.596022890713"/>
    <n v="61056.795306741318"/>
    <n v="1538.1992838506078"/>
    <n v="61056.795306741318"/>
    <n v="49947.44"/>
    <n v="0"/>
    <n v="49947.44"/>
    <n v="67118.490000000005"/>
  </r>
  <r>
    <x v="17"/>
    <s v="B2S8"/>
    <x v="4"/>
    <n v="0"/>
    <x v="5"/>
    <d v="2021-05-26T00:00:00"/>
    <s v="Fim de Mês"/>
    <n v="8.2342591547712729E-4"/>
    <n v="28"/>
    <n v="2.3314059529544018E-2"/>
    <n v="0.74416811224447987"/>
    <n v="0"/>
    <n v="0"/>
    <n v="61056.795306741318"/>
    <n v="62480.277067205869"/>
    <n v="1423.4817604645509"/>
    <n v="62480.277067205869"/>
    <n v="49947.44"/>
    <n v="0"/>
    <n v="49947.44"/>
    <n v="67118.490000000005"/>
  </r>
  <r>
    <x v="21"/>
    <s v="B2S8"/>
    <x v="4"/>
    <n v="0"/>
    <x v="5"/>
    <d v="2021-05-26T00:00:00"/>
    <s v="Fim de Mês"/>
    <n v="8.2342591547712729E-4"/>
    <n v="31"/>
    <n v="2.5844011563361136E-2"/>
    <n v="0.74416811224447987"/>
    <n v="0"/>
    <n v="0"/>
    <n v="62480.277067205869"/>
    <n v="64095.018070212747"/>
    <n v="1614.7410030068761"/>
    <n v="64095.018070212747"/>
    <n v="49947.44"/>
    <n v="0"/>
    <n v="49947.44"/>
    <n v="67118.490000000005"/>
  </r>
  <r>
    <x v="22"/>
    <s v="B2S8"/>
    <x v="4"/>
    <n v="0"/>
    <x v="5"/>
    <d v="2021-05-26T00:00:00"/>
    <s v="Fim de Mês"/>
    <n v="8.2342591547712729E-4"/>
    <n v="30"/>
    <n v="2.4999999999997025E-2"/>
    <n v="0.74416811224447987"/>
    <n v="0"/>
    <n v="0"/>
    <n v="64095.018070212747"/>
    <n v="65697.393521967882"/>
    <n v="1602.3754517551279"/>
    <n v="65697.393521967868"/>
    <n v="49947.44"/>
    <n v="0"/>
    <n v="49947.44"/>
    <n v="67118.490000000005"/>
  </r>
  <r>
    <x v="36"/>
    <s v="B2S8"/>
    <x v="4"/>
    <n v="67118.490000000005"/>
    <x v="5"/>
    <d v="2021-05-26T00:00:00"/>
    <s v="Amortization"/>
    <n v="8.2342591547712729E-4"/>
    <n v="31"/>
    <n v="2.5844011563361136E-2"/>
    <n v="0.74416811224447987"/>
    <n v="49947.44"/>
    <n v="17171.050000000003"/>
    <n v="65697.393521967882"/>
    <n v="276.78771983229672"/>
    <n v="1697.884197864425"/>
    <n v="67395.277719832302"/>
    <n v="49947.44"/>
    <n v="49947.44"/>
    <n v="0"/>
    <n v="0"/>
  </r>
  <r>
    <x v="37"/>
    <s v="Gold Soluções"/>
    <x v="0"/>
    <n v="42757.99"/>
    <x v="6"/>
    <m/>
    <s v="disbursement"/>
    <s v=""/>
    <s v=""/>
    <s v=""/>
    <e v="#N/A"/>
    <s v=""/>
    <s v=""/>
    <s v=""/>
    <n v="42757.99"/>
    <s v=""/>
    <s v=""/>
    <s v=""/>
    <s v=""/>
    <s v=""/>
    <s v=""/>
  </r>
  <r>
    <x v="3"/>
    <s v="B2S8"/>
    <x v="5"/>
    <n v="0"/>
    <x v="6"/>
    <d v="2021-04-30T00:00:00"/>
    <s v="Fim de Mês"/>
    <n v="6.9299131368905087E-4"/>
    <n v="24"/>
    <n v="1.6765012974473859E-2"/>
    <n v="0.7803559692828983"/>
    <n v="0"/>
    <n v="0"/>
    <n v="42757.99"/>
    <n v="43474.828257112422"/>
    <n v="716.83825711242343"/>
    <n v="43474.828257112422"/>
    <n v="42757.99"/>
    <n v="0"/>
    <n v="42757.99"/>
    <n v="54792.93"/>
  </r>
  <r>
    <x v="4"/>
    <s v="B2S8"/>
    <x v="5"/>
    <n v="0"/>
    <x v="6"/>
    <d v="2021-04-30T00:00:00"/>
    <s v="Fim de Mês"/>
    <n v="6.9299131368905087E-4"/>
    <n v="30"/>
    <n v="2.1000000000002572E-2"/>
    <n v="0.7803559692828983"/>
    <n v="0"/>
    <n v="0"/>
    <n v="43474.828257112422"/>
    <n v="44387.799650511894"/>
    <n v="912.97139339947273"/>
    <n v="44387.799650511894"/>
    <n v="42757.99"/>
    <n v="0"/>
    <n v="42757.99"/>
    <n v="54792.93"/>
  </r>
  <r>
    <x v="6"/>
    <s v="B2S8"/>
    <x v="5"/>
    <n v="0"/>
    <x v="6"/>
    <d v="2021-04-30T00:00:00"/>
    <s v="Fim de Mês"/>
    <n v="6.9299131368905087E-4"/>
    <n v="31"/>
    <n v="2.1707544131279066E-2"/>
    <n v="0.7803559692828983"/>
    <n v="0"/>
    <n v="0"/>
    <n v="44387.799650511894"/>
    <n v="45351.349770315755"/>
    <n v="963.55011980386041"/>
    <n v="45351.349770315755"/>
    <n v="42757.99"/>
    <n v="0"/>
    <n v="42757.99"/>
    <n v="54792.93"/>
  </r>
  <r>
    <x v="8"/>
    <s v="B2S8"/>
    <x v="5"/>
    <n v="0"/>
    <x v="6"/>
    <d v="2021-04-30T00:00:00"/>
    <s v="Fim de Mês"/>
    <n v="6.9299131368905087E-4"/>
    <n v="31"/>
    <n v="2.1707544131279066E-2"/>
    <n v="0.7803559692828983"/>
    <n v="0"/>
    <n v="0"/>
    <n v="45351.349770315755"/>
    <n v="46335.816196867956"/>
    <n v="984.46642655220205"/>
    <n v="46335.816196867956"/>
    <n v="42757.99"/>
    <n v="0"/>
    <n v="42757.99"/>
    <n v="54792.93"/>
  </r>
  <r>
    <x v="9"/>
    <s v="B2S8"/>
    <x v="5"/>
    <n v="0"/>
    <x v="6"/>
    <d v="2021-04-30T00:00:00"/>
    <s v="Fim de Mês"/>
    <n v="6.9299131368905087E-4"/>
    <n v="30"/>
    <n v="2.1000000000002572E-2"/>
    <n v="0.7803559692828983"/>
    <n v="0"/>
    <n v="0"/>
    <n v="46335.816196867956"/>
    <n v="47308.868337002299"/>
    <n v="973.05214013434625"/>
    <n v="47308.868337002299"/>
    <n v="42757.99"/>
    <n v="0"/>
    <n v="42757.99"/>
    <n v="54792.93"/>
  </r>
  <r>
    <x v="11"/>
    <s v="B2S8"/>
    <x v="5"/>
    <n v="0"/>
    <x v="6"/>
    <d v="2021-04-30T00:00:00"/>
    <s v="Fim de Mês"/>
    <n v="6.9299131368905087E-4"/>
    <n v="31"/>
    <n v="2.1707544131279066E-2"/>
    <n v="0.7803559692828983"/>
    <n v="0"/>
    <n v="0"/>
    <n v="47308.868337002299"/>
    <n v="48335.82768422865"/>
    <n v="1026.9593472263482"/>
    <n v="48335.82768422865"/>
    <n v="42757.99"/>
    <n v="0"/>
    <n v="42757.99"/>
    <n v="54792.93"/>
  </r>
  <r>
    <x v="12"/>
    <s v="B2S8"/>
    <x v="5"/>
    <n v="0"/>
    <x v="6"/>
    <d v="2021-04-30T00:00:00"/>
    <s v="Fim de Mês"/>
    <n v="6.9299131368905087E-4"/>
    <n v="30"/>
    <n v="2.1000000000002572E-2"/>
    <n v="0.7803559692828983"/>
    <n v="0"/>
    <n v="0"/>
    <n v="48335.82768422865"/>
    <n v="49350.880065597579"/>
    <n v="1015.052381368926"/>
    <n v="49350.880065597579"/>
    <n v="42757.99"/>
    <n v="0"/>
    <n v="42757.99"/>
    <n v="54792.93"/>
  </r>
  <r>
    <x v="14"/>
    <s v="B2S8"/>
    <x v="5"/>
    <n v="0"/>
    <x v="6"/>
    <d v="2021-04-30T00:00:00"/>
    <s v="Fim de Mês"/>
    <n v="6.9299131368905087E-4"/>
    <n v="31"/>
    <n v="2.1707544131279066E-2"/>
    <n v="0.7803559692828983"/>
    <n v="0"/>
    <n v="0"/>
    <n v="49350.880065597579"/>
    <n v="50422.166472539"/>
    <n v="1071.2864069414197"/>
    <n v="50422.166472539"/>
    <n v="42757.99"/>
    <n v="0"/>
    <n v="42757.99"/>
    <n v="54792.93"/>
  </r>
  <r>
    <x v="16"/>
    <s v="B2S8"/>
    <x v="5"/>
    <n v="0"/>
    <x v="6"/>
    <d v="2021-04-30T00:00:00"/>
    <s v="Fim de Mês"/>
    <n v="6.9299131368905087E-4"/>
    <n v="31"/>
    <n v="2.1707544131279066E-2"/>
    <n v="0.7803559692828983"/>
    <n v="0"/>
    <n v="0"/>
    <n v="50422.166472539"/>
    <n v="51516.70787643634"/>
    <n v="1094.5414038973402"/>
    <n v="51516.70787643634"/>
    <n v="42757.99"/>
    <n v="0"/>
    <n v="42757.99"/>
    <n v="54792.93"/>
  </r>
  <r>
    <x v="17"/>
    <s v="B2S8"/>
    <x v="5"/>
    <n v="0"/>
    <x v="6"/>
    <d v="2021-04-30T00:00:00"/>
    <s v="Fim de Mês"/>
    <n v="6.9299131368905087E-4"/>
    <n v="28"/>
    <n v="1.9586381345281678E-2"/>
    <n v="0.7803559692828983"/>
    <n v="0"/>
    <n v="0"/>
    <n v="51516.70787643634"/>
    <n v="52525.733762557698"/>
    <n v="1009.0258861213584"/>
    <n v="52525.733762557698"/>
    <n v="42757.99"/>
    <n v="0"/>
    <n v="42757.99"/>
    <n v="54792.93"/>
  </r>
  <r>
    <x v="21"/>
    <s v="B2S8"/>
    <x v="5"/>
    <n v="0"/>
    <x v="6"/>
    <d v="2021-04-30T00:00:00"/>
    <s v="Fim de Mês"/>
    <n v="6.9299131368905087E-4"/>
    <n v="31"/>
    <n v="2.1707544131279066E-2"/>
    <n v="0.7803559692828983"/>
    <n v="0"/>
    <n v="0"/>
    <n v="52525.733762557698"/>
    <n v="53665.938446236236"/>
    <n v="1140.2046836785362"/>
    <n v="53665.938446236236"/>
    <n v="42757.99"/>
    <n v="0"/>
    <n v="42757.99"/>
    <n v="54792.93"/>
  </r>
  <r>
    <x v="22"/>
    <s v="B2S8"/>
    <x v="5"/>
    <n v="54792.93"/>
    <x v="6"/>
    <d v="2021-04-30T00:00:00"/>
    <s v="Amortization"/>
    <n v="6.9299131368905087E-4"/>
    <n v="30"/>
    <n v="2.1000000000002572E-2"/>
    <n v="0.7803559692828983"/>
    <n v="42757.99"/>
    <n v="12034.940000000004"/>
    <n v="53665.938446236236"/>
    <n v="-6.846392665465828E-3"/>
    <n v="1126.9847073710989"/>
    <n v="54792.923153607335"/>
    <n v="42757.99"/>
    <n v="42757.99"/>
    <n v="0"/>
    <n v="0"/>
  </r>
  <r>
    <x v="38"/>
    <s v="Home Agent"/>
    <x v="0"/>
    <n v="50397.4"/>
    <x v="7"/>
    <m/>
    <s v="disbursement"/>
    <s v=""/>
    <s v=""/>
    <s v=""/>
    <e v="#N/A"/>
    <s v=""/>
    <s v=""/>
    <s v=""/>
    <n v="50397.4"/>
    <s v=""/>
    <s v=""/>
    <s v=""/>
    <s v=""/>
    <s v=""/>
    <s v=""/>
  </r>
  <r>
    <x v="3"/>
    <s v="B2S8"/>
    <x v="6"/>
    <n v="0"/>
    <x v="7"/>
    <d v="2021-04-30T00:00:00"/>
    <s v="Fim de Mês"/>
    <n v="8.5595768115309667E-4"/>
    <n v="18"/>
    <n v="1.5519849167998645E-2"/>
    <n v="0.73995333061513702"/>
    <n v="0"/>
    <n v="0"/>
    <n v="50397.4"/>
    <n v="51179.560046459294"/>
    <n v="782.1600464592949"/>
    <n v="51179.560046459294"/>
    <n v="50397.4"/>
    <n v="0"/>
    <n v="50397.4"/>
    <n v="68108.89"/>
  </r>
  <r>
    <x v="4"/>
    <s v="B2S8"/>
    <x v="6"/>
    <n v="0"/>
    <x v="7"/>
    <d v="2021-04-30T00:00:00"/>
    <s v="Fim de Mês"/>
    <n v="8.5595768115309667E-4"/>
    <n v="30"/>
    <n v="2.6000000000001577E-2"/>
    <n v="0.73995333061513702"/>
    <n v="0"/>
    <n v="0"/>
    <n v="51179.560046459294"/>
    <n v="52510.228607667319"/>
    <n v="1330.6685612080223"/>
    <n v="52510.228607667319"/>
    <n v="50397.4"/>
    <n v="0"/>
    <n v="50397.4"/>
    <n v="68108.89"/>
  </r>
  <r>
    <x v="6"/>
    <s v="B2S8"/>
    <x v="6"/>
    <n v="0"/>
    <x v="7"/>
    <d v="2021-04-30T00:00:00"/>
    <s v="Fim de Mês"/>
    <n v="8.5595768115309667E-4"/>
    <n v="31"/>
    <n v="2.6878212580864425E-2"/>
    <n v="0.73995333061513702"/>
    <n v="0"/>
    <n v="0"/>
    <n v="52510.228607667319"/>
    <n v="53921.609694853993"/>
    <n v="1411.3810871866708"/>
    <n v="53921.609694853993"/>
    <n v="50397.4"/>
    <n v="0"/>
    <n v="50397.4"/>
    <n v="68108.89"/>
  </r>
  <r>
    <x v="8"/>
    <s v="B2S8"/>
    <x v="6"/>
    <n v="0"/>
    <x v="7"/>
    <d v="2021-04-30T00:00:00"/>
    <s v="Fim de Mês"/>
    <n v="8.5595768115309667E-4"/>
    <n v="31"/>
    <n v="2.6878212580864425E-2"/>
    <n v="0.73995333061513702"/>
    <n v="0"/>
    <n v="0"/>
    <n v="53921.609694853993"/>
    <n v="55370.92618293468"/>
    <n v="1449.3164880806858"/>
    <n v="55370.92618293468"/>
    <n v="50397.4"/>
    <n v="0"/>
    <n v="50397.4"/>
    <n v="68108.89"/>
  </r>
  <r>
    <x v="9"/>
    <s v="B2S8"/>
    <x v="6"/>
    <n v="0"/>
    <x v="7"/>
    <d v="2021-04-30T00:00:00"/>
    <s v="Fim de Mês"/>
    <n v="8.5595768115309667E-4"/>
    <n v="30"/>
    <n v="2.6000000000001577E-2"/>
    <n v="0.73995333061513702"/>
    <n v="0"/>
    <n v="0"/>
    <n v="55370.92618293468"/>
    <n v="56810.570263691072"/>
    <n v="1439.644080756389"/>
    <n v="56810.570263691072"/>
    <n v="50397.4"/>
    <n v="0"/>
    <n v="50397.4"/>
    <n v="68108.89"/>
  </r>
  <r>
    <x v="11"/>
    <s v="B2S8"/>
    <x v="6"/>
    <n v="0"/>
    <x v="7"/>
    <d v="2021-04-30T00:00:00"/>
    <s v="Fim de Mês"/>
    <n v="8.5595768115309667E-4"/>
    <n v="31"/>
    <n v="2.6878212580864425E-2"/>
    <n v="0.73995333061513702"/>
    <n v="0"/>
    <n v="0"/>
    <n v="56810.570263691072"/>
    <n v="58337.536848078693"/>
    <n v="1526.9665843876237"/>
    <n v="58337.536848078693"/>
    <n v="50397.4"/>
    <n v="0"/>
    <n v="50397.4"/>
    <n v="68108.89"/>
  </r>
  <r>
    <x v="12"/>
    <s v="B2S8"/>
    <x v="6"/>
    <n v="0"/>
    <x v="7"/>
    <d v="2021-04-30T00:00:00"/>
    <s v="Fim de Mês"/>
    <n v="8.5595768115309667E-4"/>
    <n v="30"/>
    <n v="2.6000000000001577E-2"/>
    <n v="0.73995333061513702"/>
    <n v="0"/>
    <n v="0"/>
    <n v="58337.536848078693"/>
    <n v="59854.31280612883"/>
    <n v="1516.7759580501381"/>
    <n v="59854.31280612883"/>
    <n v="50397.4"/>
    <n v="0"/>
    <n v="50397.4"/>
    <n v="68108.89"/>
  </r>
  <r>
    <x v="14"/>
    <s v="B2S8"/>
    <x v="6"/>
    <n v="0"/>
    <x v="7"/>
    <d v="2021-04-30T00:00:00"/>
    <s v="Fim de Mês"/>
    <n v="8.5595768115309667E-4"/>
    <n v="31"/>
    <n v="2.6878212580864425E-2"/>
    <n v="0.73995333061513702"/>
    <n v="0"/>
    <n v="0"/>
    <n v="59854.31280612883"/>
    <n v="61463.089749613515"/>
    <n v="1608.7769434846866"/>
    <n v="61463.089749613515"/>
    <n v="50397.4"/>
    <n v="0"/>
    <n v="50397.4"/>
    <n v="68108.89"/>
  </r>
  <r>
    <x v="16"/>
    <s v="B2S8"/>
    <x v="6"/>
    <n v="0"/>
    <x v="7"/>
    <d v="2021-04-30T00:00:00"/>
    <s v="Fim de Mês"/>
    <n v="8.5595768115309667E-4"/>
    <n v="31"/>
    <n v="2.6878212580864425E-2"/>
    <n v="0.73995333061513702"/>
    <n v="0"/>
    <n v="0"/>
    <n v="61463.089749613515"/>
    <n v="63115.107741780375"/>
    <n v="1652.0179921668612"/>
    <n v="63115.107741780375"/>
    <n v="50397.4"/>
    <n v="0"/>
    <n v="50397.4"/>
    <n v="68108.89"/>
  </r>
  <r>
    <x v="17"/>
    <s v="B2S8"/>
    <x v="6"/>
    <n v="0"/>
    <x v="7"/>
    <d v="2021-04-30T00:00:00"/>
    <s v="Fim de Mês"/>
    <n v="8.5595768115309667E-4"/>
    <n v="28"/>
    <n v="2.4245827405701803E-2"/>
    <n v="0.73995333061513702"/>
    <n v="0"/>
    <n v="0"/>
    <n v="63115.107741780375"/>
    <n v="64645.385750779853"/>
    <n v="1530.2780089994806"/>
    <n v="64645.385750779853"/>
    <n v="50397.4"/>
    <n v="0"/>
    <n v="50397.4"/>
    <n v="68108.89"/>
  </r>
  <r>
    <x v="21"/>
    <s v="B2S8"/>
    <x v="6"/>
    <n v="0"/>
    <x v="7"/>
    <d v="2021-04-30T00:00:00"/>
    <s v="Fim de Mês"/>
    <n v="8.5595768115309667E-4"/>
    <n v="31"/>
    <n v="2.6878212580864425E-2"/>
    <n v="0.73995333061513702"/>
    <n v="0"/>
    <n v="0"/>
    <n v="64645.385750779853"/>
    <n v="66382.938171361297"/>
    <n v="1737.5524205814449"/>
    <n v="66382.938171361297"/>
    <n v="50397.4"/>
    <n v="0"/>
    <n v="50397.4"/>
    <n v="68108.89"/>
  </r>
  <r>
    <x v="22"/>
    <s v="B2S8"/>
    <x v="6"/>
    <n v="68108.89"/>
    <x v="7"/>
    <d v="2021-04-30T00:00:00"/>
    <s v="Amortization"/>
    <n v="8.5595768115309667E-4"/>
    <n v="30"/>
    <n v="2.6000000000001577E-2"/>
    <n v="0.73995333061513702"/>
    <n v="50397.4"/>
    <n v="17711.490000000002"/>
    <n v="66382.938171361297"/>
    <n v="4.5638167939614505E-3"/>
    <n v="1725.9563924554984"/>
    <n v="68108.894563816793"/>
    <n v="50397.4"/>
    <n v="50397.4"/>
    <n v="0"/>
    <n v="0"/>
  </r>
  <r>
    <x v="38"/>
    <s v="Home Agent"/>
    <x v="0"/>
    <n v="50397.4"/>
    <x v="8"/>
    <m/>
    <s v="disbursement"/>
    <s v=""/>
    <s v=""/>
    <s v=""/>
    <e v="#N/A"/>
    <s v=""/>
    <s v=""/>
    <s v=""/>
    <n v="50397.4"/>
    <s v=""/>
    <s v=""/>
    <s v=""/>
    <s v=""/>
    <s v=""/>
    <s v=""/>
  </r>
  <r>
    <x v="3"/>
    <s v="B2S8"/>
    <x v="6"/>
    <n v="0"/>
    <x v="8"/>
    <d v="2021-04-30T00:00:00"/>
    <s v="Fim de Mês"/>
    <n v="8.5595768115309667E-4"/>
    <n v="18"/>
    <n v="1.5519849167998645E-2"/>
    <n v="0.73995333061513702"/>
    <n v="0"/>
    <n v="0"/>
    <n v="50397.4"/>
    <n v="51179.560046459294"/>
    <n v="782.1600464592949"/>
    <n v="51179.560046459294"/>
    <n v="50397.4"/>
    <n v="0"/>
    <n v="50397.4"/>
    <n v="68108.89"/>
  </r>
  <r>
    <x v="4"/>
    <s v="B2S8"/>
    <x v="6"/>
    <n v="0"/>
    <x v="8"/>
    <d v="2021-04-30T00:00:00"/>
    <s v="Fim de Mês"/>
    <n v="8.5595768115309667E-4"/>
    <n v="30"/>
    <n v="2.6000000000001577E-2"/>
    <n v="0.73995333061513702"/>
    <n v="0"/>
    <n v="0"/>
    <n v="51179.560046459294"/>
    <n v="52510.228607667319"/>
    <n v="1330.6685612080223"/>
    <n v="52510.228607667319"/>
    <n v="50397.4"/>
    <n v="0"/>
    <n v="50397.4"/>
    <n v="68108.89"/>
  </r>
  <r>
    <x v="6"/>
    <s v="B2S8"/>
    <x v="6"/>
    <n v="0"/>
    <x v="8"/>
    <d v="2021-04-30T00:00:00"/>
    <s v="Fim de Mês"/>
    <n v="8.5595768115309667E-4"/>
    <n v="31"/>
    <n v="2.6878212580864425E-2"/>
    <n v="0.73995333061513702"/>
    <n v="0"/>
    <n v="0"/>
    <n v="52510.228607667319"/>
    <n v="53921.609694853993"/>
    <n v="1411.3810871866708"/>
    <n v="53921.609694853993"/>
    <n v="50397.4"/>
    <n v="0"/>
    <n v="50397.4"/>
    <n v="68108.89"/>
  </r>
  <r>
    <x v="8"/>
    <s v="B2S8"/>
    <x v="6"/>
    <n v="0"/>
    <x v="8"/>
    <d v="2021-04-30T00:00:00"/>
    <s v="Fim de Mês"/>
    <n v="8.5595768115309667E-4"/>
    <n v="31"/>
    <n v="2.6878212580864425E-2"/>
    <n v="0.73995333061513702"/>
    <n v="0"/>
    <n v="0"/>
    <n v="53921.609694853993"/>
    <n v="55370.92618293468"/>
    <n v="1449.3164880806858"/>
    <n v="55370.92618293468"/>
    <n v="50397.4"/>
    <n v="0"/>
    <n v="50397.4"/>
    <n v="68108.89"/>
  </r>
  <r>
    <x v="9"/>
    <s v="B2S8"/>
    <x v="6"/>
    <n v="0"/>
    <x v="8"/>
    <d v="2021-04-30T00:00:00"/>
    <s v="Fim de Mês"/>
    <n v="8.5595768115309667E-4"/>
    <n v="30"/>
    <n v="2.6000000000001577E-2"/>
    <n v="0.73995333061513702"/>
    <n v="0"/>
    <n v="0"/>
    <n v="55370.92618293468"/>
    <n v="56810.570263691072"/>
    <n v="1439.644080756389"/>
    <n v="56810.570263691072"/>
    <n v="50397.4"/>
    <n v="0"/>
    <n v="50397.4"/>
    <n v="68108.89"/>
  </r>
  <r>
    <x v="11"/>
    <s v="B2S8"/>
    <x v="6"/>
    <n v="0"/>
    <x v="8"/>
    <d v="2021-04-30T00:00:00"/>
    <s v="Fim de Mês"/>
    <n v="8.5595768115309667E-4"/>
    <n v="31"/>
    <n v="2.6878212580864425E-2"/>
    <n v="0.73995333061513702"/>
    <n v="0"/>
    <n v="0"/>
    <n v="56810.570263691072"/>
    <n v="58337.536848078693"/>
    <n v="1526.9665843876237"/>
    <n v="58337.536848078693"/>
    <n v="50397.4"/>
    <n v="0"/>
    <n v="50397.4"/>
    <n v="68108.89"/>
  </r>
  <r>
    <x v="12"/>
    <s v="B2S8"/>
    <x v="6"/>
    <n v="0"/>
    <x v="8"/>
    <d v="2021-04-30T00:00:00"/>
    <s v="Fim de Mês"/>
    <n v="8.5595768115309667E-4"/>
    <n v="30"/>
    <n v="2.6000000000001577E-2"/>
    <n v="0.73995333061513702"/>
    <n v="0"/>
    <n v="0"/>
    <n v="58337.536848078693"/>
    <n v="59854.31280612883"/>
    <n v="1516.7759580501381"/>
    <n v="59854.31280612883"/>
    <n v="50397.4"/>
    <n v="0"/>
    <n v="50397.4"/>
    <n v="68108.89"/>
  </r>
  <r>
    <x v="14"/>
    <s v="B2S8"/>
    <x v="6"/>
    <n v="0"/>
    <x v="8"/>
    <d v="2021-04-30T00:00:00"/>
    <s v="Fim de Mês"/>
    <n v="8.5595768115309667E-4"/>
    <n v="31"/>
    <n v="2.6878212580864425E-2"/>
    <n v="0.73995333061513702"/>
    <n v="0"/>
    <n v="0"/>
    <n v="59854.31280612883"/>
    <n v="61463.089749613515"/>
    <n v="1608.7769434846866"/>
    <n v="61463.089749613515"/>
    <n v="50397.4"/>
    <n v="0"/>
    <n v="50397.4"/>
    <n v="68108.89"/>
  </r>
  <r>
    <x v="16"/>
    <s v="B2S8"/>
    <x v="6"/>
    <n v="0"/>
    <x v="8"/>
    <d v="2021-04-30T00:00:00"/>
    <s v="Fim de Mês"/>
    <n v="8.5595768115309667E-4"/>
    <n v="31"/>
    <n v="2.6878212580864425E-2"/>
    <n v="0.73995333061513702"/>
    <n v="0"/>
    <n v="0"/>
    <n v="61463.089749613515"/>
    <n v="63115.107741780375"/>
    <n v="1652.0179921668612"/>
    <n v="63115.107741780375"/>
    <n v="50397.4"/>
    <n v="0"/>
    <n v="50397.4"/>
    <n v="68108.89"/>
  </r>
  <r>
    <x v="17"/>
    <s v="B2S8"/>
    <x v="6"/>
    <n v="0"/>
    <x v="8"/>
    <d v="2021-04-30T00:00:00"/>
    <s v="Fim de Mês"/>
    <n v="8.5595768115309667E-4"/>
    <n v="28"/>
    <n v="2.4245827405701803E-2"/>
    <n v="0.73995333061513702"/>
    <n v="0"/>
    <n v="0"/>
    <n v="63115.107741780375"/>
    <n v="64645.385750779853"/>
    <n v="1530.2780089994806"/>
    <n v="64645.385750779853"/>
    <n v="50397.4"/>
    <n v="0"/>
    <n v="50397.4"/>
    <n v="68108.89"/>
  </r>
  <r>
    <x v="21"/>
    <s v="B2S8"/>
    <x v="6"/>
    <n v="0"/>
    <x v="8"/>
    <d v="2021-04-30T00:00:00"/>
    <s v="Fim de Mês"/>
    <n v="8.5595768115309667E-4"/>
    <n v="31"/>
    <n v="2.6878212580864425E-2"/>
    <n v="0.73995333061513702"/>
    <n v="0"/>
    <n v="0"/>
    <n v="64645.385750779853"/>
    <n v="66382.938171361297"/>
    <n v="1737.5524205814449"/>
    <n v="66382.938171361297"/>
    <n v="50397.4"/>
    <n v="0"/>
    <n v="50397.4"/>
    <n v="68108.89"/>
  </r>
  <r>
    <x v="22"/>
    <s v="B2S8"/>
    <x v="6"/>
    <n v="68108.89"/>
    <x v="8"/>
    <d v="2021-04-30T00:00:00"/>
    <s v="Amortization"/>
    <n v="8.5595768115309667E-4"/>
    <n v="30"/>
    <n v="2.6000000000001577E-2"/>
    <n v="0.73995333061513702"/>
    <n v="50397.4"/>
    <n v="17711.490000000002"/>
    <n v="66382.938171361297"/>
    <n v="4.5638167939614505E-3"/>
    <n v="1725.9563924554984"/>
    <n v="68108.894563816793"/>
    <n v="50397.4"/>
    <n v="50397.4"/>
    <n v="0"/>
    <n v="0"/>
  </r>
  <r>
    <x v="38"/>
    <s v="Jetbov"/>
    <x v="0"/>
    <n v="187596.9"/>
    <x v="9"/>
    <m/>
    <s v="disbursement"/>
    <s v=""/>
    <s v=""/>
    <s v=""/>
    <e v="#N/A"/>
    <s v=""/>
    <s v=""/>
    <s v=""/>
    <n v="187596.9"/>
    <s v=""/>
    <s v=""/>
    <s v=""/>
    <s v=""/>
    <s v=""/>
    <s v=""/>
  </r>
  <r>
    <x v="39"/>
    <s v="B2S8"/>
    <x v="7"/>
    <n v="17699.580000000002"/>
    <x v="9"/>
    <d v="2020-05-20T00:00:00"/>
    <s v="Amortization"/>
    <n v="7.256462133005126E-4"/>
    <n v="7"/>
    <n v="5.0905946872072949E-3"/>
    <n v="0.94604504739660467"/>
    <n v="16744.599999999999"/>
    <n v="954.98000000000411"/>
    <n v="187596.9"/>
    <n v="170852.29978247656"/>
    <n v="954.97978247655817"/>
    <n v="188551.87978247655"/>
    <n v="16744.599999999999"/>
    <n v="16744.599999999999"/>
    <n v="0"/>
    <n v="0"/>
  </r>
  <r>
    <x v="3"/>
    <s v="B2S8"/>
    <x v="7"/>
    <m/>
    <x v="9"/>
    <d v="2020-05-20T00:00:00"/>
    <s v="Fim de Mês"/>
    <n v="7.256462133005126E-4"/>
    <n v="11"/>
    <n v="8.0111324175500265E-3"/>
    <n v="0.94604504739660467"/>
    <n v="0"/>
    <n v="0"/>
    <n v="170852.29978247656"/>
    <n v="172221.02017987694"/>
    <n v="1368.7203974003733"/>
    <n v="172221.02017987694"/>
    <n v="16744.599999999999"/>
    <n v="16744.599999999999"/>
    <n v="0"/>
    <n v="0"/>
  </r>
  <r>
    <x v="40"/>
    <s v="B2S8"/>
    <x v="7"/>
    <n v="17699.580000000002"/>
    <x v="9"/>
    <d v="2020-06-20T00:00:00"/>
    <s v="Amortization"/>
    <n v="7.256462133005126E-4"/>
    <n v="20"/>
    <n v="1.4613408065360156E-2"/>
    <n v="0.7804772768619368"/>
    <n v="13814.12"/>
    <n v="3885.4600000000009"/>
    <n v="172221.02017987694"/>
    <n v="157038.17622519808"/>
    <n v="2516.7360453211677"/>
    <n v="174737.7562251981"/>
    <n v="13814.12"/>
    <n v="13814.12"/>
    <n v="0"/>
    <n v="0"/>
  </r>
  <r>
    <x v="4"/>
    <s v="B2S8"/>
    <x v="7"/>
    <m/>
    <x v="9"/>
    <d v="2020-06-20T00:00:00"/>
    <s v="Fim de Mês"/>
    <n v="7.256462133005126E-4"/>
    <n v="10"/>
    <n v="7.280203352254988E-3"/>
    <n v="0.7804772768619368"/>
    <n v="0"/>
    <n v="0"/>
    <n v="157038.17622519808"/>
    <n v="158181.44608218479"/>
    <n v="1143.2698569866966"/>
    <n v="158181.44608218479"/>
    <n v="13814.12"/>
    <n v="13814.12"/>
    <n v="0"/>
    <n v="0"/>
  </r>
  <r>
    <x v="41"/>
    <s v="B2S8"/>
    <x v="7"/>
    <n v="17699.580000000002"/>
    <x v="9"/>
    <d v="2020-07-20T00:00:00"/>
    <s v="Amortization"/>
    <n v="7.256462133005126E-4"/>
    <n v="20"/>
    <n v="1.4613408065360156E-2"/>
    <n v="0.80480666772883869"/>
    <n v="14244.74"/>
    <n v="3454.8400000000015"/>
    <n v="158181.44608218479"/>
    <n v="142793.43610215251"/>
    <n v="2311.5700199677317"/>
    <n v="160493.01610215253"/>
    <n v="14244.74"/>
    <n v="14244.74"/>
    <n v="0"/>
    <n v="0"/>
  </r>
  <r>
    <x v="6"/>
    <s v="B2S8"/>
    <x v="7"/>
    <m/>
    <x v="9"/>
    <d v="2020-07-20T00:00:00"/>
    <s v="Fim de Mês"/>
    <n v="7.256462133005126E-4"/>
    <n v="11"/>
    <n v="8.0111324175500265E-3"/>
    <n v="0.80480666772883869"/>
    <n v="0"/>
    <n v="0"/>
    <n v="142793.43610215251"/>
    <n v="143937.37322712381"/>
    <n v="1143.9371249713122"/>
    <n v="143937.37322712381"/>
    <n v="14244.74"/>
    <n v="14244.74"/>
    <n v="0"/>
    <n v="0"/>
  </r>
  <r>
    <x v="42"/>
    <s v="B2S8"/>
    <x v="7"/>
    <n v="17699.580000000002"/>
    <x v="9"/>
    <d v="2020-08-20T00:00:00"/>
    <s v="Amortization"/>
    <n v="7.256462133005126E-4"/>
    <n v="20"/>
    <n v="1.4613408065360156E-2"/>
    <n v="0.81652954476885886"/>
    <n v="14452.23"/>
    <n v="3247.3500000000013"/>
    <n v="143937.37322712381"/>
    <n v="128341.20879794781"/>
    <n v="2103.415570824006"/>
    <n v="146040.78879794781"/>
    <n v="14452.23"/>
    <n v="14452.23"/>
    <n v="0"/>
    <n v="0"/>
  </r>
  <r>
    <x v="8"/>
    <s v="B2S8"/>
    <x v="7"/>
    <m/>
    <x v="9"/>
    <d v="2020-08-20T00:00:00"/>
    <s v="Fim de Mês"/>
    <n v="7.256462133005126E-4"/>
    <n v="11"/>
    <n v="8.0111324175500265E-3"/>
    <n v="0.81652954476885886"/>
    <n v="0"/>
    <n v="0"/>
    <n v="128341.20879794781"/>
    <n v="129369.36721625661"/>
    <n v="1028.1584183087964"/>
    <n v="129369.36721625661"/>
    <n v="14452.23"/>
    <n v="14452.23"/>
    <n v="0"/>
    <n v="0"/>
  </r>
  <r>
    <x v="43"/>
    <s v="B2S8"/>
    <x v="7"/>
    <n v="17699.580000000002"/>
    <x v="9"/>
    <d v="2020-09-20T00:00:00"/>
    <s v="Amortization"/>
    <n v="7.256462133005126E-4"/>
    <n v="20"/>
    <n v="1.4613408065360156E-2"/>
    <n v="0.83509834696642504"/>
    <n v="14780.89"/>
    <n v="2918.6900000000028"/>
    <n v="129369.36721625661"/>
    <n v="113560.31457054518"/>
    <n v="1890.5273542885841"/>
    <n v="131259.89457054518"/>
    <n v="14780.89"/>
    <n v="14780.89"/>
    <n v="0"/>
    <n v="0"/>
  </r>
  <r>
    <x v="9"/>
    <s v="B2S8"/>
    <x v="7"/>
    <m/>
    <x v="9"/>
    <d v="2020-09-20T00:00:00"/>
    <s v="Fim de Mês"/>
    <n v="7.256462133005126E-4"/>
    <n v="10"/>
    <n v="7.280203352254988E-3"/>
    <n v="0.83509834696642504"/>
    <n v="0"/>
    <n v="0"/>
    <n v="113560.31457054518"/>
    <n v="114387.05675336478"/>
    <n v="826.74218281961396"/>
    <n v="114387.05675336478"/>
    <n v="14780.89"/>
    <n v="14780.89"/>
    <n v="0"/>
    <n v="0"/>
  </r>
  <r>
    <x v="44"/>
    <s v="B2S8"/>
    <x v="7"/>
    <n v="17699.580000000002"/>
    <x v="9"/>
    <d v="2020-10-20T00:00:00"/>
    <s v="Amortization"/>
    <n v="7.256462133005126E-4"/>
    <n v="20"/>
    <n v="1.4613408065360156E-2"/>
    <n v="0.85884806306138328"/>
    <n v="15201.25"/>
    <n v="2498.3300000000017"/>
    <n v="114387.05675336478"/>
    <n v="98359.061491097207"/>
    <n v="1671.5847377324308"/>
    <n v="116058.64149109721"/>
    <n v="15201.25"/>
    <n v="15201.25"/>
    <n v="0"/>
    <n v="0"/>
  </r>
  <r>
    <x v="11"/>
    <s v="B2S8"/>
    <x v="7"/>
    <m/>
    <x v="9"/>
    <d v="2020-10-20T00:00:00"/>
    <s v="Fim de Mês"/>
    <n v="7.256462133005126E-4"/>
    <n v="11"/>
    <n v="8.0111324175500265E-3"/>
    <n v="0.85884806306138328"/>
    <n v="0"/>
    <n v="0"/>
    <n v="98359.061491097207"/>
    <n v="99147.028957168339"/>
    <n v="787.96746607112527"/>
    <n v="99147.028957168339"/>
    <n v="15201.25"/>
    <n v="15201.25"/>
    <n v="0"/>
    <n v="0"/>
  </r>
  <r>
    <x v="45"/>
    <s v="B2S8"/>
    <x v="7"/>
    <n v="17699.580000000002"/>
    <x v="9"/>
    <d v="2020-11-20T00:00:00"/>
    <s v="Amortization"/>
    <n v="7.256462133005126E-4"/>
    <n v="20"/>
    <n v="1.4613408065360156E-2"/>
    <n v="0.8736212949685811"/>
    <n v="15462.73"/>
    <n v="2236.8500000000017"/>
    <n v="99147.028957168339"/>
    <n v="82896.324949787522"/>
    <n v="1448.8759926191808"/>
    <n v="100595.90494978752"/>
    <n v="15462.73"/>
    <n v="15462.73"/>
    <n v="0"/>
    <n v="0"/>
  </r>
  <r>
    <x v="12"/>
    <s v="B2S8"/>
    <x v="7"/>
    <m/>
    <x v="9"/>
    <d v="2020-11-20T00:00:00"/>
    <s v="Fim de Mês"/>
    <n v="7.256462133005126E-4"/>
    <n v="10"/>
    <n v="7.280203352254988E-3"/>
    <n v="0.8736212949685811"/>
    <n v="0"/>
    <n v="0"/>
    <n v="82896.324949787522"/>
    <n v="83499.827052576584"/>
    <n v="603.50210278906195"/>
    <n v="83499.827052576584"/>
    <n v="15462.73"/>
    <n v="15462.73"/>
    <n v="0"/>
    <n v="0"/>
  </r>
  <r>
    <x v="46"/>
    <s v="B2S8"/>
    <x v="7"/>
    <n v="17699.580000000002"/>
    <x v="9"/>
    <d v="2020-12-20T00:00:00"/>
    <s v="Amortization"/>
    <n v="7.256462133005126E-4"/>
    <n v="20"/>
    <n v="1.4613408065360156E-2"/>
    <n v="0.89696252679442101"/>
    <n v="15875.86"/>
    <n v="1823.7200000000018"/>
    <n v="83499.827052576584"/>
    <n v="67020.464098682889"/>
    <n v="1220.2170461063008"/>
    <n v="84720.044098682891"/>
    <n v="15875.86"/>
    <n v="15875.86"/>
    <n v="0"/>
    <n v="0"/>
  </r>
  <r>
    <x v="14"/>
    <s v="B2S8"/>
    <x v="7"/>
    <m/>
    <x v="9"/>
    <d v="2020-12-20T00:00:00"/>
    <s v="Fim de Mês"/>
    <n v="7.256462133005126E-4"/>
    <n v="11"/>
    <n v="8.0111324175500265E-3"/>
    <n v="0.89696252679442101"/>
    <n v="0"/>
    <n v="0"/>
    <n v="67020.464098682889"/>
    <n v="67557.373911263101"/>
    <n v="536.90981258020622"/>
    <n v="67557.373911263101"/>
    <n v="15875.86"/>
    <n v="15875.86"/>
    <n v="0"/>
    <n v="0"/>
  </r>
  <r>
    <x v="47"/>
    <s v="B2S8"/>
    <x v="7"/>
    <n v="17699.580000000002"/>
    <x v="9"/>
    <d v="2021-01-20T00:00:00"/>
    <s v="Amortization"/>
    <n v="7.256462133005126E-4"/>
    <n v="20"/>
    <n v="1.4613408065360156E-2"/>
    <n v="0.91388722218267315"/>
    <n v="16175.42"/>
    <n v="1524.1600000000021"/>
    <n v="67557.373911263101"/>
    <n v="50845.037384052499"/>
    <n v="987.243472789404"/>
    <n v="68544.617384052501"/>
    <n v="16175.42"/>
    <n v="16175.42"/>
    <n v="0"/>
    <n v="0"/>
  </r>
  <r>
    <x v="16"/>
    <s v="B2S8"/>
    <x v="7"/>
    <m/>
    <x v="9"/>
    <d v="2021-01-20T00:00:00"/>
    <s v="Fim de Mês"/>
    <n v="7.256462133005126E-4"/>
    <n v="11"/>
    <n v="8.0111324175500265E-3"/>
    <n v="0.91388722218267315"/>
    <n v="0"/>
    <n v="0"/>
    <n v="50845.037384052499"/>
    <n v="51252.363711311424"/>
    <n v="407.32632725892597"/>
    <n v="51252.363711311424"/>
    <n v="16175.42"/>
    <n v="16175.42"/>
    <n v="0"/>
    <n v="0"/>
  </r>
  <r>
    <x v="48"/>
    <s v="B2S8"/>
    <x v="7"/>
    <n v="17699.580000000002"/>
    <x v="9"/>
    <d v="2021-02-20T00:00:00"/>
    <s v="Amortization"/>
    <n v="7.256462133005126E-4"/>
    <n v="20"/>
    <n v="1.4613408065360156E-2"/>
    <n v="0.93467076619897183"/>
    <n v="16543.28"/>
    <n v="1156.3000000000025"/>
    <n v="51252.363711311424"/>
    <n v="34301.755416539076"/>
    <n v="748.97170522765055"/>
    <n v="52001.335416539077"/>
    <n v="16543.28"/>
    <n v="16543.28"/>
    <n v="0"/>
    <n v="0"/>
  </r>
  <r>
    <x v="17"/>
    <s v="B2S8"/>
    <x v="7"/>
    <m/>
    <x v="9"/>
    <d v="2021-02-20T00:00:00"/>
    <s v="Fim de Mês"/>
    <n v="7.256462133005126E-4"/>
    <n v="8"/>
    <n v="5.8199348712661969E-3"/>
    <n v="0.93467076619897183"/>
    <n v="0"/>
    <n v="0"/>
    <n v="34301.755416539076"/>
    <n v="34501.389399033433"/>
    <n v="199.63398249435991"/>
    <n v="34501.389399033433"/>
    <n v="16543.28"/>
    <n v="16543.28"/>
    <n v="0"/>
    <n v="0"/>
  </r>
  <r>
    <x v="49"/>
    <s v="B2S8"/>
    <x v="7"/>
    <n v="17699.580000000002"/>
    <x v="9"/>
    <d v="2021-03-20T00:00:00"/>
    <s v="Amortization"/>
    <n v="7.256462133005126E-4"/>
    <n v="20"/>
    <n v="1.4613408065360156E-2"/>
    <n v="0.96023521462091177"/>
    <n v="16995.759999999998"/>
    <n v="703.82000000000255"/>
    <n v="34501.389399033433"/>
    <n v="17305.992281143401"/>
    <n v="504.18288210996656"/>
    <n v="35005.572281143403"/>
    <n v="16995.759999999998"/>
    <n v="16995.759999999998"/>
    <n v="0"/>
    <n v="0"/>
  </r>
  <r>
    <x v="21"/>
    <s v="B2S8"/>
    <x v="7"/>
    <m/>
    <x v="9"/>
    <d v="2021-03-20T00:00:00"/>
    <s v="Fim de Mês"/>
    <n v="7.256462133005126E-4"/>
    <n v="11"/>
    <n v="8.0111324175500265E-3"/>
    <n v="0.96023521462091177"/>
    <n v="0"/>
    <n v="0"/>
    <n v="17305.992281143401"/>
    <n v="17444.632876924738"/>
    <n v="138.64059578133842"/>
    <n v="17444.632876924738"/>
    <n v="16995.759999999998"/>
    <n v="16995.759999999998"/>
    <n v="0"/>
    <n v="0"/>
  </r>
  <r>
    <x v="50"/>
    <s v="B2S8"/>
    <x v="7"/>
    <n v="17699.580000000002"/>
    <x v="9"/>
    <d v="2021-04-20T00:00:00"/>
    <s v="Amortization"/>
    <n v="7.256462133005126E-4"/>
    <n v="20"/>
    <n v="1.4613408065360156E-2"/>
    <n v="0.97776387914289475"/>
    <n v="17306.009999999998"/>
    <n v="393.57000000000289"/>
    <n v="17444.632876924738"/>
    <n v="-2.1584294365311507E-2"/>
    <n v="254.9255387808989"/>
    <n v="17699.558415705636"/>
    <n v="17306.009999999998"/>
    <n v="17306.009999999998"/>
    <n v="0"/>
    <n v="0"/>
  </r>
  <r>
    <x v="51"/>
    <s v="Jetbov"/>
    <x v="0"/>
    <n v="25960.3"/>
    <x v="10"/>
    <m/>
    <s v="disbursement"/>
    <s v=""/>
    <s v=""/>
    <s v=""/>
    <e v="#N/A"/>
    <s v=""/>
    <s v=""/>
    <s v=""/>
    <n v="25960.3"/>
    <s v=""/>
    <s v=""/>
    <s v=""/>
    <s v=""/>
    <s v=""/>
    <s v=""/>
  </r>
  <r>
    <x v="4"/>
    <s v="B2S8"/>
    <x v="7"/>
    <n v="0"/>
    <x v="10"/>
    <d v="2021-06-20T00:00:00"/>
    <s v="Fim de Mês"/>
    <n v="7.256462133005126E-4"/>
    <n v="6"/>
    <n v="4.3617833623268432E-3"/>
    <n v="0.76961616578455327"/>
    <n v="0"/>
    <n v="0"/>
    <n v="25960.3"/>
    <n v="26073.533204621013"/>
    <n v="113.23320462101354"/>
    <n v="26073.533204621013"/>
    <n v="25960.3"/>
    <n v="0"/>
    <n v="25960.3"/>
    <n v="33731.49"/>
  </r>
  <r>
    <x v="6"/>
    <s v="B2S8"/>
    <x v="7"/>
    <n v="0"/>
    <x v="10"/>
    <d v="2021-06-20T00:00:00"/>
    <s v="Fim de Mês"/>
    <n v="7.256462133005126E-4"/>
    <n v="31"/>
    <n v="2.2741610429993342E-2"/>
    <n v="0.76961616578455327"/>
    <n v="0"/>
    <n v="0"/>
    <n v="26073.533204621013"/>
    <n v="26666.487339293999"/>
    <n v="592.95413467298692"/>
    <n v="26666.487339293999"/>
    <n v="25960.3"/>
    <n v="0"/>
    <n v="25960.3"/>
    <n v="33731.49"/>
  </r>
  <r>
    <x v="8"/>
    <s v="B2S8"/>
    <x v="7"/>
    <n v="0"/>
    <x v="10"/>
    <d v="2021-06-20T00:00:00"/>
    <s v="Fim de Mês"/>
    <n v="7.256462133005126E-4"/>
    <n v="31"/>
    <n v="2.2741610429993342E-2"/>
    <n v="0.76961616578455327"/>
    <n v="0"/>
    <n v="0"/>
    <n v="26666.487339293999"/>
    <n v="27272.926205900574"/>
    <n v="606.43886660657381"/>
    <n v="27272.926205900574"/>
    <n v="25960.3"/>
    <n v="0"/>
    <n v="25960.3"/>
    <n v="33731.49"/>
  </r>
  <r>
    <x v="9"/>
    <s v="B2S8"/>
    <x v="7"/>
    <n v="0"/>
    <x v="10"/>
    <d v="2021-06-20T00:00:00"/>
    <s v="Fim de Mês"/>
    <n v="7.256462133005126E-4"/>
    <n v="30"/>
    <n v="2.2000000000000464E-2"/>
    <n v="0.76961616578455327"/>
    <n v="0"/>
    <n v="0"/>
    <n v="27272.926205900574"/>
    <n v="27872.930582430399"/>
    <n v="600.00437652982532"/>
    <n v="27872.930582430399"/>
    <n v="25960.3"/>
    <n v="0"/>
    <n v="25960.3"/>
    <n v="33731.49"/>
  </r>
  <r>
    <x v="11"/>
    <s v="B2S8"/>
    <x v="7"/>
    <n v="0"/>
    <x v="10"/>
    <d v="2021-06-20T00:00:00"/>
    <s v="Fim de Mês"/>
    <n v="7.256462133005126E-4"/>
    <n v="31"/>
    <n v="2.2741610429993342E-2"/>
    <n v="0.76961616578455327"/>
    <n v="0"/>
    <n v="0"/>
    <n v="27872.930582430399"/>
    <n v="28506.805911278279"/>
    <n v="633.87532884787959"/>
    <n v="28506.805911278279"/>
    <n v="25960.3"/>
    <n v="0"/>
    <n v="25960.3"/>
    <n v="33731.49"/>
  </r>
  <r>
    <x v="12"/>
    <s v="B2S8"/>
    <x v="7"/>
    <n v="0"/>
    <x v="10"/>
    <d v="2021-06-20T00:00:00"/>
    <s v="Fim de Mês"/>
    <n v="7.256462133005126E-4"/>
    <n v="30"/>
    <n v="2.2000000000000464E-2"/>
    <n v="0.76961616578455327"/>
    <n v="0"/>
    <n v="0"/>
    <n v="28506.805911278279"/>
    <n v="29133.955641326414"/>
    <n v="627.14973004813532"/>
    <n v="29133.955641326414"/>
    <n v="25960.3"/>
    <n v="0"/>
    <n v="25960.3"/>
    <n v="33731.49"/>
  </r>
  <r>
    <x v="14"/>
    <s v="B2S8"/>
    <x v="7"/>
    <n v="0"/>
    <x v="10"/>
    <d v="2021-06-20T00:00:00"/>
    <s v="Fim de Mês"/>
    <n v="7.256462133005126E-4"/>
    <n v="31"/>
    <n v="2.2741610429993342E-2"/>
    <n v="0.76961616578455327"/>
    <n v="0"/>
    <n v="0"/>
    <n v="29133.955641326414"/>
    <n v="29796.508710806167"/>
    <n v="662.55306947975214"/>
    <n v="29796.508710806167"/>
    <n v="25960.3"/>
    <n v="0"/>
    <n v="25960.3"/>
    <n v="33731.49"/>
  </r>
  <r>
    <x v="16"/>
    <s v="B2S8"/>
    <x v="7"/>
    <n v="0"/>
    <x v="10"/>
    <d v="2021-06-20T00:00:00"/>
    <s v="Fim de Mês"/>
    <n v="7.256462133005126E-4"/>
    <n v="31"/>
    <n v="2.2741610429993342E-2"/>
    <n v="0.76961616578455327"/>
    <n v="0"/>
    <n v="0"/>
    <n v="29796.508710806167"/>
    <n v="30474.129304081223"/>
    <n v="677.62059327505699"/>
    <n v="30474.129304081223"/>
    <n v="25960.3"/>
    <n v="0"/>
    <n v="25960.3"/>
    <n v="33731.49"/>
  </r>
  <r>
    <x v="17"/>
    <s v="B2S8"/>
    <x v="7"/>
    <n v="0"/>
    <x v="10"/>
    <d v="2021-06-20T00:00:00"/>
    <s v="Fim de Mês"/>
    <n v="7.256462133005126E-4"/>
    <n v="28"/>
    <n v="2.051839201981398E-2"/>
    <n v="0.76961616578455327"/>
    <n v="0"/>
    <n v="0"/>
    <n v="30474.129304081223"/>
    <n v="31099.409435604863"/>
    <n v="625.28013152363951"/>
    <n v="31099.409435604863"/>
    <n v="25960.3"/>
    <n v="0"/>
    <n v="25960.3"/>
    <n v="33731.49"/>
  </r>
  <r>
    <x v="21"/>
    <s v="B2S8"/>
    <x v="7"/>
    <n v="0"/>
    <x v="10"/>
    <d v="2021-06-20T00:00:00"/>
    <s v="Fim de Mês"/>
    <n v="7.256462133005126E-4"/>
    <n v="31"/>
    <n v="2.2741610429993342E-2"/>
    <n v="0.76961616578455327"/>
    <n v="0"/>
    <n v="0"/>
    <n v="31099.409435604863"/>
    <n v="31806.660089592249"/>
    <n v="707.25065398738491"/>
    <n v="31806.660089592249"/>
    <n v="25960.3"/>
    <n v="0"/>
    <n v="25960.3"/>
    <n v="33731.49"/>
  </r>
  <r>
    <x v="22"/>
    <s v="B2S8"/>
    <x v="7"/>
    <n v="0"/>
    <x v="10"/>
    <d v="2021-06-20T00:00:00"/>
    <s v="Fim de Mês"/>
    <n v="7.256462133005126E-4"/>
    <n v="30"/>
    <n v="2.2000000000000464E-2"/>
    <n v="0.76961616578455327"/>
    <n v="0"/>
    <n v="0"/>
    <n v="31806.660089592249"/>
    <n v="32506.406611563292"/>
    <n v="699.74652197104422"/>
    <n v="32506.406611563292"/>
    <n v="25960.3"/>
    <n v="0"/>
    <n v="25960.3"/>
    <n v="33731.49"/>
  </r>
  <r>
    <x v="52"/>
    <s v="B2S8"/>
    <x v="7"/>
    <n v="0"/>
    <x v="10"/>
    <d v="2021-06-20T00:00:00"/>
    <s v="Fim de Mês"/>
    <n v="7.256462133005126E-4"/>
    <n v="31"/>
    <n v="2.2741610429993342E-2"/>
    <n v="0.76961616578455327"/>
    <n v="0"/>
    <n v="0"/>
    <n v="32506.406611563292"/>
    <n v="33245.654647202427"/>
    <n v="739.24803563913224"/>
    <n v="33245.654647202427"/>
    <n v="25960.3"/>
    <n v="0"/>
    <n v="25960.3"/>
    <n v="33731.49"/>
  </r>
  <r>
    <x v="53"/>
    <s v="B2S8"/>
    <x v="7"/>
    <n v="33731.49"/>
    <x v="10"/>
    <d v="2021-06-20T00:00:00"/>
    <s v="Amortization"/>
    <n v="7.256462133005126E-4"/>
    <n v="20"/>
    <n v="1.4613408065360156E-2"/>
    <n v="0.76961616578455327"/>
    <n v="25960.3"/>
    <n v="7771.1899999999987"/>
    <n v="33245.654647202427"/>
    <n v="-3.0350379674928263E-3"/>
    <n v="485.83231775960633"/>
    <n v="33731.48696496203"/>
    <n v="25960.3"/>
    <n v="25960.3"/>
    <n v="0"/>
    <n v="0"/>
  </r>
  <r>
    <x v="54"/>
    <s v="Linktel"/>
    <x v="0"/>
    <n v="50737.06"/>
    <x v="11"/>
    <m/>
    <s v="disbursement"/>
    <s v=""/>
    <s v=""/>
    <s v=""/>
    <e v="#N/A"/>
    <s v=""/>
    <s v=""/>
    <s v=""/>
    <n v="50737.06"/>
    <s v=""/>
    <s v=""/>
    <s v=""/>
    <s v=""/>
    <s v=""/>
    <s v=""/>
  </r>
  <r>
    <x v="3"/>
    <s v="B2S8"/>
    <x v="8"/>
    <n v="0"/>
    <x v="11"/>
    <d v="2021-04-29T00:00:00"/>
    <s v="Fim de Mês"/>
    <n v="7.9086345495804622E-4"/>
    <n v="16"/>
    <n v="1.2729148801356782E-2"/>
    <n v="0.75888711445994061"/>
    <n v="0"/>
    <n v="0"/>
    <n v="50737.06"/>
    <n v="51382.899586483363"/>
    <n v="645.83958648336716"/>
    <n v="51382.899586483363"/>
    <n v="50737.06"/>
    <n v="0"/>
    <n v="50737.06"/>
    <n v="66857.19"/>
  </r>
  <r>
    <x v="4"/>
    <s v="B2S8"/>
    <x v="8"/>
    <n v="0"/>
    <x v="11"/>
    <d v="2021-04-29T00:00:00"/>
    <s v="Fim de Mês"/>
    <n v="7.9086345495804622E-4"/>
    <n v="30"/>
    <n v="2.4000000000002242E-2"/>
    <n v="0.75888711445994061"/>
    <n v="0"/>
    <n v="0"/>
    <n v="51382.899586483363"/>
    <n v="52616.089176559079"/>
    <n v="1233.1895900757158"/>
    <n v="52616.089176559079"/>
    <n v="50737.06"/>
    <n v="0"/>
    <n v="50737.06"/>
    <n v="66857.19"/>
  </r>
  <r>
    <x v="6"/>
    <s v="B2S8"/>
    <x v="8"/>
    <n v="0"/>
    <x v="11"/>
    <d v="2021-04-29T00:00:00"/>
    <s v="Fim de Mês"/>
    <n v="7.9086345495804622E-4"/>
    <n v="31"/>
    <n v="2.4809844177879015E-2"/>
    <n v="0.75888711445994061"/>
    <n v="0"/>
    <n v="0"/>
    <n v="52616.089176559079"/>
    <n v="53921.486150278899"/>
    <n v="1305.3969737198172"/>
    <n v="53921.486150278899"/>
    <n v="50737.06"/>
    <n v="0"/>
    <n v="50737.06"/>
    <n v="66857.19"/>
  </r>
  <r>
    <x v="8"/>
    <s v="B2S8"/>
    <x v="8"/>
    <n v="0"/>
    <x v="11"/>
    <d v="2021-04-29T00:00:00"/>
    <s v="Fim de Mês"/>
    <n v="7.9086345495804622E-4"/>
    <n v="31"/>
    <n v="2.4809844177879015E-2"/>
    <n v="0.75888711445994061"/>
    <n v="0"/>
    <n v="0"/>
    <n v="53921.486150278899"/>
    <n v="55259.269819506982"/>
    <n v="1337.783669228081"/>
    <n v="55259.269819506982"/>
    <n v="50737.06"/>
    <n v="0"/>
    <n v="50737.06"/>
    <n v="66857.19"/>
  </r>
  <r>
    <x v="9"/>
    <s v="B2S8"/>
    <x v="8"/>
    <n v="0"/>
    <x v="11"/>
    <d v="2021-04-29T00:00:00"/>
    <s v="Fim de Mês"/>
    <n v="7.9086345495804622E-4"/>
    <n v="30"/>
    <n v="2.4000000000002242E-2"/>
    <n v="0.75888711445994061"/>
    <n v="0"/>
    <n v="0"/>
    <n v="55259.269819506982"/>
    <n v="56585.492295175274"/>
    <n v="1326.2224756682915"/>
    <n v="56585.492295175274"/>
    <n v="50737.06"/>
    <n v="0"/>
    <n v="50737.06"/>
    <n v="66857.19"/>
  </r>
  <r>
    <x v="11"/>
    <s v="B2S8"/>
    <x v="8"/>
    <n v="0"/>
    <x v="11"/>
    <d v="2021-04-29T00:00:00"/>
    <s v="Fim de Mês"/>
    <n v="7.9086345495804622E-4"/>
    <n v="31"/>
    <n v="2.4809844177879015E-2"/>
    <n v="0.75888711445994061"/>
    <n v="0"/>
    <n v="0"/>
    <n v="56585.492295175274"/>
    <n v="57989.369541747146"/>
    <n v="1403.8772465718721"/>
    <n v="57989.369541747146"/>
    <n v="50737.06"/>
    <n v="0"/>
    <n v="50737.06"/>
    <n v="66857.19"/>
  </r>
  <r>
    <x v="12"/>
    <s v="B2S8"/>
    <x v="8"/>
    <n v="0"/>
    <x v="11"/>
    <d v="2021-04-29T00:00:00"/>
    <s v="Fim de Mês"/>
    <n v="7.9086345495804622E-4"/>
    <n v="30"/>
    <n v="2.4000000000002242E-2"/>
    <n v="0.75888711445994061"/>
    <n v="0"/>
    <n v="0"/>
    <n v="57989.369541747146"/>
    <n v="59381.114410749207"/>
    <n v="1391.7448690020615"/>
    <n v="59381.114410749207"/>
    <n v="50737.06"/>
    <n v="0"/>
    <n v="50737.06"/>
    <n v="66857.19"/>
  </r>
  <r>
    <x v="14"/>
    <s v="B2S8"/>
    <x v="8"/>
    <n v="0"/>
    <x v="11"/>
    <d v="2021-04-29T00:00:00"/>
    <s v="Fim de Mês"/>
    <n v="7.9086345495804622E-4"/>
    <n v="31"/>
    <n v="2.4809844177879015E-2"/>
    <n v="0.75888711445994061"/>
    <n v="0"/>
    <n v="0"/>
    <n v="59381.114410749207"/>
    <n v="60854.350606388703"/>
    <n v="1473.2361956394939"/>
    <n v="60854.350606388703"/>
    <n v="50737.06"/>
    <n v="0"/>
    <n v="50737.06"/>
    <n v="66857.19"/>
  </r>
  <r>
    <x v="16"/>
    <s v="B2S8"/>
    <x v="8"/>
    <n v="0"/>
    <x v="11"/>
    <d v="2021-04-29T00:00:00"/>
    <s v="Fim de Mês"/>
    <n v="7.9086345495804622E-4"/>
    <n v="31"/>
    <n v="2.4809844177879015E-2"/>
    <n v="0.75888711445994061"/>
    <n v="0"/>
    <n v="0"/>
    <n v="60854.350606388703"/>
    <n v="62364.137562479227"/>
    <n v="1509.786956090521"/>
    <n v="62364.137562479227"/>
    <n v="50737.06"/>
    <n v="0"/>
    <n v="50737.06"/>
    <n v="66857.19"/>
  </r>
  <r>
    <x v="17"/>
    <s v="B2S8"/>
    <x v="8"/>
    <n v="0"/>
    <x v="11"/>
    <d v="2021-04-29T00:00:00"/>
    <s v="Fim de Mês"/>
    <n v="7.9086345495804622E-4"/>
    <n v="28"/>
    <n v="2.2382231048625689E-2"/>
    <n v="0.75888711445994061"/>
    <n v="0"/>
    <n v="0"/>
    <n v="62364.137562479227"/>
    <n v="63759.986098550915"/>
    <n v="1395.8485360716861"/>
    <n v="63759.986098550915"/>
    <n v="50737.06"/>
    <n v="0"/>
    <n v="50737.06"/>
    <n v="66857.19"/>
  </r>
  <r>
    <x v="21"/>
    <s v="B2S8"/>
    <x v="8"/>
    <n v="0"/>
    <x v="11"/>
    <d v="2021-04-29T00:00:00"/>
    <s v="Fim de Mês"/>
    <n v="7.9086345495804622E-4"/>
    <n v="31"/>
    <n v="2.4809844177879015E-2"/>
    <n v="0.75888711445994061"/>
    <n v="0"/>
    <n v="0"/>
    <n v="63759.986098550915"/>
    <n v="65341.861418439694"/>
    <n v="1581.8753198887803"/>
    <n v="65341.861418439694"/>
    <n v="50737.06"/>
    <n v="0"/>
    <n v="50737.06"/>
    <n v="66857.19"/>
  </r>
  <r>
    <x v="55"/>
    <s v="B2S8"/>
    <x v="8"/>
    <n v="66857.19"/>
    <x v="11"/>
    <d v="2021-04-29T00:00:00"/>
    <s v="Amortization"/>
    <n v="7.9086345495804622E-4"/>
    <n v="29"/>
    <n v="2.3190795792160657E-2"/>
    <n v="0.75888711445994061"/>
    <n v="50737.06"/>
    <n v="16120.130000000003"/>
    <n v="65341.861418439694"/>
    <n v="1.1832743912236765E-3"/>
    <n v="1515.3297648346961"/>
    <n v="66857.191183274394"/>
    <n v="50737.06"/>
    <n v="50737.06"/>
    <n v="0"/>
    <n v="0"/>
  </r>
  <r>
    <x v="56"/>
    <s v="Linktel"/>
    <x v="0"/>
    <n v="40744.36"/>
    <x v="12"/>
    <m/>
    <s v="disbursement"/>
    <s v=""/>
    <s v=""/>
    <s v=""/>
    <e v="#N/A"/>
    <s v=""/>
    <s v=""/>
    <s v=""/>
    <n v="40744.36"/>
    <s v=""/>
    <s v=""/>
    <s v=""/>
    <s v=""/>
    <s v=""/>
    <s v=""/>
  </r>
  <r>
    <x v="4"/>
    <s v="B2S8"/>
    <x v="8"/>
    <n v="0"/>
    <x v="12"/>
    <d v="2021-05-29T00:00:00"/>
    <s v="Fim de Mês"/>
    <n v="7.9086345495804622E-4"/>
    <n v="18"/>
    <n v="1.4331643175113928E-2"/>
    <n v="0.75768825301624909"/>
    <n v="0"/>
    <n v="0"/>
    <n v="40744.36"/>
    <n v="41328.293628918385"/>
    <n v="583.9336289183849"/>
    <n v="41328.293628918385"/>
    <n v="40744.36"/>
    <n v="0"/>
    <n v="40744.36"/>
    <n v="53774.570000000007"/>
  </r>
  <r>
    <x v="6"/>
    <s v="B2S8"/>
    <x v="8"/>
    <n v="0"/>
    <x v="12"/>
    <d v="2021-05-29T00:00:00"/>
    <s v="Fim de Mês"/>
    <n v="7.9086345495804622E-4"/>
    <n v="31"/>
    <n v="2.4809844177879015E-2"/>
    <n v="0.75768825301624909"/>
    <n v="0"/>
    <n v="0"/>
    <n v="41328.293628918385"/>
    <n v="42353.64215398948"/>
    <n v="1025.3485250710951"/>
    <n v="42353.64215398948"/>
    <n v="40744.36"/>
    <n v="0"/>
    <n v="40744.36"/>
    <n v="53774.570000000007"/>
  </r>
  <r>
    <x v="8"/>
    <s v="B2S8"/>
    <x v="8"/>
    <n v="0"/>
    <x v="12"/>
    <d v="2021-05-29T00:00:00"/>
    <s v="Fim de Mês"/>
    <n v="7.9086345495804622E-4"/>
    <n v="31"/>
    <n v="2.4809844177879015E-2"/>
    <n v="0.75768825301624909"/>
    <n v="0"/>
    <n v="0"/>
    <n v="42353.64215398948"/>
    <n v="43404.429416195606"/>
    <n v="1050.787262206127"/>
    <n v="43404.429416195606"/>
    <n v="40744.36"/>
    <n v="0"/>
    <n v="40744.36"/>
    <n v="53774.570000000007"/>
  </r>
  <r>
    <x v="9"/>
    <s v="B2S8"/>
    <x v="8"/>
    <n v="0"/>
    <x v="12"/>
    <d v="2021-05-29T00:00:00"/>
    <s v="Fim de Mês"/>
    <n v="7.9086345495804622E-4"/>
    <n v="30"/>
    <n v="2.4000000000002242E-2"/>
    <n v="0.75768825301624909"/>
    <n v="0"/>
    <n v="0"/>
    <n v="43404.429416195606"/>
    <n v="44446.135722184401"/>
    <n v="1041.7063059887919"/>
    <n v="44446.135722184401"/>
    <n v="40744.36"/>
    <n v="0"/>
    <n v="40744.36"/>
    <n v="53774.570000000007"/>
  </r>
  <r>
    <x v="11"/>
    <s v="B2S8"/>
    <x v="8"/>
    <n v="0"/>
    <x v="12"/>
    <d v="2021-05-29T00:00:00"/>
    <s v="Fim de Mês"/>
    <n v="7.9086345495804622E-4"/>
    <n v="31"/>
    <n v="2.4809844177879015E-2"/>
    <n v="0.75768825301624909"/>
    <n v="0"/>
    <n v="0"/>
    <n v="44446.135722184401"/>
    <n v="45548.837423760655"/>
    <n v="1102.7017015762572"/>
    <n v="45548.837423760655"/>
    <n v="40744.36"/>
    <n v="0"/>
    <n v="40744.36"/>
    <n v="53774.570000000007"/>
  </r>
  <r>
    <x v="12"/>
    <s v="B2S8"/>
    <x v="8"/>
    <n v="0"/>
    <x v="12"/>
    <d v="2021-05-29T00:00:00"/>
    <s v="Fim de Mês"/>
    <n v="7.9086345495804622E-4"/>
    <n v="30"/>
    <n v="2.4000000000002242E-2"/>
    <n v="0.75768825301624909"/>
    <n v="0"/>
    <n v="0"/>
    <n v="45548.837423760655"/>
    <n v="46642.00952193101"/>
    <n v="1093.1720981703579"/>
    <n v="46642.00952193101"/>
    <n v="40744.36"/>
    <n v="0"/>
    <n v="40744.36"/>
    <n v="53774.570000000007"/>
  </r>
  <r>
    <x v="14"/>
    <s v="B2S8"/>
    <x v="8"/>
    <n v="0"/>
    <x v="12"/>
    <d v="2021-05-29T00:00:00"/>
    <s v="Fim de Mês"/>
    <n v="7.9086345495804622E-4"/>
    <n v="31"/>
    <n v="2.4809844177879015E-2"/>
    <n v="0.75768825301624909"/>
    <n v="0"/>
    <n v="0"/>
    <n v="46642.00952193101"/>
    <n v="47799.190510313267"/>
    <n v="1157.1809883822575"/>
    <n v="47799.190510313267"/>
    <n v="40744.36"/>
    <n v="0"/>
    <n v="40744.36"/>
    <n v="53774.570000000007"/>
  </r>
  <r>
    <x v="16"/>
    <s v="B2S8"/>
    <x v="8"/>
    <n v="0"/>
    <x v="12"/>
    <d v="2021-05-29T00:00:00"/>
    <s v="Fim de Mês"/>
    <n v="7.9086345495804622E-4"/>
    <n v="31"/>
    <n v="2.4809844177879015E-2"/>
    <n v="0.75768825301624909"/>
    <n v="0"/>
    <n v="0"/>
    <n v="47799.190510313267"/>
    <n v="48985.080978702892"/>
    <n v="1185.8904683896255"/>
    <n v="48985.080978702892"/>
    <n v="40744.36"/>
    <n v="0"/>
    <n v="40744.36"/>
    <n v="53774.570000000007"/>
  </r>
  <r>
    <x v="17"/>
    <s v="B2S8"/>
    <x v="8"/>
    <n v="0"/>
    <x v="12"/>
    <d v="2021-05-29T00:00:00"/>
    <s v="Fim de Mês"/>
    <n v="7.9086345495804622E-4"/>
    <n v="28"/>
    <n v="2.2382231048625689E-2"/>
    <n v="0.75768825301624909"/>
    <n v="0"/>
    <n v="0"/>
    <n v="48985.080978702892"/>
    <n v="50081.476379103857"/>
    <n v="1096.3954004009674"/>
    <n v="50081.476379103857"/>
    <n v="40744.36"/>
    <n v="0"/>
    <n v="40744.36"/>
    <n v="53774.570000000007"/>
  </r>
  <r>
    <x v="21"/>
    <s v="B2S8"/>
    <x v="8"/>
    <n v="0"/>
    <x v="12"/>
    <d v="2021-05-29T00:00:00"/>
    <s v="Fim de Mês"/>
    <n v="7.9086345495804622E-4"/>
    <n v="31"/>
    <n v="2.4809844177879015E-2"/>
    <n v="0.75768825301624909"/>
    <n v="0"/>
    <n v="0"/>
    <n v="50081.476379103857"/>
    <n v="51323.990004267551"/>
    <n v="1242.5136251636952"/>
    <n v="51323.990004267551"/>
    <n v="40744.36"/>
    <n v="0"/>
    <n v="40744.36"/>
    <n v="53774.570000000007"/>
  </r>
  <r>
    <x v="22"/>
    <s v="B2S8"/>
    <x v="8"/>
    <n v="0"/>
    <x v="12"/>
    <d v="2021-05-29T00:00:00"/>
    <s v="Fim de Mês"/>
    <n v="7.9086345495804622E-4"/>
    <n v="30"/>
    <n v="2.4000000000002242E-2"/>
    <n v="0.75768825301624909"/>
    <n v="0"/>
    <n v="0"/>
    <n v="51323.990004267551"/>
    <n v="52555.765764370088"/>
    <n v="1231.7757601025362"/>
    <n v="52555.765764370088"/>
    <n v="40744.36"/>
    <n v="0"/>
    <n v="40744.36"/>
    <n v="53774.570000000007"/>
  </r>
  <r>
    <x v="57"/>
    <s v="B2S8"/>
    <x v="8"/>
    <n v="53774.570000000007"/>
    <x v="12"/>
    <d v="2021-05-29T00:00:00"/>
    <s v="Amortization"/>
    <n v="7.9086345495804622E-4"/>
    <n v="29"/>
    <n v="2.3190795792160657E-2"/>
    <n v="0.75768825301624909"/>
    <n v="40744.36"/>
    <n v="13030.210000000005"/>
    <n v="52555.765764370088"/>
    <n v="5.7959122132160701E-3"/>
    <n v="1218.810031542135"/>
    <n v="53774.57579591222"/>
    <n v="40744.36"/>
    <n v="40744.36"/>
    <n v="0"/>
    <n v="0"/>
  </r>
  <r>
    <x v="58"/>
    <s v="MAIS INTERNET"/>
    <x v="0"/>
    <n v="103039.67"/>
    <x v="13"/>
    <m/>
    <s v="disbursement"/>
    <s v=""/>
    <s v=""/>
    <s v=""/>
    <e v="#N/A"/>
    <s v=""/>
    <s v=""/>
    <s v=""/>
    <n v="103039.67"/>
    <s v=""/>
    <s v=""/>
    <s v=""/>
    <s v=""/>
    <s v=""/>
    <s v=""/>
  </r>
  <r>
    <x v="41"/>
    <s v="B2S8"/>
    <x v="9"/>
    <m/>
    <x v="13"/>
    <d v="2020-07-20T00:00:00"/>
    <s v="Amortization"/>
    <n v="4.9641025393465377E-4"/>
    <n v="13"/>
    <n v="6.4725893350574548E-3"/>
    <n v="9.9999999999999991E-22"/>
    <n v="0"/>
    <n v="0"/>
    <n v="103039.67"/>
    <n v="103706.60346912984"/>
    <n v="666.93346912983952"/>
    <n v="103706.60346912984"/>
    <n v="0"/>
    <n v="0"/>
    <n v="0"/>
    <n v="0"/>
  </r>
  <r>
    <x v="6"/>
    <s v="B2S8"/>
    <x v="9"/>
    <n v="0"/>
    <x v="13"/>
    <d v="2020-07-20T00:00:00"/>
    <s v="Fim de Mês"/>
    <n v="4.9641025393465377E-4"/>
    <n v="11"/>
    <n v="5.4740862699960147E-3"/>
    <n v="9.9999999999999991E-22"/>
    <n v="0"/>
    <n v="0"/>
    <n v="103706.60346912984"/>
    <n v="104274.30236328812"/>
    <n v="567.6988941582847"/>
    <n v="104274.30236328812"/>
    <n v="0"/>
    <n v="0"/>
    <n v="0"/>
    <n v="0"/>
  </r>
  <r>
    <x v="42"/>
    <s v="B2S8"/>
    <x v="9"/>
    <n v="0"/>
    <x v="13"/>
    <d v="2020-08-20T00:00:00"/>
    <s v="Amortization"/>
    <n v="4.9641025393465377E-4"/>
    <n v="20"/>
    <n v="9.9751652227595411E-3"/>
    <n v="1"/>
    <n v="0"/>
    <n v="0"/>
    <n v="104274.30236328812"/>
    <n v="105314.45575784991"/>
    <n v="1040.1533945617848"/>
    <n v="105314.45575784991"/>
    <n v="0"/>
    <n v="0"/>
    <n v="0"/>
    <n v="0"/>
  </r>
  <r>
    <x v="8"/>
    <s v="B2S8"/>
    <x v="9"/>
    <n v="0"/>
    <x v="13"/>
    <d v="2020-08-20T00:00:00"/>
    <s v="Fim de Mês"/>
    <n v="4.9641025393465377E-4"/>
    <n v="11"/>
    <n v="5.4740862699960147E-3"/>
    <n v="1"/>
    <n v="0"/>
    <n v="0"/>
    <n v="105314.45575784991"/>
    <n v="105890.95617414606"/>
    <n v="576.50041629614896"/>
    <n v="105890.95617414606"/>
    <n v="0"/>
    <n v="0"/>
    <n v="0"/>
    <n v="0"/>
  </r>
  <r>
    <x v="43"/>
    <s v="B2S8"/>
    <x v="9"/>
    <n v="11186.7"/>
    <x v="13"/>
    <d v="2020-09-20T00:00:00"/>
    <s v="Amortization"/>
    <n v="4.9641025393465377E-4"/>
    <n v="20"/>
    <n v="9.9751652227595411E-3"/>
    <n v="0.85719470442579127"/>
    <n v="9589.18"/>
    <n v="1597.5200000000009"/>
    <n v="105890.95617414606"/>
    <n v="95760.535957579166"/>
    <n v="1056.2797834330966"/>
    <n v="106947.23595757916"/>
    <n v="9589.18"/>
    <n v="9589.18"/>
    <n v="0"/>
    <n v="0"/>
  </r>
  <r>
    <x v="9"/>
    <s v="B2S8"/>
    <x v="9"/>
    <n v="0"/>
    <x v="13"/>
    <d v="2020-09-20T00:00:00"/>
    <s v="Fim de Mês"/>
    <n v="4.9641025393465377E-4"/>
    <n v="10"/>
    <n v="4.9752062726520219E-3"/>
    <n v="0.85719470442579127"/>
    <n v="0"/>
    <n v="0"/>
    <n v="95760.535957579166"/>
    <n v="96236.964376747826"/>
    <n v="476.42841916866735"/>
    <n v="96236.964376747826"/>
    <n v="9589.18"/>
    <n v="9589.18"/>
    <n v="0"/>
    <n v="0"/>
  </r>
  <r>
    <x v="44"/>
    <s v="B2S8"/>
    <x v="9"/>
    <n v="11186.7"/>
    <x v="13"/>
    <d v="2020-10-20T00:00:00"/>
    <s v="Amortization"/>
    <n v="4.9641025393465377E-4"/>
    <n v="20"/>
    <n v="9.9751652227595411E-3"/>
    <n v="0.87469405633475461"/>
    <n v="9784.94"/>
    <n v="1401.7600000000007"/>
    <n v="96236.964376747826"/>
    <n v="86010.243996942707"/>
    <n v="959.97962019488375"/>
    <n v="97196.943996942704"/>
    <n v="9784.94"/>
    <n v="9784.94"/>
    <n v="0"/>
    <n v="0"/>
  </r>
  <r>
    <x v="11"/>
    <s v="B2S8"/>
    <x v="9"/>
    <n v="0"/>
    <x v="13"/>
    <d v="2020-10-20T00:00:00"/>
    <s v="Fim de Mês"/>
    <n v="4.9641025393465377E-4"/>
    <n v="11"/>
    <n v="5.4740862699960147E-3"/>
    <n v="0.87469405633475461"/>
    <n v="0"/>
    <n v="0"/>
    <n v="86010.243996942707"/>
    <n v="86481.071492685383"/>
    <n v="470.8274957426712"/>
    <n v="86481.071492685383"/>
    <n v="9784.94"/>
    <n v="9784.94"/>
    <n v="0"/>
    <n v="0"/>
  </r>
  <r>
    <x v="45"/>
    <s v="B2S8"/>
    <x v="9"/>
    <n v="11186.7"/>
    <x v="13"/>
    <d v="2020-11-20T00:00:00"/>
    <s v="Amortization"/>
    <n v="4.9641025393465377E-4"/>
    <n v="20"/>
    <n v="9.9751652227595411E-3"/>
    <n v="0.8840462334736785"/>
    <n v="9889.56"/>
    <n v="1297.1400000000008"/>
    <n v="86481.071492685383"/>
    <n v="76157.034469466205"/>
    <n v="862.66297678081685"/>
    <n v="87343.734469466202"/>
    <n v="9889.56"/>
    <n v="9889.56"/>
    <n v="0"/>
    <n v="0"/>
  </r>
  <r>
    <x v="12"/>
    <s v="B2S8"/>
    <x v="9"/>
    <n v="0"/>
    <x v="13"/>
    <d v="2020-11-20T00:00:00"/>
    <s v="Fim de Mês"/>
    <n v="4.9641025393465377E-4"/>
    <n v="10"/>
    <n v="4.9752062726520219E-3"/>
    <n v="0.8840462334736785"/>
    <n v="0"/>
    <n v="0"/>
    <n v="76157.034469466205"/>
    <n v="76535.931425065268"/>
    <n v="378.89695559906448"/>
    <n v="76535.931425065268"/>
    <n v="9889.56"/>
    <n v="9889.56"/>
    <n v="0"/>
    <n v="0"/>
  </r>
  <r>
    <x v="46"/>
    <s v="B2S8"/>
    <x v="9"/>
    <n v="11186.7"/>
    <x v="13"/>
    <d v="2020-12-20T00:00:00"/>
    <s v="Amortization"/>
    <n v="4.9641025393465377E-4"/>
    <n v="20"/>
    <n v="9.9751652227595411E-3"/>
    <n v="0.90107538416154886"/>
    <n v="10080.06"/>
    <n v="1106.6400000000015"/>
    <n v="76535.931425065268"/>
    <n v="66112.689986508092"/>
    <n v="763.45856144282016"/>
    <n v="77299.389986508089"/>
    <n v="10080.06"/>
    <n v="10080.06"/>
    <n v="0"/>
    <n v="0"/>
  </r>
  <r>
    <x v="14"/>
    <s v="B2S8"/>
    <x v="9"/>
    <n v="0"/>
    <x v="13"/>
    <d v="2020-12-20T00:00:00"/>
    <s v="Fim de Mês"/>
    <n v="4.9641025393465377E-4"/>
    <n v="11"/>
    <n v="5.4740862699960147E-3"/>
    <n v="0.90107538416154886"/>
    <n v="0"/>
    <n v="0"/>
    <n v="66112.689986508092"/>
    <n v="66474.596555035736"/>
    <n v="361.90656852764693"/>
    <n v="66474.596555035736"/>
    <n v="10080.06"/>
    <n v="10080.06"/>
    <n v="0"/>
    <n v="0"/>
  </r>
  <r>
    <x v="47"/>
    <s v="B2S8"/>
    <x v="9"/>
    <n v="11186.7"/>
    <x v="13"/>
    <d v="2021-01-20T00:00:00"/>
    <s v="Amortization"/>
    <n v="4.9641025393465377E-4"/>
    <n v="20"/>
    <n v="9.9751652227595411E-3"/>
    <n v="0.91172195553648527"/>
    <n v="10199.16"/>
    <n v="987.5400000000003"/>
    <n v="66474.596555035736"/>
    <n v="55950.991638788502"/>
    <n v="663.09508375276368"/>
    <n v="67137.691638788499"/>
    <n v="10199.16"/>
    <n v="10199.16"/>
    <n v="0"/>
    <n v="0"/>
  </r>
  <r>
    <x v="16"/>
    <s v="B2S8"/>
    <x v="9"/>
    <n v="0"/>
    <x v="13"/>
    <d v="2021-01-20T00:00:00"/>
    <s v="Fim de Mês"/>
    <n v="4.9641025393465377E-4"/>
    <n v="11"/>
    <n v="5.4740862699960147E-3"/>
    <n v="0.91172195553648527"/>
    <n v="0"/>
    <n v="0"/>
    <n v="55950.991638788502"/>
    <n v="56257.272193911056"/>
    <n v="306.28055512255395"/>
    <n v="56257.272193911056"/>
    <n v="10199.16"/>
    <n v="10199.16"/>
    <n v="0"/>
    <n v="0"/>
  </r>
  <r>
    <x v="48"/>
    <s v="B2S8"/>
    <x v="9"/>
    <n v="11186.7"/>
    <x v="13"/>
    <d v="2021-02-20T00:00:00"/>
    <s v="Amortization"/>
    <n v="4.9641025393465377E-4"/>
    <n v="20"/>
    <n v="9.9751652227595411E-3"/>
    <n v="0.92585749148542462"/>
    <n v="10357.290000000001"/>
    <n v="829.41000000000042"/>
    <n v="56257.272193911056"/>
    <n v="45631.747779027079"/>
    <n v="561.17558511601896"/>
    <n v="56818.447779027076"/>
    <n v="10357.290000000001"/>
    <n v="10357.290000000001"/>
    <n v="0"/>
    <n v="0"/>
  </r>
  <r>
    <x v="17"/>
    <s v="B2S8"/>
    <x v="9"/>
    <n v="0"/>
    <x v="13"/>
    <d v="2021-02-20T00:00:00"/>
    <s v="Fim de Mês"/>
    <n v="4.9641025393465377E-4"/>
    <n v="8"/>
    <n v="3.9781887339656041E-3"/>
    <n v="0.92585749148542462"/>
    <n v="0"/>
    <n v="0"/>
    <n v="45631.747779027079"/>
    <n v="45813.279483952763"/>
    <n v="181.53170492568549"/>
    <n v="45813.279483952763"/>
    <n v="10357.290000000001"/>
    <n v="10357.290000000001"/>
    <n v="0"/>
    <n v="0"/>
  </r>
  <r>
    <x v="49"/>
    <s v="B2S8"/>
    <x v="9"/>
    <n v="11186.7"/>
    <x v="13"/>
    <d v="2021-03-20T00:00:00"/>
    <s v="Amortization"/>
    <n v="4.9641025393465377E-4"/>
    <n v="20"/>
    <n v="9.9751652227595411E-3"/>
    <n v="0.94603770548955457"/>
    <n v="10583.04"/>
    <n v="603.66"/>
    <n v="45813.279483952763"/>
    <n v="35083.574516201654"/>
    <n v="456.99503224888878"/>
    <n v="46270.274516201651"/>
    <n v="10583.04"/>
    <n v="10583.04"/>
    <n v="0"/>
    <n v="0"/>
  </r>
  <r>
    <x v="21"/>
    <s v="B2S8"/>
    <x v="9"/>
    <n v="0"/>
    <x v="13"/>
    <d v="2021-03-20T00:00:00"/>
    <s v="Fim de Mês"/>
    <n v="4.9641025393465377E-4"/>
    <n v="11"/>
    <n v="5.4740862699960147E-3"/>
    <n v="0.94603770548955457"/>
    <n v="0"/>
    <n v="0"/>
    <n v="35083.574516201654"/>
    <n v="35275.625029763178"/>
    <n v="192.05051356152154"/>
    <n v="35275.625029763178"/>
    <n v="10583.04"/>
    <n v="10583.04"/>
    <n v="0"/>
    <n v="0"/>
  </r>
  <r>
    <x v="50"/>
    <s v="B2S8"/>
    <x v="9"/>
    <n v="11186.7"/>
    <x v="13"/>
    <d v="2021-04-20T00:00:00"/>
    <s v="Amortization"/>
    <n v="4.9641025393465377E-4"/>
    <n v="20"/>
    <n v="9.9751652227595411E-3"/>
    <n v="0.95487945506717797"/>
    <n v="10681.95"/>
    <n v="504.75000000000017"/>
    <n v="35275.625029763178"/>
    <n v="24440.805217771176"/>
    <n v="351.88018800799966"/>
    <n v="35627.505217771177"/>
    <n v="10681.95"/>
    <n v="10681.95"/>
    <n v="0"/>
    <n v="0"/>
  </r>
  <r>
    <x v="22"/>
    <s v="B2S8"/>
    <x v="9"/>
    <n v="0"/>
    <x v="13"/>
    <d v="2021-04-20T00:00:00"/>
    <s v="Fim de Mês"/>
    <n v="4.9641025393465377E-4"/>
    <n v="10"/>
    <n v="4.9752062726520219E-3"/>
    <n v="0.95487945506717797"/>
    <n v="0"/>
    <n v="0"/>
    <n v="24440.805217771176"/>
    <n v="24562.403265199297"/>
    <n v="121.59804742812142"/>
    <n v="24562.403265199297"/>
    <n v="10681.95"/>
    <n v="10681.95"/>
    <n v="0"/>
    <n v="0"/>
  </r>
  <r>
    <x v="59"/>
    <s v="B2S8"/>
    <x v="9"/>
    <n v="11186.7"/>
    <x v="13"/>
    <d v="2021-05-20T00:00:00"/>
    <s v="Amortization"/>
    <n v="4.9641025393465377E-4"/>
    <n v="20"/>
    <n v="9.9751652227595411E-3"/>
    <n v="0.97066874055798391"/>
    <n v="10858.58"/>
    <n v="328.12000000000143"/>
    <n v="24562.403265199297"/>
    <n v="13620.717296037707"/>
    <n v="245.01403083841143"/>
    <n v="24807.417296037707"/>
    <n v="10858.58"/>
    <n v="10858.58"/>
    <n v="0"/>
    <n v="0"/>
  </r>
  <r>
    <x v="52"/>
    <s v="B2S8"/>
    <x v="9"/>
    <n v="0"/>
    <x v="13"/>
    <d v="2021-05-20T00:00:00"/>
    <s v="Fim de Mês"/>
    <n v="4.9641025393465377E-4"/>
    <n v="11"/>
    <n v="5.4740862699960147E-3"/>
    <n v="0.97066874055798391"/>
    <n v="0"/>
    <n v="0"/>
    <n v="13620.717296037707"/>
    <n v="13695.278277575444"/>
    <n v="74.560981537737248"/>
    <n v="13695.278277575444"/>
    <n v="10858.58"/>
    <n v="10858.58"/>
    <n v="0"/>
    <n v="0"/>
  </r>
  <r>
    <x v="53"/>
    <s v="B2S8"/>
    <x v="9"/>
    <n v="11186.7"/>
    <x v="13"/>
    <d v="2021-06-20T00:00:00"/>
    <s v="Amortization"/>
    <n v="4.9641025393465377E-4"/>
    <n v="20"/>
    <n v="9.9751652227595411E-3"/>
    <n v="0.98473276301322099"/>
    <n v="11015.91"/>
    <n v="170.79000000000076"/>
    <n v="13695.278277575444"/>
    <n v="2645.1909411659271"/>
    <n v="136.61266359048477"/>
    <n v="13831.89094116593"/>
    <n v="11015.91"/>
    <n v="11015.91"/>
    <n v="0"/>
    <n v="0"/>
  </r>
  <r>
    <x v="54"/>
    <s v="MyClipp"/>
    <x v="0"/>
    <n v="39630.43"/>
    <x v="14"/>
    <m/>
    <s v="disbursement"/>
    <s v=""/>
    <s v=""/>
    <s v=""/>
    <e v="#N/A"/>
    <s v=""/>
    <s v=""/>
    <s v=""/>
    <n v="39630.43"/>
    <s v=""/>
    <s v=""/>
    <s v=""/>
    <s v=""/>
    <s v=""/>
    <s v=""/>
  </r>
  <r>
    <x v="3"/>
    <s v="B2S8"/>
    <x v="10"/>
    <n v="0"/>
    <x v="14"/>
    <d v="2021-04-30T00:00:00"/>
    <s v="Fim de Mês"/>
    <n v="6.6030548228668273E-4"/>
    <n v="16"/>
    <n v="1.0617369684125855E-2"/>
    <n v="0.79371519772867327"/>
    <n v="0"/>
    <n v="0"/>
    <n v="39630.43"/>
    <n v="40051.200926050871"/>
    <n v="420.77092605087182"/>
    <n v="40051.200926050871"/>
    <n v="39630.43"/>
    <n v="0"/>
    <n v="39630.43"/>
    <n v="49930.29"/>
  </r>
  <r>
    <x v="4"/>
    <s v="B2S8"/>
    <x v="10"/>
    <n v="0"/>
    <x v="14"/>
    <d v="2021-04-30T00:00:00"/>
    <s v="Fim de Mês"/>
    <n v="6.6030548228668273E-4"/>
    <n v="30"/>
    <n v="1.9999999999999574E-2"/>
    <n v="0.79371519772867327"/>
    <n v="0"/>
    <n v="0"/>
    <n v="40051.200926050871"/>
    <n v="40852.22494457187"/>
    <n v="801.02401852100036"/>
    <n v="40852.22494457187"/>
    <n v="39630.43"/>
    <n v="0"/>
    <n v="39630.43"/>
    <n v="49930.29"/>
  </r>
  <r>
    <x v="6"/>
    <s v="B2S8"/>
    <x v="10"/>
    <n v="0"/>
    <x v="14"/>
    <d v="2021-04-30T00:00:00"/>
    <s v="Fim de Mês"/>
    <n v="6.6030548228668273E-4"/>
    <n v="31"/>
    <n v="2.0673511591932092E-2"/>
    <n v="0.79371519772867327"/>
    <n v="0"/>
    <n v="0"/>
    <n v="40852.22494457187"/>
    <n v="41696.783890519691"/>
    <n v="844.55894594782387"/>
    <n v="41696.783890519691"/>
    <n v="39630.43"/>
    <n v="0"/>
    <n v="39630.43"/>
    <n v="49930.29"/>
  </r>
  <r>
    <x v="8"/>
    <s v="B2S8"/>
    <x v="10"/>
    <n v="0"/>
    <x v="14"/>
    <d v="2021-04-30T00:00:00"/>
    <s v="Fim de Mês"/>
    <n v="6.6030548228668273E-4"/>
    <n v="31"/>
    <n v="2.0673511591932092E-2"/>
    <n v="0.79371519772867327"/>
    <n v="0"/>
    <n v="0"/>
    <n v="41696.783890519691"/>
    <n v="42558.802835626637"/>
    <n v="862.01894510694615"/>
    <n v="42558.802835626637"/>
    <n v="39630.43"/>
    <n v="0"/>
    <n v="39630.43"/>
    <n v="49930.29"/>
  </r>
  <r>
    <x v="9"/>
    <s v="B2S8"/>
    <x v="10"/>
    <n v="0"/>
    <x v="14"/>
    <d v="2021-04-30T00:00:00"/>
    <s v="Fim de Mês"/>
    <n v="6.6030548228668273E-4"/>
    <n v="30"/>
    <n v="1.9999999999999574E-2"/>
    <n v="0.79371519772867327"/>
    <n v="0"/>
    <n v="0"/>
    <n v="42558.802835626637"/>
    <n v="43409.978892339153"/>
    <n v="851.17605671251454"/>
    <n v="43409.978892339153"/>
    <n v="39630.43"/>
    <n v="0"/>
    <n v="39630.43"/>
    <n v="49930.29"/>
  </r>
  <r>
    <x v="11"/>
    <s v="B2S8"/>
    <x v="10"/>
    <n v="0"/>
    <x v="14"/>
    <d v="2021-04-30T00:00:00"/>
    <s v="Fim de Mês"/>
    <n v="6.6030548228668273E-4"/>
    <n v="31"/>
    <n v="2.0673511591932092E-2"/>
    <n v="0.79371519772867327"/>
    <n v="0"/>
    <n v="0"/>
    <n v="43409.978892339153"/>
    <n v="44307.415594175458"/>
    <n v="897.43670183630093"/>
    <n v="44307.415594175458"/>
    <n v="39630.43"/>
    <n v="0"/>
    <n v="39630.43"/>
    <n v="49930.29"/>
  </r>
  <r>
    <x v="12"/>
    <s v="B2S8"/>
    <x v="10"/>
    <n v="0"/>
    <x v="14"/>
    <d v="2021-04-30T00:00:00"/>
    <s v="Fim de Mês"/>
    <n v="6.6030548228668273E-4"/>
    <n v="30"/>
    <n v="1.9999999999999574E-2"/>
    <n v="0.79371519772867327"/>
    <n v="0"/>
    <n v="0"/>
    <n v="44307.415594175458"/>
    <n v="45193.563906058946"/>
    <n v="886.14831188349024"/>
    <n v="45193.563906058946"/>
    <n v="39630.43"/>
    <n v="0"/>
    <n v="39630.43"/>
    <n v="49930.29"/>
  </r>
  <r>
    <x v="14"/>
    <s v="B2S8"/>
    <x v="10"/>
    <n v="0"/>
    <x v="14"/>
    <d v="2021-04-30T00:00:00"/>
    <s v="Fim de Mês"/>
    <n v="6.6030548228668273E-4"/>
    <n v="31"/>
    <n v="2.0673511591932092E-2"/>
    <n v="0.79371519772867327"/>
    <n v="0"/>
    <n v="0"/>
    <n v="45193.563906058946"/>
    <n v="46127.873573351579"/>
    <n v="934.30966729263343"/>
    <n v="46127.873573351579"/>
    <n v="39630.43"/>
    <n v="0"/>
    <n v="39630.43"/>
    <n v="49930.29"/>
  </r>
  <r>
    <x v="16"/>
    <s v="B2S8"/>
    <x v="10"/>
    <n v="0"/>
    <x v="14"/>
    <d v="2021-04-30T00:00:00"/>
    <s v="Fim de Mês"/>
    <n v="6.6030548228668273E-4"/>
    <n v="31"/>
    <n v="2.0673511591932092E-2"/>
    <n v="0.79371519772867327"/>
    <n v="0"/>
    <n v="0"/>
    <n v="46127.873573351579"/>
    <n v="47081.498702381439"/>
    <n v="953.62512902986191"/>
    <n v="47081.498702381439"/>
    <n v="39630.43"/>
    <n v="0"/>
    <n v="39630.43"/>
    <n v="49930.29"/>
  </r>
  <r>
    <x v="17"/>
    <s v="B2S8"/>
    <x v="10"/>
    <n v="0"/>
    <x v="14"/>
    <d v="2021-04-30T00:00:00"/>
    <s v="Fim de Mês"/>
    <n v="6.6030548228668273E-4"/>
    <n v="28"/>
    <n v="1.8654309812680125E-2"/>
    <n v="0.79371519772867327"/>
    <n v="0"/>
    <n v="0"/>
    <n v="47081.498702381439"/>
    <n v="47959.771565620962"/>
    <n v="878.27286323952069"/>
    <n v="47959.771565620962"/>
    <n v="39630.43"/>
    <n v="0"/>
    <n v="39630.43"/>
    <n v="49930.29"/>
  </r>
  <r>
    <x v="21"/>
    <s v="B2S8"/>
    <x v="10"/>
    <n v="0"/>
    <x v="14"/>
    <d v="2021-04-30T00:00:00"/>
    <s v="Fim de Mês"/>
    <n v="6.6030548228668273E-4"/>
    <n v="31"/>
    <n v="2.0673511591932092E-2"/>
    <n v="0.79371519772867327"/>
    <n v="0"/>
    <n v="0"/>
    <n v="47959.771565620962"/>
    <n v="48951.268459029241"/>
    <n v="991.49689340828013"/>
    <n v="48951.268459029241"/>
    <n v="39630.43"/>
    <n v="0"/>
    <n v="39630.43"/>
    <n v="49930.29"/>
  </r>
  <r>
    <x v="22"/>
    <s v="B2S8"/>
    <x v="10"/>
    <n v="49930.29"/>
    <x v="14"/>
    <d v="2021-04-30T00:00:00"/>
    <s v="Amortization"/>
    <n v="6.6030548228668273E-4"/>
    <n v="30"/>
    <n v="1.9999999999999574E-2"/>
    <n v="0.79371519772867327"/>
    <n v="39630.43"/>
    <n v="10299.860000000002"/>
    <n v="48951.268459029241"/>
    <n v="3.8282098030322231E-3"/>
    <n v="979.02536918056398"/>
    <n v="49930.293828209804"/>
    <n v="39630.43"/>
    <n v="39630.43"/>
    <n v="0"/>
    <n v="0"/>
  </r>
  <r>
    <x v="4"/>
    <s v="MyClipp"/>
    <x v="0"/>
    <n v="40423.03"/>
    <x v="15"/>
    <m/>
    <s v="disbursement"/>
    <s v=""/>
    <s v=""/>
    <s v=""/>
    <e v="#N/A"/>
    <s v=""/>
    <s v=""/>
    <s v=""/>
    <n v="40423.03"/>
    <s v=""/>
    <s v=""/>
    <s v=""/>
    <s v=""/>
    <s v=""/>
    <s v=""/>
  </r>
  <r>
    <x v="6"/>
    <s v="B2S8"/>
    <x v="10"/>
    <m/>
    <x v="15"/>
    <d v="2021-05-30T00:00:00"/>
    <s v="Fim de Mês"/>
    <n v="6.6030548228668273E-4"/>
    <n v="31"/>
    <n v="2.0673511591932092E-2"/>
    <n v="0.79057788632686365"/>
    <n v="0"/>
    <n v="0"/>
    <n v="40423.03"/>
    <n v="41258.715979286018"/>
    <n v="835.68597928601866"/>
    <n v="41258.715979286018"/>
    <n v="40423.03"/>
    <n v="0"/>
    <n v="40423.03"/>
    <n v="51130.99"/>
  </r>
  <r>
    <x v="8"/>
    <s v="B2S8"/>
    <x v="10"/>
    <m/>
    <x v="15"/>
    <d v="2021-05-30T00:00:00"/>
    <s v="Fim de Mês"/>
    <n v="6.6030548228668273E-4"/>
    <n v="31"/>
    <n v="2.0673511591932092E-2"/>
    <n v="0.79057788632686365"/>
    <n v="0"/>
    <n v="0"/>
    <n v="41258.715979286018"/>
    <n v="42111.67852235202"/>
    <n v="852.96254306600338"/>
    <n v="42111.67852235202"/>
    <n v="40423.03"/>
    <n v="0"/>
    <n v="40423.03"/>
    <n v="51130.99"/>
  </r>
  <r>
    <x v="9"/>
    <s v="B2S8"/>
    <x v="10"/>
    <m/>
    <x v="15"/>
    <d v="2021-05-30T00:00:00"/>
    <s v="Fim de Mês"/>
    <n v="6.6030548228668273E-4"/>
    <n v="30"/>
    <n v="1.9999999999999574E-2"/>
    <n v="0.79057788632686365"/>
    <n v="0"/>
    <n v="0"/>
    <n v="42111.67852235202"/>
    <n v="42953.912092799044"/>
    <n v="842.23357044702243"/>
    <n v="42953.912092799044"/>
    <n v="40423.03"/>
    <n v="0"/>
    <n v="40423.03"/>
    <n v="51130.99"/>
  </r>
  <r>
    <x v="11"/>
    <s v="B2S8"/>
    <x v="10"/>
    <m/>
    <x v="15"/>
    <d v="2021-05-30T00:00:00"/>
    <s v="Fim de Mês"/>
    <n v="6.6030548228668273E-4"/>
    <n v="31"/>
    <n v="2.0673511591932092E-2"/>
    <n v="0.79057788632686365"/>
    <n v="0"/>
    <n v="0"/>
    <n v="42953.912092799044"/>
    <n v="43841.920292368355"/>
    <n v="888.00819956931309"/>
    <n v="43841.920292368355"/>
    <n v="40423.03"/>
    <n v="0"/>
    <n v="40423.03"/>
    <n v="51130.99"/>
  </r>
  <r>
    <x v="12"/>
    <s v="B2S8"/>
    <x v="10"/>
    <m/>
    <x v="15"/>
    <d v="2021-05-30T00:00:00"/>
    <s v="Fim de Mês"/>
    <n v="6.6030548228668273E-4"/>
    <n v="30"/>
    <n v="1.9999999999999574E-2"/>
    <n v="0.79057788632686365"/>
    <n v="0"/>
    <n v="0"/>
    <n v="43841.920292368355"/>
    <n v="44718.758698215701"/>
    <n v="876.83840584734844"/>
    <n v="44718.758698215701"/>
    <n v="40423.03"/>
    <n v="0"/>
    <n v="40423.03"/>
    <n v="51130.99"/>
  </r>
  <r>
    <x v="14"/>
    <s v="B2S8"/>
    <x v="10"/>
    <m/>
    <x v="15"/>
    <d v="2021-05-30T00:00:00"/>
    <s v="Fim de Mês"/>
    <n v="6.6030548228668273E-4"/>
    <n v="31"/>
    <n v="2.0673511591932092E-2"/>
    <n v="0.79057788632686365"/>
    <n v="0"/>
    <n v="0"/>
    <n v="44718.758698215701"/>
    <n v="45643.252474540081"/>
    <n v="924.49377632437631"/>
    <n v="45643.252474540081"/>
    <n v="40423.03"/>
    <n v="0"/>
    <n v="40423.03"/>
    <n v="51130.99"/>
  </r>
  <r>
    <x v="16"/>
    <s v="B2S8"/>
    <x v="10"/>
    <m/>
    <x v="15"/>
    <d v="2021-05-30T00:00:00"/>
    <s v="Fim de Mês"/>
    <n v="6.6030548228668273E-4"/>
    <n v="31"/>
    <n v="2.0673511591932092E-2"/>
    <n v="0.79057788632686365"/>
    <n v="0"/>
    <n v="0"/>
    <n v="45643.252474540081"/>
    <n v="46586.858783665972"/>
    <n v="943.60630912588749"/>
    <n v="46586.858783665972"/>
    <n v="40423.03"/>
    <n v="0"/>
    <n v="40423.03"/>
    <n v="51130.99"/>
  </r>
  <r>
    <x v="17"/>
    <s v="B2S8"/>
    <x v="10"/>
    <m/>
    <x v="15"/>
    <d v="2021-05-30T00:00:00"/>
    <s v="Fim de Mês"/>
    <n v="6.6030548228668273E-4"/>
    <n v="28"/>
    <n v="1.8654309812680125E-2"/>
    <n v="0.79057788632686365"/>
    <n v="0"/>
    <n v="0"/>
    <n v="46586.858783665972"/>
    <n v="47455.904480616053"/>
    <n v="869.04569695008342"/>
    <n v="47455.904480616053"/>
    <n v="40423.03"/>
    <n v="0"/>
    <n v="40423.03"/>
    <n v="51130.99"/>
  </r>
  <r>
    <x v="21"/>
    <s v="B2S8"/>
    <x v="10"/>
    <m/>
    <x v="15"/>
    <d v="2021-05-30T00:00:00"/>
    <s v="Fim de Mês"/>
    <n v="6.6030548228668273E-4"/>
    <n v="31"/>
    <n v="2.0673511591932092E-2"/>
    <n v="0.79057788632686365"/>
    <n v="0"/>
    <n v="0"/>
    <n v="47455.904480616053"/>
    <n v="48436.984672001694"/>
    <n v="981.08019138563805"/>
    <n v="48436.984672001694"/>
    <n v="40423.03"/>
    <n v="0"/>
    <n v="40423.03"/>
    <n v="51130.99"/>
  </r>
  <r>
    <x v="22"/>
    <s v="B2S8"/>
    <x v="10"/>
    <m/>
    <x v="15"/>
    <d v="2021-05-30T00:00:00"/>
    <s v="Fim de Mês"/>
    <n v="6.6030548228668273E-4"/>
    <n v="30"/>
    <n v="1.9999999999999574E-2"/>
    <n v="0.79057788632686365"/>
    <n v="0"/>
    <n v="0"/>
    <n v="48436.984672001694"/>
    <n v="49405.724365441711"/>
    <n v="968.73969344001318"/>
    <n v="49405.724365441711"/>
    <n v="40423.03"/>
    <n v="0"/>
    <n v="40423.03"/>
    <n v="51130.99"/>
  </r>
  <r>
    <x v="60"/>
    <s v="B2S8"/>
    <x v="10"/>
    <n v="51130.99"/>
    <x v="15"/>
    <d v="2021-05-30T00:00:00"/>
    <s v="Amortization"/>
    <n v="6.6030548228668273E-4"/>
    <n v="30"/>
    <n v="1.9999999999999574E-2"/>
    <n v="0.79057788632686365"/>
    <n v="40423.03"/>
    <n v="10707.959999999997"/>
    <n v="49405.724365441711"/>
    <n v="-737.15114724947489"/>
    <n v="988.11448730881318"/>
    <n v="50393.838852750523"/>
    <n v="40423.03"/>
    <n v="40423.03"/>
    <n v="0"/>
    <n v="0"/>
  </r>
  <r>
    <x v="1"/>
    <s v="Vai Car"/>
    <x v="0"/>
    <n v="103359.17"/>
    <x v="16"/>
    <m/>
    <s v="disbursement"/>
    <s v=""/>
    <s v=""/>
    <s v=""/>
    <e v="#N/A"/>
    <s v=""/>
    <s v=""/>
    <s v=""/>
    <n v="103359.17"/>
    <s v=""/>
    <s v=""/>
    <s v=""/>
    <s v=""/>
    <s v=""/>
    <s v=""/>
  </r>
  <r>
    <x v="2"/>
    <s v="B2S8"/>
    <x v="11"/>
    <m/>
    <x v="16"/>
    <d v="2020-06-20T00:00:00"/>
    <s v="Fim de Mês"/>
    <n v="8.2342591547712729E-4"/>
    <n v="30"/>
    <n v="2.4999999999997025E-2"/>
    <n v="6.6950985183746973E-6"/>
    <n v="0"/>
    <n v="0"/>
    <n v="103359.17"/>
    <n v="105943.1492499997"/>
    <n v="2583.9792499996925"/>
    <n v="105943.1492499997"/>
    <n v="0.01"/>
    <n v="0"/>
    <n v="0.01"/>
    <n v="1493.63"/>
  </r>
  <r>
    <x v="40"/>
    <s v="B2S8"/>
    <x v="11"/>
    <n v="1493.63"/>
    <x v="16"/>
    <d v="2020-06-20T00:00:00"/>
    <s v="Amortization"/>
    <n v="8.2342591547712729E-4"/>
    <n v="21"/>
    <n v="1.7435075883431628E-2"/>
    <n v="6.6950985183746973E-6"/>
    <n v="0.01"/>
    <n v="1493.6200000000001"/>
    <n v="105943.1492499997"/>
    <n v="106296.64609650316"/>
    <n v="1847.1268465034673"/>
    <n v="107790.27609650316"/>
    <n v="0.01"/>
    <n v="0.01"/>
    <n v="0"/>
    <n v="0"/>
  </r>
  <r>
    <x v="4"/>
    <s v="B2S8"/>
    <x v="11"/>
    <m/>
    <x v="16"/>
    <d v="2020-06-20T00:00:00"/>
    <s v="Fim de Mês"/>
    <n v="8.2342591547712729E-4"/>
    <n v="10"/>
    <n v="8.2648376090512787E-3"/>
    <n v="6.6950985183746973E-6"/>
    <n v="0"/>
    <n v="0"/>
    <n v="106296.64609650316"/>
    <n v="107175.17061487756"/>
    <n v="878.5245183743931"/>
    <n v="107175.17061487756"/>
    <n v="0.01"/>
    <n v="0.01"/>
    <n v="0"/>
    <n v="0"/>
  </r>
  <r>
    <x v="41"/>
    <s v="B2S8"/>
    <x v="11"/>
    <n v="2650"/>
    <x v="16"/>
    <d v="2020-07-20T00:00:00"/>
    <s v="Amortization"/>
    <n v="8.2342591547712729E-4"/>
    <n v="20"/>
    <n v="1.6597982758806529E-2"/>
    <n v="3.7735849056603773E-6"/>
    <n v="0.01"/>
    <n v="2649.99"/>
    <n v="107175.17061487756"/>
    <n v="106304.06224891545"/>
    <n v="1778.8916340378858"/>
    <n v="108954.06224891545"/>
    <n v="0.01"/>
    <n v="0.01"/>
    <n v="0"/>
    <n v="0"/>
  </r>
  <r>
    <x v="6"/>
    <s v="B2S8"/>
    <x v="11"/>
    <m/>
    <x v="16"/>
    <d v="2020-07-20T00:00:00"/>
    <s v="Fim de Mês"/>
    <n v="8.2342591547712729E-4"/>
    <n v="11"/>
    <n v="9.095069006002765E-3"/>
    <n v="3.7735849056603773E-6"/>
    <n v="0"/>
    <n v="0"/>
    <n v="106304.06224891545"/>
    <n v="107270.90503068775"/>
    <n v="966.84278177229953"/>
    <n v="107270.90503068775"/>
    <n v="0.01"/>
    <n v="0.01"/>
    <n v="0"/>
    <n v="0"/>
  </r>
  <r>
    <x v="42"/>
    <s v="B2S8"/>
    <x v="11"/>
    <n v="14783.519999999999"/>
    <x v="16"/>
    <d v="2020-08-20T00:00:00"/>
    <s v="Amortization"/>
    <n v="8.2342591547712729E-4"/>
    <n v="20"/>
    <n v="1.6597982758806529E-2"/>
    <n v="0.63510314187690076"/>
    <n v="9389.06"/>
    <n v="5394.46"/>
    <n v="107270.90503068775"/>
    <n v="94267.865662908676"/>
    <n v="1780.4806322209276"/>
    <n v="109051.38566290868"/>
    <n v="9389.06"/>
    <n v="9389.06"/>
    <n v="0"/>
    <n v="0"/>
  </r>
  <r>
    <x v="8"/>
    <s v="B2S8"/>
    <x v="11"/>
    <m/>
    <x v="16"/>
    <d v="2020-08-20T00:00:00"/>
    <s v="Fim de Mês"/>
    <n v="8.2342591547712729E-4"/>
    <n v="11"/>
    <n v="9.095069006002765E-3"/>
    <n v="0.63510314187690076"/>
    <n v="0"/>
    <n v="0"/>
    <n v="94267.865662908676"/>
    <n v="95125.238406161428"/>
    <n v="857.37274325275303"/>
    <n v="95125.238406161428"/>
    <n v="9389.06"/>
    <n v="9389.06"/>
    <n v="0"/>
    <n v="0"/>
  </r>
  <r>
    <x v="43"/>
    <s v="B2S8"/>
    <x v="11"/>
    <n v="14783.519999999999"/>
    <x v="16"/>
    <d v="2020-09-20T00:00:00"/>
    <s v="Amortization"/>
    <n v="8.2342591547712729E-4"/>
    <n v="20"/>
    <n v="1.6597982758806529E-2"/>
    <n v="0.84053933028128613"/>
    <n v="12426.129999999997"/>
    <n v="2357.3900000000008"/>
    <n v="95125.238406161428"/>
    <n v="81920.605473154254"/>
    <n v="1578.8870669928281"/>
    <n v="96704.125473154258"/>
    <n v="12426.13"/>
    <n v="12426.129999999997"/>
    <n v="1.8189894035458565E-12"/>
    <n v="2.164074110532261E-12"/>
  </r>
  <r>
    <x v="9"/>
    <s v="B2S8"/>
    <x v="11"/>
    <m/>
    <x v="16"/>
    <d v="2020-09-20T00:00:00"/>
    <s v="Fim de Mês"/>
    <n v="8.2342591547712729E-4"/>
    <n v="10"/>
    <n v="8.2648376090512787E-3"/>
    <n v="0.84053933028128613"/>
    <n v="0"/>
    <n v="0"/>
    <n v="81920.605473154254"/>
    <n v="82597.665974225034"/>
    <n v="677.06050107077726"/>
    <n v="82597.665974225034"/>
    <n v="12426.13"/>
    <n v="12426.129999999997"/>
    <n v="1.8189894035458565E-12"/>
    <n v="2.164074110532261E-12"/>
  </r>
  <r>
    <x v="44"/>
    <s v="B2S8"/>
    <x v="11"/>
    <n v="14783.519999999999"/>
    <x v="16"/>
    <d v="2020-10-20T00:00:00"/>
    <s v="Amortization"/>
    <n v="8.2342591547712729E-4"/>
    <n v="20"/>
    <n v="1.6597982758806529E-2"/>
    <n v="0.86614284013550213"/>
    <n v="12804.639999999998"/>
    <n v="1978.8800000000012"/>
    <n v="82597.665974225034"/>
    <n v="69185.100609982881"/>
    <n v="1370.9546357578479"/>
    <n v="83968.620609982885"/>
    <n v="12804.64"/>
    <n v="12804.639999999998"/>
    <n v="1.8189894035458565E-12"/>
    <n v="2.1001032615605157E-12"/>
  </r>
  <r>
    <x v="11"/>
    <s v="B2S8"/>
    <x v="11"/>
    <m/>
    <x v="16"/>
    <d v="2020-10-20T00:00:00"/>
    <s v="Fim de Mês"/>
    <n v="8.2342591547712729E-4"/>
    <n v="11"/>
    <n v="9.095069006002765E-3"/>
    <n v="0.86614284013550213"/>
    <n v="0"/>
    <n v="0"/>
    <n v="69185.100609982881"/>
    <n v="69814.343874217913"/>
    <n v="629.24326423503828"/>
    <n v="69814.343874217913"/>
    <n v="12804.64"/>
    <n v="12804.639999999998"/>
    <n v="1.8189894035458565E-12"/>
    <n v="2.1001032615605157E-12"/>
  </r>
  <r>
    <x v="45"/>
    <s v="B2S8"/>
    <x v="11"/>
    <n v="14783.519999999999"/>
    <x v="16"/>
    <d v="2020-11-20T00:00:00"/>
    <s v="Amortization"/>
    <n v="8.2342591547712729E-4"/>
    <n v="20"/>
    <n v="1.6597982758806529E-2"/>
    <n v="0.88335457320042854"/>
    <n v="13059.089999999998"/>
    <n v="1724.4300000000005"/>
    <n v="69814.343874217913"/>
    <n v="56189.601150159571"/>
    <n v="1158.7772759416591"/>
    <n v="70973.121150159568"/>
    <n v="13059.09"/>
    <n v="13059.089999999998"/>
    <n v="1.8189894035458565E-12"/>
    <n v="2.05918377368624E-12"/>
  </r>
  <r>
    <x v="12"/>
    <s v="B2S8"/>
    <x v="11"/>
    <m/>
    <x v="16"/>
    <d v="2020-11-20T00:00:00"/>
    <s v="Fim de Mês"/>
    <n v="8.2342591547712729E-4"/>
    <n v="10"/>
    <n v="8.2648376090512787E-3"/>
    <n v="0.88335457320042854"/>
    <n v="0"/>
    <n v="0"/>
    <n v="56189.601150159571"/>
    <n v="56653.999078983004"/>
    <n v="464.39792882342982"/>
    <n v="56653.999078983004"/>
    <n v="13059.09"/>
    <n v="13059.089999999998"/>
    <n v="1.8189894035458565E-12"/>
    <n v="2.05918377368624E-12"/>
  </r>
  <r>
    <x v="46"/>
    <s v="B2S8"/>
    <x v="11"/>
    <n v="14783.519999999999"/>
    <x v="16"/>
    <d v="2020-12-20T00:00:00"/>
    <s v="Amortization"/>
    <n v="8.2342591547712729E-4"/>
    <n v="20"/>
    <n v="1.6597982758806529E-2"/>
    <n v="0.90859889931491289"/>
    <n v="13432.289999999999"/>
    <n v="1351.2299999999989"/>
    <n v="56653.999078983004"/>
    <n v="42810.821178913407"/>
    <n v="940.34209993040088"/>
    <n v="57594.341178913404"/>
    <n v="13432.29"/>
    <n v="13432.289999999999"/>
    <n v="1.8189894035458565E-12"/>
    <n v="2.0019718325846327E-12"/>
  </r>
  <r>
    <x v="14"/>
    <s v="B2S8"/>
    <x v="11"/>
    <m/>
    <x v="16"/>
    <d v="2020-12-20T00:00:00"/>
    <s v="Fim de Mês"/>
    <n v="8.2342591547712729E-4"/>
    <n v="11"/>
    <n v="9.095069006002765E-3"/>
    <n v="0.90859889931491289"/>
    <n v="0"/>
    <n v="0"/>
    <n v="42810.821178913407"/>
    <n v="43200.188551739273"/>
    <n v="389.36737282586211"/>
    <n v="43200.188551739273"/>
    <n v="13432.29"/>
    <n v="13432.289999999999"/>
    <n v="1.8189894035458565E-12"/>
    <n v="2.0019718325846327E-12"/>
  </r>
  <r>
    <x v="47"/>
    <s v="B2S8"/>
    <x v="11"/>
    <n v="14783.519999999999"/>
    <x v="16"/>
    <d v="2021-01-20T00:00:00"/>
    <s v="Amortization"/>
    <n v="8.2342591547712729E-4"/>
    <n v="20"/>
    <n v="1.6597982758806529E-2"/>
    <n v="0.92830800783575218"/>
    <n v="13723.659999999998"/>
    <n v="1059.8600000000008"/>
    <n v="43200.188551739273"/>
    <n v="29133.704536498233"/>
    <n v="717.03598475895967"/>
    <n v="43917.22453649823"/>
    <n v="13723.66"/>
    <n v="13723.659999999998"/>
    <n v="1.8189894035458565E-12"/>
    <n v="1.9594675346888688E-12"/>
  </r>
  <r>
    <x v="16"/>
    <s v="B2S8"/>
    <x v="11"/>
    <m/>
    <x v="16"/>
    <d v="2021-01-20T00:00:00"/>
    <s v="Fim de Mês"/>
    <n v="8.2342591547712729E-4"/>
    <n v="11"/>
    <n v="9.095069006002765E-3"/>
    <n v="0.92830800783575218"/>
    <n v="0"/>
    <n v="0"/>
    <n v="29133.704536498233"/>
    <n v="29398.677589658182"/>
    <n v="264.97305315994726"/>
    <n v="29398.677589658182"/>
    <n v="13723.66"/>
    <n v="13723.659999999998"/>
    <n v="1.8189894035458565E-12"/>
    <n v="1.9594675346888688E-12"/>
  </r>
  <r>
    <x v="48"/>
    <s v="B2S8"/>
    <x v="11"/>
    <n v="14783.519999999999"/>
    <x v="16"/>
    <d v="2021-02-20T00:00:00"/>
    <s v="Amortization"/>
    <n v="8.2342591547712729E-4"/>
    <n v="20"/>
    <n v="1.6597982758806529E-2"/>
    <n v="0.9515961016050305"/>
    <n v="14067.939999999999"/>
    <n v="715.57999999999947"/>
    <n v="29398.677589658182"/>
    <n v="15103.116333423042"/>
    <n v="487.95874376485841"/>
    <n v="29886.636333423041"/>
    <n v="14067.94"/>
    <n v="14067.939999999999"/>
    <n v="1.8189894035458565E-12"/>
    <n v="1.9115141397467035E-12"/>
  </r>
  <r>
    <x v="17"/>
    <s v="B2S8"/>
    <x v="11"/>
    <m/>
    <x v="16"/>
    <d v="2021-02-20T00:00:00"/>
    <s v="Fim de Mês"/>
    <n v="8.2342591547712729E-4"/>
    <n v="8"/>
    <n v="6.6064234679197309E-3"/>
    <n v="0.9515961016050305"/>
    <n v="0"/>
    <n v="0"/>
    <n v="15103.116333423042"/>
    <n v="15202.89391560689"/>
    <n v="99.777582183847784"/>
    <n v="15202.89391560689"/>
    <n v="14067.94"/>
    <n v="14067.939999999999"/>
    <n v="1.8189894035458565E-12"/>
    <n v="1.9115141397467035E-12"/>
  </r>
  <r>
    <x v="49"/>
    <s v="B2S8"/>
    <x v="11"/>
    <n v="14783.519999999999"/>
    <x v="16"/>
    <d v="2021-03-20T00:00:00"/>
    <s v="Amortization"/>
    <n v="8.2342591547712729E-4"/>
    <n v="20"/>
    <n v="1.6597982758806529E-2"/>
    <n v="0.97786927605874652"/>
    <n v="14456.349999999999"/>
    <n v="327.16999999999967"/>
    <n v="15202.89391560689"/>
    <n v="671.71128670209873"/>
    <n v="252.33737109520783"/>
    <n v="15455.231286702097"/>
    <n v="14456.35"/>
    <n v="14456.349999999999"/>
    <n v="1.8189894035458565E-12"/>
    <n v="1.860156002525412E-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BA1B7-C0DE-46FF-859C-5A8C6E822242}" name="PivotTable1" cacheId="0" dataPosition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chartFormat="1">
  <location ref="A4:R32" firstHeaderRow="1" firstDataRow="3" firstDataCol="1"/>
  <pivotFields count="23">
    <pivotField axis="axisCol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multipleItemSelectionAllowed="1" showAll="0"/>
    <pivotField axis="axisRow" multipleItemSelectionAllowed="1" showAll="0">
      <items count="13">
        <item x="1"/>
        <item h="1" x="0"/>
        <item x="3"/>
        <item x="4"/>
        <item x="5"/>
        <item x="6"/>
        <item h="1" x="2"/>
        <item x="7"/>
        <item x="8"/>
        <item x="10"/>
        <item x="11"/>
        <item x="9"/>
        <item t="default"/>
      </items>
    </pivotField>
    <pivotField showAll="0"/>
    <pivotField axis="axisRow" showAll="0">
      <items count="18">
        <item x="0"/>
        <item x="3"/>
        <item x="4"/>
        <item x="9"/>
        <item x="16"/>
        <item x="6"/>
        <item x="7"/>
        <item x="8"/>
        <item x="11"/>
        <item x="14"/>
        <item x="2"/>
        <item x="5"/>
        <item x="15"/>
        <item x="12"/>
        <item x="10"/>
        <item x="13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Quarter" numFmtId="174" showAll="0">
      <items count="7">
        <item sd="0" x="0"/>
        <item sd="0" x="1"/>
        <item x="2"/>
        <item x="3"/>
        <item x="4"/>
        <item sd="0" x="5"/>
        <item t="default"/>
      </items>
    </pivotField>
    <pivotField axis="axisCol" showAll="0">
      <items count="5">
        <item sd="0" x="0"/>
        <item x="1"/>
        <item x="2"/>
        <item sd="0" x="3"/>
        <item t="default"/>
      </items>
    </pivotField>
  </pivotFields>
  <rowFields count="2">
    <field x="2"/>
    <field x="4"/>
  </rowFields>
  <rowItems count="26">
    <i>
      <x/>
    </i>
    <i r="1">
      <x/>
    </i>
    <i>
      <x v="2"/>
    </i>
    <i r="1">
      <x v="10"/>
    </i>
    <i>
      <x v="3"/>
    </i>
    <i r="1">
      <x v="1"/>
    </i>
    <i r="1">
      <x v="2"/>
    </i>
    <i r="1">
      <x v="11"/>
    </i>
    <i>
      <x v="4"/>
    </i>
    <i r="1">
      <x v="5"/>
    </i>
    <i>
      <x v="5"/>
    </i>
    <i r="1">
      <x v="6"/>
    </i>
    <i r="1">
      <x v="7"/>
    </i>
    <i>
      <x v="7"/>
    </i>
    <i r="1">
      <x v="3"/>
    </i>
    <i r="1">
      <x v="14"/>
    </i>
    <i>
      <x v="8"/>
    </i>
    <i r="1">
      <x v="8"/>
    </i>
    <i r="1">
      <x v="13"/>
    </i>
    <i>
      <x v="9"/>
    </i>
    <i r="1">
      <x v="9"/>
    </i>
    <i r="1">
      <x v="12"/>
    </i>
    <i>
      <x v="10"/>
    </i>
    <i r="1">
      <x v="4"/>
    </i>
    <i>
      <x v="11"/>
    </i>
    <i r="1">
      <x v="15"/>
    </i>
  </rowItems>
  <colFields count="2">
    <field x="22"/>
    <field x="0"/>
  </colFields>
  <colItems count="17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t="default">
      <x v="2"/>
    </i>
  </colItems>
  <dataFields count="1">
    <dataField name="Sum of Fator" fld="9" baseField="2" baseItem="0" numFmtId="10"/>
  </dataFields>
  <formats count="3">
    <format dxfId="166">
      <pivotArea field="4" grandCol="1" collapsedLevelsAreSubtotals="1" axis="axisRow" fieldPosition="1">
        <references count="1">
          <reference field="4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65">
      <pivotArea grandCol="1" outline="0" collapsedLevelsAreSubtotals="1" fieldPosition="0"/>
    </format>
    <format dxfId="16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D7FF8-7AD4-49EE-ACE8-E9F8A0164506}" name="Table1" displayName="Table1" ref="A2:AI88" totalsRowCount="1" headerRowDxfId="203" dataDxfId="202" dataCellStyle="Currency">
  <tableColumns count="35">
    <tableColumn id="1" xr3:uid="{9A0BE5CC-4E4B-41CB-BCC2-9246E2A6FDE6}" name="Carência" dataDxfId="201" totalsRowDxfId="163"/>
    <tableColumn id="2" xr3:uid="{6591D680-CCD9-4095-B0F6-E2F8F5C27516}" name="Id" dataDxfId="200" totalsRowDxfId="162"/>
    <tableColumn id="3" xr3:uid="{4780250F-01AE-4454-BF93-16EE5B60E44B}" name="Número Contrato" dataDxfId="199" totalsRowDxfId="161"/>
    <tableColumn id="4" xr3:uid="{A6123753-A8DE-490B-98D8-D59BDEC10168}" name="Cliente Name" dataDxfId="198" totalsRowDxfId="160"/>
    <tableColumn id="5" xr3:uid="{911AD72B-DA6B-4A59-81FC-0EEF414C7669}" name="CNPJ" dataDxfId="197" totalsRowDxfId="159"/>
    <tableColumn id="6" xr3:uid="{5EB31FF4-528C-4CCB-8F8E-C3EBA1826A0A}" name="tx Liquida Mensal" dataDxfId="196" totalsRowDxfId="158"/>
    <tableColumn id="7" xr3:uid="{AC59A347-4DA8-4D83-859F-79D897687E4C}" name="Tipo de Evento" dataDxfId="195" totalsRowDxfId="157"/>
    <tableColumn id="8" xr3:uid="{6542ECBC-C3C6-4E45-A3C0-62FA610548D3}" name="Status do Evento" dataDxfId="194" totalsRowDxfId="156">
      <calculatedColumnFormula>IF(G3="disbursement","realized",IF(R3&lt;&gt;"","realized","pending"))</calculatedColumnFormula>
    </tableColumn>
    <tableColumn id="9" xr3:uid="{21221AE1-39EF-4AE0-AFF3-528637AC33A5}" name="Agenda" dataDxfId="193" totalsRowDxfId="155"/>
    <tableColumn id="10" xr3:uid="{554412A7-1C53-44C7-AD66-E9FD7A632E1D}" name="Valor Desembolsado" totalsRowFunction="custom" dataDxfId="192" totalsRowDxfId="154" dataCellStyle="Currency">
      <totalsRowFormula>SUM(J3:J87)</totalsRowFormula>
    </tableColumn>
    <tableColumn id="11" xr3:uid="{C0FB7816-30EE-4F5D-BC14-8AAE209FBD30}" name="Parcela" totalsRowFunction="custom" dataDxfId="191" totalsRowDxfId="153">
      <totalsRowFormula>SUM(K4:K87)</totalsRowFormula>
    </tableColumn>
    <tableColumn id="12" xr3:uid="{2DDB2F0A-0485-47AF-9858-2D473B7D0D41}" name="Principal" dataDxfId="190" totalsRowDxfId="152"/>
    <tableColumn id="13" xr3:uid="{97333AD7-0CE5-4671-AE96-E04C2CD9447C}" name="Juros" dataDxfId="189" totalsRowDxfId="151"/>
    <tableColumn id="14" xr3:uid="{6BDC677E-46B3-439E-9E72-ACCCBBBF2649}" name="Saldo Devedor Esperado" dataDxfId="188" totalsRowDxfId="150"/>
    <tableColumn id="15" xr3:uid="{B58BCEF7-9B8E-4E84-B11E-865F85B5D86A}" name="Juros Calculados até Vencimento" dataDxfId="187" totalsRowDxfId="149" dataCellStyle="Currency"/>
    <tableColumn id="16" xr3:uid="{8649608B-4AF2-4FA3-AEFB-1F70B1CBAF16}" name="Saldo Devedor Atualizado Data Vencimento" dataDxfId="186" totalsRowDxfId="148" dataCellStyle="Currency"/>
    <tableColumn id="17" xr3:uid="{51B31C24-35A4-47EA-BF73-E39E3C3F9F9E}" name="Coluna Com Data Suporte (HIDE)" dataDxfId="185" totalsRowDxfId="147">
      <calculatedColumnFormula>IF(G3="Amortization",IF(H3="realized",R3,$B$1),I3)</calculatedColumnFormula>
    </tableColumn>
    <tableColumn id="18" xr3:uid="{2D9009AD-5CD9-42CE-BCE7-5B076CA46F50}" name="Data Realizada" dataDxfId="184" totalsRowDxfId="146"/>
    <tableColumn id="19" xr3:uid="{5DE060C1-B956-44E4-AF47-C739D347DC59}" name="Intervalo Entre Eventos" dataDxfId="183" totalsRowDxfId="145">
      <calculatedColumnFormula>IF(A3="C",Q3-EDATE(Q3,-1),IF(G3="Amortization",Q3-Q2,""))</calculatedColumnFormula>
    </tableColumn>
    <tableColumn id="28" xr3:uid="{2F6E2E66-2790-4F9D-954D-2C2C7A879731}" name="Dias em Atraso" dataDxfId="182" totalsRowDxfId="144">
      <calculatedColumnFormula>IF(AND(Table1[[#This Row],[Tipo de Evento]]="Amortization",Table1[[#This Row],[Status do Evento]]="realized"),Table1[[#This Row],[Data Realizada]]-Table1[[#This Row],[Agenda]],$B$1-Table1[[#This Row],[Agenda]])</calculatedColumnFormula>
    </tableColumn>
    <tableColumn id="20" xr3:uid="{330C6CCD-203D-41EB-BED4-A7057769819D}" name="Saldo Devedor" dataDxfId="181" totalsRowDxfId="143" dataCellStyle="Currency">
      <calculatedColumnFormula>IF(G2="disbursement",J2,IFERROR(U2+IF(H2="realized",L2,""),0))</calculatedColumnFormula>
    </tableColumn>
    <tableColumn id="21" xr3:uid="{D18E7D28-76E8-442D-9E0D-582795D12D9B}" name="Juros DataBase ou Data Realizada" dataDxfId="180" totalsRowDxfId="142" dataCellStyle="Currency">
      <calculatedColumnFormula>IF(G3="disbursement","",(-U3)*(F3^(S3/30)-1))</calculatedColumnFormula>
    </tableColumn>
    <tableColumn id="22" xr3:uid="{95955C1D-A9C9-4ADC-AE40-CC368E900F53}" name="Saldo Devedor Atualizado" dataDxfId="179" totalsRowDxfId="141" dataCellStyle="Currency">
      <calculatedColumnFormula>IF(G3="disbursement","",U3-V3)</calculatedColumnFormula>
    </tableColumn>
    <tableColumn id="27" xr3:uid="{20803D9B-1E26-482D-BCDC-EB20CF9A6653}" name="Column1" dataDxfId="178" totalsRowDxfId="140" dataCellStyle="Currency"/>
    <tableColumn id="23" xr3:uid="{DE030660-0F4A-4495-BB0C-0B311FB7ED7E}" name="Variação eventos %" dataDxfId="177" totalsRowDxfId="139" dataCellStyle="Percent">
      <calculatedColumnFormula>IFERROR(IF(G3="disbursement","",(W3/U3)-1),"")</calculatedColumnFormula>
    </tableColumn>
    <tableColumn id="24" xr3:uid="{2EEA793E-93D5-40D5-B32D-CF2FC1D13F7B}" name="Variação Acumulada %" dataDxfId="176" totalsRowDxfId="138" dataCellStyle="Percent">
      <calculatedColumnFormula>IFERROR(Y3+Z2,"")</calculatedColumnFormula>
    </tableColumn>
    <tableColumn id="25" xr3:uid="{7544E2B2-C7CB-4478-AB42-BE80BAC2911B}" name="Fator Diario" dataDxfId="175" totalsRowDxfId="137" dataCellStyle="Currency">
      <calculatedColumnFormula>(F3^(S3/30)-1)</calculatedColumnFormula>
    </tableColumn>
    <tableColumn id="26" xr3:uid="{C8A1E24D-FEA0-445E-A857-760806DC5AE0}" name="PMT/Principal" dataDxfId="174" totalsRowDxfId="136" dataCellStyle="Currency">
      <calculatedColumnFormula>Table1[[#This Row],[Principal]]/Table1[[#This Row],[Parcela]]</calculatedColumnFormula>
    </tableColumn>
    <tableColumn id="29" xr3:uid="{61760B8A-23A7-45B5-8B31-253A56AF7AB8}" name="PDD Flag" dataDxfId="173" totalsRowDxfId="135" dataCellStyle="Currency">
      <calculatedColumnFormula>IF(AND(Table1[[#This Row],[Dias em Atraso]]&gt;0,Table1[[#This Row],[Status do Evento]]="pending",Table1[[#This Row],[Saldo Devedor Atualizado]]&lt;&gt;0),"PDD","")</calculatedColumnFormula>
    </tableColumn>
    <tableColumn id="30" xr3:uid="{93E4F050-2C02-49CD-9BC2-99A4C75EDC5B}" name="PDD Nota" dataDxfId="172" totalsRowDxfId="134" dataCellStyle="Currency">
      <calculatedColumnFormula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calculatedColumnFormula>
    </tableColumn>
    <tableColumn id="31" xr3:uid="{521EF4FE-5ECB-472D-8FC0-168ED144BD8D}" name="PDD Fator" dataDxfId="171" totalsRowDxfId="133" dataCellStyle="Currency">
      <calculatedColumnFormula>IF(Table1[[#This Row],[PDD Nota]]="","",IF(Table1[PDD Nota]="A",0,IF(Table1[PDD Nota]="B",0.05,IF(Table1[PDD Nota]="C",0.1,IF(Table1[PDD Nota]="D",0.35,IF(Table1[PDD Nota]="E",0.7,IF(Table1[PDD Nota]="F",1,"")))))))</calculatedColumnFormula>
    </tableColumn>
    <tableColumn id="32" xr3:uid="{CB5B55B7-6863-4256-A958-D651CED75D6F}" name="Provisão" dataDxfId="170" totalsRowDxfId="132" dataCellStyle="Currency">
      <calculatedColumnFormula>IFERROR(Table1[[#This Row],[PDD Fator]]*Table1[[#This Row],[Saldo Devedor Atualizado]],"")</calculatedColumnFormula>
    </tableColumn>
    <tableColumn id="33" xr3:uid="{AB4DBCEB-2574-4EC0-B299-544A4A2107DF}" name="Valor Presente Liquido" dataDxfId="169" totalsRowDxfId="131" dataCellStyle="Currency">
      <calculatedColumnFormula>IFERROR(IF($B$1&gt;Table1[[#This Row],[Data Vencimento - Última Pacela]],Table1[[#This Row],[Saldo Devedor Atualizado Data Vencimento]]-Table1[[#This Row],[Provisão]],Table1[[#This Row],[Saldo Devedor Atualizado]]-Table1[[#This Row],[Provisão]]),"")</calculatedColumnFormula>
    </tableColumn>
    <tableColumn id="34" xr3:uid="{2B761F4A-5AE9-49BF-B58F-2563EDFEF71C}" name="Rentabilidade Líquida" dataDxfId="168" totalsRowDxfId="130" dataCellStyle="Percent">
      <calculatedColumnFormula>IFERROR(Table1[[#This Row],[Variação eventos %]]-Table1[[#This Row],[Variação eventos %]]*Table1[[#This Row],[PDD Fator]],Table1[[#This Row],[Variação eventos %]])</calculatedColumnFormula>
    </tableColumn>
    <tableColumn id="35" xr3:uid="{B44BFF8D-D7EB-4DF1-9E06-84DBCF44FA31}" name="Data Vencimento - Última Pacela" dataDxfId="167" dataCellStyle="Currency">
      <calculatedColumnFormula array="1">MAX(IF(C:C=Table1[[#This Row],[Número Contrato]],I:I))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D3FE-F2F1-48E0-8BDA-39FFC01C513C}">
  <dimension ref="A1:XEY91"/>
  <sheetViews>
    <sheetView topLeftCell="A60" zoomScale="120" zoomScaleNormal="120" workbookViewId="0">
      <selection activeCell="O15" sqref="O15"/>
    </sheetView>
  </sheetViews>
  <sheetFormatPr defaultRowHeight="15" x14ac:dyDescent="0.25"/>
  <cols>
    <col min="1" max="1" width="12.5703125" style="6" customWidth="1"/>
    <col min="2" max="2" width="11.5703125" style="6" customWidth="1"/>
    <col min="3" max="3" width="10" style="6" customWidth="1"/>
    <col min="4" max="4" width="14.28515625" style="6" customWidth="1"/>
    <col min="5" max="5" width="16.7109375" style="6" bestFit="1" customWidth="1"/>
    <col min="6" max="6" width="8.140625" style="6" customWidth="1"/>
    <col min="7" max="7" width="14.28515625" style="6" customWidth="1"/>
    <col min="8" max="8" width="9.5703125" style="6" customWidth="1"/>
    <col min="9" max="9" width="12.140625" style="6" customWidth="1"/>
    <col min="10" max="10" width="16.5703125" style="6" customWidth="1"/>
    <col min="11" max="11" width="18" style="6" customWidth="1"/>
    <col min="12" max="12" width="14.7109375" style="6" customWidth="1"/>
    <col min="13" max="13" width="14.5703125" style="6" bestFit="1" customWidth="1"/>
    <col min="14" max="14" width="17.140625" style="6" customWidth="1"/>
    <col min="15" max="15" width="16.28515625" style="6" customWidth="1"/>
    <col min="16" max="16" width="17.140625" style="6" customWidth="1"/>
    <col min="17" max="17" width="20.42578125" style="6" hidden="1" customWidth="1"/>
    <col min="18" max="18" width="12.85546875" style="6" customWidth="1"/>
    <col min="19" max="20" width="13.7109375" style="7" customWidth="1"/>
    <col min="21" max="21" width="15.85546875" style="7" customWidth="1"/>
    <col min="22" max="22" width="14" style="7" customWidth="1"/>
    <col min="23" max="24" width="14.28515625" style="7" customWidth="1"/>
    <col min="25" max="26" width="14" style="7" customWidth="1"/>
    <col min="27" max="27" width="15.85546875" style="7" bestFit="1" customWidth="1"/>
    <col min="28" max="28" width="14" style="27" customWidth="1"/>
    <col min="29" max="29" width="16.85546875" style="56" customWidth="1"/>
    <col min="30" max="30" width="14" style="56" bestFit="1" customWidth="1"/>
    <col min="31" max="31" width="14.7109375" style="57" customWidth="1"/>
    <col min="32" max="32" width="24.7109375" style="6" customWidth="1"/>
    <col min="33" max="33" width="23.140625" style="6" customWidth="1"/>
    <col min="34" max="34" width="16.85546875" style="60" customWidth="1"/>
    <col min="35" max="35" width="18.28515625" style="6" customWidth="1"/>
    <col min="36" max="36" width="48.5703125" style="6" customWidth="1"/>
    <col min="37" max="16384" width="9.140625" style="6"/>
  </cols>
  <sheetData>
    <row r="1" spans="1:16379" s="8" customFormat="1" ht="45.75" customHeight="1" thickBot="1" x14ac:dyDescent="0.3">
      <c r="A1" s="4" t="s">
        <v>53</v>
      </c>
      <c r="B1" s="5">
        <v>43951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  <c r="AA1" s="7"/>
      <c r="AB1" s="27"/>
      <c r="AC1" s="56"/>
      <c r="AD1" s="56"/>
      <c r="AE1" s="57"/>
      <c r="AF1" s="6"/>
      <c r="AG1" s="6"/>
      <c r="AH1" s="60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</row>
    <row r="2" spans="1:16379" ht="45" x14ac:dyDescent="0.25">
      <c r="A2" s="9" t="s">
        <v>68</v>
      </c>
      <c r="B2" s="9" t="s">
        <v>0</v>
      </c>
      <c r="C2" s="9" t="s">
        <v>1</v>
      </c>
      <c r="D2" s="9" t="s">
        <v>18</v>
      </c>
      <c r="E2" s="9" t="s">
        <v>19</v>
      </c>
      <c r="F2" s="9" t="s">
        <v>40</v>
      </c>
      <c r="G2" s="9" t="s">
        <v>41</v>
      </c>
      <c r="H2" s="9" t="s">
        <v>42</v>
      </c>
      <c r="I2" s="66" t="s">
        <v>52</v>
      </c>
      <c r="J2" s="66" t="s">
        <v>43</v>
      </c>
      <c r="K2" s="66" t="s">
        <v>44</v>
      </c>
      <c r="L2" s="66" t="s">
        <v>45</v>
      </c>
      <c r="M2" s="66" t="s">
        <v>46</v>
      </c>
      <c r="N2" s="66" t="s">
        <v>47</v>
      </c>
      <c r="O2" s="66" t="s">
        <v>48</v>
      </c>
      <c r="P2" s="66" t="s">
        <v>49</v>
      </c>
      <c r="Q2" s="10" t="s">
        <v>67</v>
      </c>
      <c r="R2" s="21" t="s">
        <v>54</v>
      </c>
      <c r="S2" s="10" t="s">
        <v>55</v>
      </c>
      <c r="T2" s="10" t="s">
        <v>99</v>
      </c>
      <c r="U2" s="11" t="s">
        <v>66</v>
      </c>
      <c r="V2" s="11" t="s">
        <v>71</v>
      </c>
      <c r="W2" s="10" t="s">
        <v>65</v>
      </c>
      <c r="X2" s="10" t="s">
        <v>89</v>
      </c>
      <c r="Y2" s="10" t="s">
        <v>70</v>
      </c>
      <c r="Z2" s="10" t="s">
        <v>69</v>
      </c>
      <c r="AA2" s="10" t="s">
        <v>72</v>
      </c>
      <c r="AB2" s="28" t="s">
        <v>75</v>
      </c>
      <c r="AC2" s="10" t="s">
        <v>92</v>
      </c>
      <c r="AD2" s="10" t="s">
        <v>93</v>
      </c>
      <c r="AE2" s="10" t="s">
        <v>94</v>
      </c>
      <c r="AF2" s="10" t="s">
        <v>95</v>
      </c>
      <c r="AG2" s="10" t="s">
        <v>96</v>
      </c>
      <c r="AH2" s="61" t="s">
        <v>97</v>
      </c>
      <c r="AI2" s="10" t="s">
        <v>117</v>
      </c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</row>
    <row r="3" spans="1:16379" x14ac:dyDescent="0.25">
      <c r="A3" s="2"/>
      <c r="B3" s="2">
        <v>1129</v>
      </c>
      <c r="C3" s="2" t="s">
        <v>17</v>
      </c>
      <c r="D3" s="2" t="s">
        <v>38</v>
      </c>
      <c r="E3" s="2" t="s">
        <v>39</v>
      </c>
      <c r="F3" s="12">
        <v>1.0189999999999999</v>
      </c>
      <c r="G3" s="2" t="s">
        <v>50</v>
      </c>
      <c r="H3" s="2" t="str">
        <f t="shared" ref="H3:H34" si="0">IF(G3="disbursement","realized",IF(R3&lt;&gt;"","realized","pending"))</f>
        <v>realized</v>
      </c>
      <c r="I3" s="3">
        <v>43943</v>
      </c>
      <c r="J3" s="13">
        <v>-111972.43</v>
      </c>
      <c r="K3" s="13"/>
      <c r="L3" s="14"/>
      <c r="M3" s="14"/>
      <c r="N3" s="14"/>
      <c r="O3" s="2"/>
      <c r="P3" s="2"/>
      <c r="Q3" s="3">
        <f t="shared" ref="Q3:Q34" si="1">IF(G3="Amortization",IF(H3="realized",R3,$B$1),I3)</f>
        <v>43943</v>
      </c>
      <c r="R3" s="3"/>
      <c r="S3" s="15" t="str">
        <f t="shared" ref="S3:S34" si="2">IF(A3="C",Q3-EDATE(Q3,-1),IF(G3="Amortization",Q3-Q2,""))</f>
        <v/>
      </c>
      <c r="T3" s="15">
        <f>IF(AND(Table1[[#This Row],[Tipo de Evento]]="Amortization",Table1[[#This Row],[Status do Evento]]="realized"),Table1[[#This Row],[Data Realizada]]-Table1[[#This Row],[Agenda]],$B$1-Table1[[#This Row],[Agenda]])</f>
        <v>8</v>
      </c>
      <c r="U3" s="16"/>
      <c r="V3" s="16" t="str">
        <f t="shared" ref="V3:V34" si="3">IF(G3="disbursement","",(-U3)*(F3^(S3/30)-1))</f>
        <v/>
      </c>
      <c r="W3" s="16" t="str">
        <f>IF(G3="disbursement","",V3-U3)</f>
        <v/>
      </c>
      <c r="X3" s="52"/>
      <c r="Y3" s="17" t="str">
        <f>IF(G3="disbursement","",(W3/U3)-1)</f>
        <v/>
      </c>
      <c r="Z3" s="17"/>
      <c r="AA3" s="22"/>
      <c r="AB3" s="23"/>
      <c r="AC3" s="55" t="str">
        <f>IF(AND(Table1[[#This Row],[Dias em Atraso]]&gt;0,Table1[[#This Row],[Status do Evento]]="pending",Table1[[#This Row],[Saldo Devedor Atualizado]]&lt;&gt;0),"PDD","")</f>
        <v/>
      </c>
      <c r="AD3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" s="59" t="str">
        <f>IFERROR(Table1[[#This Row],[Valor Presente Liquido]]/ABS(Table1[[#This Row],[Saldo Devedor Atualizado]])-1,Table1[[#This Row],[Variação eventos %]])</f>
        <v/>
      </c>
      <c r="AI3" s="22">
        <f t="array" ref="AI3">MAX(IF(C:C=Table1[[#This Row],[Número Contrato]],I:I))</f>
        <v>44285</v>
      </c>
    </row>
    <row r="4" spans="1:16379" x14ac:dyDescent="0.25">
      <c r="A4" s="2"/>
      <c r="B4" s="2">
        <v>1129</v>
      </c>
      <c r="C4" s="2" t="s">
        <v>17</v>
      </c>
      <c r="D4" s="2" t="s">
        <v>38</v>
      </c>
      <c r="E4" s="2" t="s">
        <v>39</v>
      </c>
      <c r="F4" s="12">
        <v>1.0189999999999999</v>
      </c>
      <c r="G4" s="2" t="s">
        <v>51</v>
      </c>
      <c r="H4" s="2" t="str">
        <f t="shared" si="0"/>
        <v>pending</v>
      </c>
      <c r="I4" s="3">
        <v>43951</v>
      </c>
      <c r="J4" s="18"/>
      <c r="K4" s="14">
        <v>10395.07</v>
      </c>
      <c r="L4" s="14">
        <v>9831.65</v>
      </c>
      <c r="M4" s="14">
        <v>563.41999999999996</v>
      </c>
      <c r="N4" s="14">
        <v>111972.43</v>
      </c>
      <c r="O4" s="19">
        <v>563.41743359087104</v>
      </c>
      <c r="P4" s="16">
        <v>112535.85</v>
      </c>
      <c r="Q4" s="3">
        <f t="shared" si="1"/>
        <v>43951</v>
      </c>
      <c r="R4" s="3"/>
      <c r="S4" s="15">
        <f t="shared" si="2"/>
        <v>8</v>
      </c>
      <c r="T4" s="15">
        <f>IF(AND(Table1[[#This Row],[Tipo de Evento]]="Amortization",Table1[[#This Row],[Status do Evento]]="realized"),Table1[[#This Row],[Data Realizada]]-Table1[[#This Row],[Agenda]],$B$1-Table1[[#This Row],[Agenda]])</f>
        <v>0</v>
      </c>
      <c r="U4" s="16">
        <f t="shared" ref="U4:U15" si="4">IF(G3="disbursement",J3,IFERROR(U3+IF(H3="realized",L3,""),0))</f>
        <v>-111972.43</v>
      </c>
      <c r="V4" s="16">
        <f t="shared" si="3"/>
        <v>563.41743359077157</v>
      </c>
      <c r="W4" s="13">
        <f t="shared" ref="W4:W35" si="5">IF(G4="disbursement","",U4-V4)</f>
        <v>-112535.84743359077</v>
      </c>
      <c r="X4" s="52"/>
      <c r="Y4" s="17">
        <f t="shared" ref="Y4:Y35" si="6">IFERROR(IF(G4="disbursement","",(W4/U4)-1),"")</f>
        <v>5.0317514194411217E-3</v>
      </c>
      <c r="Z4" s="20">
        <f>IF(Table1[[#This Row],[Juros DataBase ou Data Realizada]]&lt;&gt;0,SUM($U$4,-SUM($V$4:V4))/$U$4-1,)</f>
        <v>5.0317514194411217E-3</v>
      </c>
      <c r="AA4" s="24">
        <f>(F4^(1/30)-1)</f>
        <v>6.2758865942558195E-4</v>
      </c>
      <c r="AB4" s="23">
        <f>Table1[[#This Row],[Principal]]/Table1[[#This Row],[Parcela]]</f>
        <v>0.94579930678677493</v>
      </c>
      <c r="AC4" s="55" t="str">
        <f>IF(AND(Table1[[#This Row],[Dias em Atraso]]&gt;0,Table1[[#This Row],[Status do Evento]]="pending",Table1[[#This Row],[Saldo Devedor Atualizado]]&lt;&gt;0),"PDD","")</f>
        <v/>
      </c>
      <c r="AD4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" s="59">
        <f>IFERROR(Table1[[#This Row],[Valor Presente Liquido]]/ABS(Table1[[#This Row],[Saldo Devedor Atualizado]])-1,Table1[[#This Row],[Variação eventos %]])</f>
        <v>5.0317514194411217E-3</v>
      </c>
      <c r="AI4" s="22">
        <f t="array" ref="AI4">MAX(IF(C:C=Table1[[#This Row],[Número Contrato]],I:I))</f>
        <v>44285</v>
      </c>
    </row>
    <row r="5" spans="1:16379" x14ac:dyDescent="0.25">
      <c r="A5" s="2"/>
      <c r="B5" s="2">
        <v>1129</v>
      </c>
      <c r="C5" s="2" t="s">
        <v>17</v>
      </c>
      <c r="D5" s="2" t="s">
        <v>38</v>
      </c>
      <c r="E5" s="2" t="s">
        <v>39</v>
      </c>
      <c r="F5" s="12">
        <v>1.0189999999999999</v>
      </c>
      <c r="G5" s="2" t="s">
        <v>51</v>
      </c>
      <c r="H5" s="2" t="str">
        <f t="shared" si="0"/>
        <v>pending</v>
      </c>
      <c r="I5" s="3">
        <v>43981</v>
      </c>
      <c r="J5" s="13"/>
      <c r="K5" s="14">
        <v>10395.07</v>
      </c>
      <c r="L5" s="14">
        <v>8454.39</v>
      </c>
      <c r="M5" s="14">
        <v>1940.68</v>
      </c>
      <c r="N5" s="14">
        <v>102140.78</v>
      </c>
      <c r="O5" s="19">
        <v>1940.6748200003301</v>
      </c>
      <c r="P5" s="16">
        <v>104081.46</v>
      </c>
      <c r="Q5" s="3">
        <f t="shared" si="1"/>
        <v>43951</v>
      </c>
      <c r="R5" s="3"/>
      <c r="S5" s="15">
        <f t="shared" si="2"/>
        <v>0</v>
      </c>
      <c r="T5" s="15">
        <f>IF(AND(Table1[[#This Row],[Tipo de Evento]]="Amortization",Table1[[#This Row],[Status do Evento]]="realized"),Table1[[#This Row],[Data Realizada]]-Table1[[#This Row],[Agenda]],$B$1-Table1[[#This Row],[Agenda]])</f>
        <v>-30</v>
      </c>
      <c r="U5" s="16">
        <f t="shared" si="4"/>
        <v>0</v>
      </c>
      <c r="V5" s="16">
        <f t="shared" si="3"/>
        <v>0</v>
      </c>
      <c r="W5" s="13">
        <f t="shared" si="5"/>
        <v>0</v>
      </c>
      <c r="X5" s="52"/>
      <c r="Y5" s="17" t="str">
        <f t="shared" si="6"/>
        <v/>
      </c>
      <c r="Z5" s="20">
        <f>IF(Table1[[#This Row],[Juros DataBase ou Data Realizada]]&lt;&gt;0,SUM($U$4,-SUM($V$4:V5))/$U$4-1,)</f>
        <v>0</v>
      </c>
      <c r="AA5" s="24">
        <f t="shared" ref="AA5:AA68" si="7">(F5^(1/30)-1)</f>
        <v>6.2758865942558195E-4</v>
      </c>
      <c r="AB5" s="23">
        <f>Table1[[#This Row],[Principal]]/Table1[[#This Row],[Parcela]]</f>
        <v>0.81330765449390907</v>
      </c>
      <c r="AC5" s="55" t="str">
        <f>IF(AND(Table1[[#This Row],[Dias em Atraso]]&gt;0,Table1[[#This Row],[Status do Evento]]="pending",Table1[[#This Row],[Saldo Devedor Atualizado]]&lt;&gt;0),"PDD","")</f>
        <v/>
      </c>
      <c r="AD5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" s="59" t="str">
        <f>IFERROR(Table1[[#This Row],[Valor Presente Liquido]]/ABS(Table1[[#This Row],[Saldo Devedor Atualizado]])-1,Table1[[#This Row],[Variação eventos %]])</f>
        <v/>
      </c>
      <c r="AI5" s="22">
        <f t="array" ref="AI5">MAX(IF(C:C=Table1[[#This Row],[Número Contrato]],I:I))</f>
        <v>44285</v>
      </c>
    </row>
    <row r="6" spans="1:16379" x14ac:dyDescent="0.25">
      <c r="A6" s="2"/>
      <c r="B6" s="2">
        <v>1129</v>
      </c>
      <c r="C6" s="2" t="s">
        <v>17</v>
      </c>
      <c r="D6" s="2" t="s">
        <v>38</v>
      </c>
      <c r="E6" s="2" t="s">
        <v>39</v>
      </c>
      <c r="F6" s="12">
        <v>1.0189999999999999</v>
      </c>
      <c r="G6" s="2" t="s">
        <v>51</v>
      </c>
      <c r="H6" s="2" t="str">
        <f t="shared" si="0"/>
        <v>pending</v>
      </c>
      <c r="I6" s="3">
        <v>44012</v>
      </c>
      <c r="J6" s="13"/>
      <c r="K6" s="14">
        <v>10395.07</v>
      </c>
      <c r="L6" s="14">
        <v>8555.11</v>
      </c>
      <c r="M6" s="14">
        <v>1839.96</v>
      </c>
      <c r="N6" s="14">
        <v>93686.39</v>
      </c>
      <c r="O6" s="19">
        <v>1839.9550597090499</v>
      </c>
      <c r="P6" s="16">
        <v>95526.35</v>
      </c>
      <c r="Q6" s="3">
        <f t="shared" si="1"/>
        <v>43951</v>
      </c>
      <c r="R6" s="3"/>
      <c r="S6" s="15">
        <f t="shared" si="2"/>
        <v>0</v>
      </c>
      <c r="T6" s="15">
        <f>IF(AND(Table1[[#This Row],[Tipo de Evento]]="Amortization",Table1[[#This Row],[Status do Evento]]="realized"),Table1[[#This Row],[Data Realizada]]-Table1[[#This Row],[Agenda]],$B$1-Table1[[#This Row],[Agenda]])</f>
        <v>-61</v>
      </c>
      <c r="U6" s="16">
        <f t="shared" si="4"/>
        <v>0</v>
      </c>
      <c r="V6" s="16">
        <f t="shared" si="3"/>
        <v>0</v>
      </c>
      <c r="W6" s="13">
        <f t="shared" si="5"/>
        <v>0</v>
      </c>
      <c r="X6" s="52"/>
      <c r="Y6" s="17" t="str">
        <f t="shared" si="6"/>
        <v/>
      </c>
      <c r="Z6" s="20">
        <f>SUM($U$4,-SUM($V$4:V6))/$U$4-1</f>
        <v>5.0317514194411217E-3</v>
      </c>
      <c r="AA6" s="24">
        <f t="shared" si="7"/>
        <v>6.2758865942558195E-4</v>
      </c>
      <c r="AB6" s="23">
        <f>Table1[[#This Row],[Principal]]/Table1[[#This Row],[Parcela]]</f>
        <v>0.82299686293598795</v>
      </c>
      <c r="AC6" s="55" t="str">
        <f>IF(AND(Table1[[#This Row],[Dias em Atraso]]&gt;0,Table1[[#This Row],[Status do Evento]]="pending",Table1[[#This Row],[Saldo Devedor Atualizado]]&lt;&gt;0),"PDD","")</f>
        <v/>
      </c>
      <c r="AD6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" s="59" t="str">
        <f>IFERROR(Table1[[#This Row],[Valor Presente Liquido]]/ABS(Table1[[#This Row],[Saldo Devedor Atualizado]])-1,Table1[[#This Row],[Variação eventos %]])</f>
        <v/>
      </c>
      <c r="AI6" s="22">
        <f t="array" ref="AI6">MAX(IF(C:C=Table1[[#This Row],[Número Contrato]],I:I))</f>
        <v>44285</v>
      </c>
    </row>
    <row r="7" spans="1:16379" x14ac:dyDescent="0.25">
      <c r="A7" s="2"/>
      <c r="B7" s="2">
        <v>1129</v>
      </c>
      <c r="C7" s="2" t="s">
        <v>17</v>
      </c>
      <c r="D7" s="2" t="s">
        <v>38</v>
      </c>
      <c r="E7" s="2" t="s">
        <v>39</v>
      </c>
      <c r="F7" s="12">
        <v>1.0189999999999999</v>
      </c>
      <c r="G7" s="2" t="s">
        <v>51</v>
      </c>
      <c r="H7" s="2" t="str">
        <f t="shared" si="0"/>
        <v>pending</v>
      </c>
      <c r="I7" s="3">
        <v>44042</v>
      </c>
      <c r="J7" s="13"/>
      <c r="K7" s="14">
        <v>10395.07</v>
      </c>
      <c r="L7" s="14">
        <v>8777.57</v>
      </c>
      <c r="M7" s="14">
        <v>1617.5</v>
      </c>
      <c r="N7" s="14">
        <v>85131.28</v>
      </c>
      <c r="O7" s="19">
        <v>1617.4943200002799</v>
      </c>
      <c r="P7" s="16">
        <v>86748.78</v>
      </c>
      <c r="Q7" s="3">
        <f t="shared" si="1"/>
        <v>43951</v>
      </c>
      <c r="R7" s="3"/>
      <c r="S7" s="15">
        <f t="shared" si="2"/>
        <v>0</v>
      </c>
      <c r="T7" s="15">
        <f>IF(AND(Table1[[#This Row],[Tipo de Evento]]="Amortization",Table1[[#This Row],[Status do Evento]]="realized"),Table1[[#This Row],[Data Realizada]]-Table1[[#This Row],[Agenda]],$B$1-Table1[[#This Row],[Agenda]])</f>
        <v>-91</v>
      </c>
      <c r="U7" s="16">
        <f t="shared" si="4"/>
        <v>0</v>
      </c>
      <c r="V7" s="16">
        <f t="shared" si="3"/>
        <v>0</v>
      </c>
      <c r="W7" s="13">
        <f t="shared" si="5"/>
        <v>0</v>
      </c>
      <c r="X7" s="52"/>
      <c r="Y7" s="17" t="str">
        <f t="shared" si="6"/>
        <v/>
      </c>
      <c r="Z7" s="20">
        <f>SUM($U$4,-SUM($V$4:V7))/$U$4-1</f>
        <v>5.0317514194411217E-3</v>
      </c>
      <c r="AA7" s="24">
        <f t="shared" si="7"/>
        <v>6.2758865942558195E-4</v>
      </c>
      <c r="AB7" s="23">
        <f>Table1[[#This Row],[Principal]]/Table1[[#This Row],[Parcela]]</f>
        <v>0.84439739222535293</v>
      </c>
      <c r="AC7" s="55" t="str">
        <f>IF(AND(Table1[[#This Row],[Dias em Atraso]]&gt;0,Table1[[#This Row],[Status do Evento]]="pending",Table1[[#This Row],[Saldo Devedor Atualizado]]&lt;&gt;0),"PDD","")</f>
        <v/>
      </c>
      <c r="AD7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" s="59" t="str">
        <f>IFERROR(Table1[[#This Row],[Valor Presente Liquido]]/ABS(Table1[[#This Row],[Saldo Devedor Atualizado]])-1,Table1[[#This Row],[Variação eventos %]])</f>
        <v/>
      </c>
      <c r="AI7" s="22">
        <f t="array" ref="AI7">MAX(IF(C:C=Table1[[#This Row],[Número Contrato]],I:I))</f>
        <v>44285</v>
      </c>
    </row>
    <row r="8" spans="1:16379" x14ac:dyDescent="0.25">
      <c r="A8" s="2"/>
      <c r="B8" s="2">
        <v>1129</v>
      </c>
      <c r="C8" s="2" t="s">
        <v>17</v>
      </c>
      <c r="D8" s="2" t="s">
        <v>38</v>
      </c>
      <c r="E8" s="2" t="s">
        <v>39</v>
      </c>
      <c r="F8" s="12">
        <v>1.0189999999999999</v>
      </c>
      <c r="G8" s="2" t="s">
        <v>51</v>
      </c>
      <c r="H8" s="2" t="str">
        <f t="shared" si="0"/>
        <v>pending</v>
      </c>
      <c r="I8" s="3">
        <v>44073</v>
      </c>
      <c r="J8" s="13"/>
      <c r="K8" s="14">
        <v>10395.07</v>
      </c>
      <c r="L8" s="14">
        <v>8895.52</v>
      </c>
      <c r="M8" s="14">
        <v>1499.55</v>
      </c>
      <c r="N8" s="14">
        <v>76353.710000000006</v>
      </c>
      <c r="O8" s="19">
        <v>1499.5496682288399</v>
      </c>
      <c r="P8" s="16">
        <v>77853.259999999995</v>
      </c>
      <c r="Q8" s="3">
        <f t="shared" si="1"/>
        <v>43951</v>
      </c>
      <c r="R8" s="3"/>
      <c r="S8" s="15">
        <f t="shared" si="2"/>
        <v>0</v>
      </c>
      <c r="T8" s="15">
        <f>IF(AND(Table1[[#This Row],[Tipo de Evento]]="Amortization",Table1[[#This Row],[Status do Evento]]="realized"),Table1[[#This Row],[Data Realizada]]-Table1[[#This Row],[Agenda]],$B$1-Table1[[#This Row],[Agenda]])</f>
        <v>-122</v>
      </c>
      <c r="U8" s="16">
        <f t="shared" si="4"/>
        <v>0</v>
      </c>
      <c r="V8" s="16">
        <f t="shared" si="3"/>
        <v>0</v>
      </c>
      <c r="W8" s="16">
        <f t="shared" si="5"/>
        <v>0</v>
      </c>
      <c r="X8" s="52"/>
      <c r="Y8" s="17" t="str">
        <f t="shared" si="6"/>
        <v/>
      </c>
      <c r="Z8" s="20">
        <f>SUM($U$4,-SUM($V$4:V8))/$U$4-1</f>
        <v>5.0317514194411217E-3</v>
      </c>
      <c r="AA8" s="24">
        <f t="shared" si="7"/>
        <v>6.2758865942558195E-4</v>
      </c>
      <c r="AB8" s="23">
        <f>Table1[[#This Row],[Principal]]/Table1[[#This Row],[Parcela]]</f>
        <v>0.85574411716323229</v>
      </c>
      <c r="AC8" s="55" t="str">
        <f>IF(AND(Table1[[#This Row],[Dias em Atraso]]&gt;0,Table1[[#This Row],[Status do Evento]]="pending",Table1[[#This Row],[Saldo Devedor Atualizado]]&lt;&gt;0),"PDD","")</f>
        <v/>
      </c>
      <c r="AD8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8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8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8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8" s="59" t="str">
        <f>IFERROR(Table1[[#This Row],[Valor Presente Liquido]]/ABS(Table1[[#This Row],[Saldo Devedor Atualizado]])-1,Table1[[#This Row],[Variação eventos %]])</f>
        <v/>
      </c>
      <c r="AI8" s="22">
        <f t="array" ref="AI8">MAX(IF(C:C=Table1[[#This Row],[Número Contrato]],I:I))</f>
        <v>44285</v>
      </c>
    </row>
    <row r="9" spans="1:16379" x14ac:dyDescent="0.25">
      <c r="A9" s="2"/>
      <c r="B9" s="2">
        <v>1129</v>
      </c>
      <c r="C9" s="2" t="s">
        <v>17</v>
      </c>
      <c r="D9" s="2" t="s">
        <v>38</v>
      </c>
      <c r="E9" s="2" t="s">
        <v>39</v>
      </c>
      <c r="F9" s="12">
        <v>1.0189999999999999</v>
      </c>
      <c r="G9" s="2" t="s">
        <v>51</v>
      </c>
      <c r="H9" s="2" t="str">
        <f t="shared" si="0"/>
        <v>pending</v>
      </c>
      <c r="I9" s="3">
        <v>44104</v>
      </c>
      <c r="J9" s="13"/>
      <c r="K9" s="14">
        <v>10395.07</v>
      </c>
      <c r="L9" s="14">
        <v>9070.2199999999993</v>
      </c>
      <c r="M9" s="14">
        <v>1324.85</v>
      </c>
      <c r="N9" s="14">
        <v>67458.19</v>
      </c>
      <c r="O9" s="19">
        <v>1324.84598893515</v>
      </c>
      <c r="P9" s="16">
        <v>68783.039999999994</v>
      </c>
      <c r="Q9" s="3">
        <f t="shared" si="1"/>
        <v>43951</v>
      </c>
      <c r="R9" s="3"/>
      <c r="S9" s="15">
        <f t="shared" si="2"/>
        <v>0</v>
      </c>
      <c r="T9" s="15">
        <f>IF(AND(Table1[[#This Row],[Tipo de Evento]]="Amortization",Table1[[#This Row],[Status do Evento]]="realized"),Table1[[#This Row],[Data Realizada]]-Table1[[#This Row],[Agenda]],$B$1-Table1[[#This Row],[Agenda]])</f>
        <v>-153</v>
      </c>
      <c r="U9" s="16">
        <f t="shared" si="4"/>
        <v>0</v>
      </c>
      <c r="V9" s="16">
        <f t="shared" si="3"/>
        <v>0</v>
      </c>
      <c r="W9" s="16">
        <f t="shared" si="5"/>
        <v>0</v>
      </c>
      <c r="X9" s="52"/>
      <c r="Y9" s="17" t="str">
        <f t="shared" si="6"/>
        <v/>
      </c>
      <c r="Z9" s="20">
        <f>SUM($U$4,-SUM($V$4:V9))/$U$4-1</f>
        <v>5.0317514194411217E-3</v>
      </c>
      <c r="AA9" s="24">
        <f t="shared" si="7"/>
        <v>6.2758865942558195E-4</v>
      </c>
      <c r="AB9" s="23">
        <f>Table1[[#This Row],[Principal]]/Table1[[#This Row],[Parcela]]</f>
        <v>0.87255016079737791</v>
      </c>
      <c r="AC9" s="55" t="str">
        <f>IF(AND(Table1[[#This Row],[Dias em Atraso]]&gt;0,Table1[[#This Row],[Status do Evento]]="pending",Table1[[#This Row],[Saldo Devedor Atualizado]]&lt;&gt;0),"PDD","")</f>
        <v/>
      </c>
      <c r="AD9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9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9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9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9" s="59" t="str">
        <f>IFERROR(Table1[[#This Row],[Valor Presente Liquido]]/ABS(Table1[[#This Row],[Saldo Devedor Atualizado]])-1,Table1[[#This Row],[Variação eventos %]])</f>
        <v/>
      </c>
      <c r="AI9" s="22">
        <f t="array" ref="AI9">MAX(IF(C:C=Table1[[#This Row],[Número Contrato]],I:I))</f>
        <v>44285</v>
      </c>
    </row>
    <row r="10" spans="1:16379" x14ac:dyDescent="0.25">
      <c r="A10" s="2"/>
      <c r="B10" s="2">
        <v>1129</v>
      </c>
      <c r="C10" s="2" t="s">
        <v>17</v>
      </c>
      <c r="D10" s="2" t="s">
        <v>38</v>
      </c>
      <c r="E10" s="2" t="s">
        <v>39</v>
      </c>
      <c r="F10" s="12">
        <v>1.0189999999999999</v>
      </c>
      <c r="G10" s="2" t="s">
        <v>51</v>
      </c>
      <c r="H10" s="2" t="str">
        <f t="shared" si="0"/>
        <v>pending</v>
      </c>
      <c r="I10" s="3">
        <v>44134</v>
      </c>
      <c r="J10" s="13"/>
      <c r="K10" s="14">
        <v>10395.07</v>
      </c>
      <c r="L10" s="14">
        <v>9285.7000000000007</v>
      </c>
      <c r="M10" s="14">
        <v>1109.3699999999999</v>
      </c>
      <c r="N10" s="14">
        <v>58387.97</v>
      </c>
      <c r="O10" s="19">
        <v>1109.37143000019</v>
      </c>
      <c r="P10" s="16">
        <v>59497.34</v>
      </c>
      <c r="Q10" s="3">
        <f t="shared" si="1"/>
        <v>43951</v>
      </c>
      <c r="R10" s="3"/>
      <c r="S10" s="15">
        <f t="shared" si="2"/>
        <v>0</v>
      </c>
      <c r="T10" s="15">
        <f>IF(AND(Table1[[#This Row],[Tipo de Evento]]="Amortization",Table1[[#This Row],[Status do Evento]]="realized"),Table1[[#This Row],[Data Realizada]]-Table1[[#This Row],[Agenda]],$B$1-Table1[[#This Row],[Agenda]])</f>
        <v>-183</v>
      </c>
      <c r="U10" s="16">
        <f t="shared" si="4"/>
        <v>0</v>
      </c>
      <c r="V10" s="16">
        <f t="shared" si="3"/>
        <v>0</v>
      </c>
      <c r="W10" s="16">
        <f t="shared" si="5"/>
        <v>0</v>
      </c>
      <c r="X10" s="52"/>
      <c r="Y10" s="17" t="str">
        <f t="shared" si="6"/>
        <v/>
      </c>
      <c r="Z10" s="20">
        <f>SUM($U$4,-SUM($V$4:V10))/$U$4-1</f>
        <v>5.0317514194411217E-3</v>
      </c>
      <c r="AA10" s="24">
        <f t="shared" si="7"/>
        <v>6.2758865942558195E-4</v>
      </c>
      <c r="AB10" s="23">
        <f>Table1[[#This Row],[Principal]]/Table1[[#This Row],[Parcela]]</f>
        <v>0.89327921793696441</v>
      </c>
      <c r="AC10" s="55" t="str">
        <f>IF(AND(Table1[[#This Row],[Dias em Atraso]]&gt;0,Table1[[#This Row],[Status do Evento]]="pending",Table1[[#This Row],[Saldo Devedor Atualizado]]&lt;&gt;0),"PDD","")</f>
        <v/>
      </c>
      <c r="AD10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0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0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0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0" s="59" t="str">
        <f>IFERROR(Table1[[#This Row],[Valor Presente Liquido]]/ABS(Table1[[#This Row],[Saldo Devedor Atualizado]])-1,Table1[[#This Row],[Variação eventos %]])</f>
        <v/>
      </c>
      <c r="AI10" s="22">
        <f t="array" ref="AI10">MAX(IF(C:C=Table1[[#This Row],[Número Contrato]],I:I))</f>
        <v>44285</v>
      </c>
    </row>
    <row r="11" spans="1:16379" x14ac:dyDescent="0.25">
      <c r="A11" s="2"/>
      <c r="B11" s="2">
        <v>1129</v>
      </c>
      <c r="C11" s="2" t="s">
        <v>17</v>
      </c>
      <c r="D11" s="2" t="s">
        <v>38</v>
      </c>
      <c r="E11" s="2" t="s">
        <v>39</v>
      </c>
      <c r="F11" s="12">
        <v>1.0189999999999999</v>
      </c>
      <c r="G11" s="2" t="s">
        <v>51</v>
      </c>
      <c r="H11" s="2" t="str">
        <f t="shared" si="0"/>
        <v>pending</v>
      </c>
      <c r="I11" s="3">
        <v>44165</v>
      </c>
      <c r="J11" s="13"/>
      <c r="K11" s="14">
        <v>10395.07</v>
      </c>
      <c r="L11" s="14">
        <v>9430.7199999999993</v>
      </c>
      <c r="M11" s="14">
        <v>964.35</v>
      </c>
      <c r="N11" s="14">
        <v>49102.27</v>
      </c>
      <c r="O11" s="19">
        <v>964.34466233248997</v>
      </c>
      <c r="P11" s="16">
        <v>50066.62</v>
      </c>
      <c r="Q11" s="3">
        <f t="shared" si="1"/>
        <v>43951</v>
      </c>
      <c r="R11" s="3"/>
      <c r="S11" s="15">
        <f t="shared" si="2"/>
        <v>0</v>
      </c>
      <c r="T11" s="15">
        <f>IF(AND(Table1[[#This Row],[Tipo de Evento]]="Amortization",Table1[[#This Row],[Status do Evento]]="realized"),Table1[[#This Row],[Data Realizada]]-Table1[[#This Row],[Agenda]],$B$1-Table1[[#This Row],[Agenda]])</f>
        <v>-214</v>
      </c>
      <c r="U11" s="16">
        <f t="shared" si="4"/>
        <v>0</v>
      </c>
      <c r="V11" s="16">
        <f t="shared" si="3"/>
        <v>0</v>
      </c>
      <c r="W11" s="16">
        <f t="shared" si="5"/>
        <v>0</v>
      </c>
      <c r="X11" s="52"/>
      <c r="Y11" s="17" t="str">
        <f t="shared" si="6"/>
        <v/>
      </c>
      <c r="Z11" s="20">
        <f>SUM($U$4,-SUM($V$4:V11))/$U$4-1</f>
        <v>5.0317514194411217E-3</v>
      </c>
      <c r="AA11" s="24">
        <f t="shared" si="7"/>
        <v>6.2758865942558195E-4</v>
      </c>
      <c r="AB11" s="23">
        <f>Table1[[#This Row],[Principal]]/Table1[[#This Row],[Parcela]]</f>
        <v>0.90723006194282474</v>
      </c>
      <c r="AC11" s="55" t="str">
        <f>IF(AND(Table1[[#This Row],[Dias em Atraso]]&gt;0,Table1[[#This Row],[Status do Evento]]="pending",Table1[[#This Row],[Saldo Devedor Atualizado]]&lt;&gt;0),"PDD","")</f>
        <v/>
      </c>
      <c r="AD11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1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1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1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1" s="59" t="str">
        <f>IFERROR(Table1[[#This Row],[Valor Presente Liquido]]/ABS(Table1[[#This Row],[Saldo Devedor Atualizado]])-1,Table1[[#This Row],[Variação eventos %]])</f>
        <v/>
      </c>
      <c r="AI11" s="22">
        <f t="array" ref="AI11">MAX(IF(C:C=Table1[[#This Row],[Número Contrato]],I:I))</f>
        <v>44285</v>
      </c>
    </row>
    <row r="12" spans="1:16379" x14ac:dyDescent="0.25">
      <c r="A12" s="2"/>
      <c r="B12" s="2">
        <v>1129</v>
      </c>
      <c r="C12" s="2" t="s">
        <v>17</v>
      </c>
      <c r="D12" s="2" t="s">
        <v>38</v>
      </c>
      <c r="E12" s="2" t="s">
        <v>39</v>
      </c>
      <c r="F12" s="12">
        <v>1.0189999999999999</v>
      </c>
      <c r="G12" s="2" t="s">
        <v>51</v>
      </c>
      <c r="H12" s="2" t="str">
        <f t="shared" si="0"/>
        <v>pending</v>
      </c>
      <c r="I12" s="3">
        <v>44195</v>
      </c>
      <c r="J12" s="13"/>
      <c r="K12" s="14">
        <v>10395.07</v>
      </c>
      <c r="L12" s="14">
        <v>9641.31</v>
      </c>
      <c r="M12" s="14">
        <v>753.76</v>
      </c>
      <c r="N12" s="14">
        <v>39671.550000000003</v>
      </c>
      <c r="O12" s="19">
        <v>753.75945000012803</v>
      </c>
      <c r="P12" s="16">
        <v>40425.31</v>
      </c>
      <c r="Q12" s="3">
        <f t="shared" si="1"/>
        <v>43951</v>
      </c>
      <c r="R12" s="3"/>
      <c r="S12" s="15">
        <f t="shared" si="2"/>
        <v>0</v>
      </c>
      <c r="T12" s="15">
        <f>IF(AND(Table1[[#This Row],[Tipo de Evento]]="Amortization",Table1[[#This Row],[Status do Evento]]="realized"),Table1[[#This Row],[Data Realizada]]-Table1[[#This Row],[Agenda]],$B$1-Table1[[#This Row],[Agenda]])</f>
        <v>-244</v>
      </c>
      <c r="U12" s="16">
        <f t="shared" si="4"/>
        <v>0</v>
      </c>
      <c r="V12" s="16">
        <f t="shared" si="3"/>
        <v>0</v>
      </c>
      <c r="W12" s="16">
        <f t="shared" si="5"/>
        <v>0</v>
      </c>
      <c r="X12" s="52"/>
      <c r="Y12" s="17" t="str">
        <f t="shared" si="6"/>
        <v/>
      </c>
      <c r="Z12" s="20">
        <f>SUM($U$4,-SUM($V$4:V12))/$U$4-1</f>
        <v>5.0317514194411217E-3</v>
      </c>
      <c r="AA12" s="24">
        <f t="shared" si="7"/>
        <v>6.2758865942558195E-4</v>
      </c>
      <c r="AB12" s="23">
        <f>Table1[[#This Row],[Principal]]/Table1[[#This Row],[Parcela]]</f>
        <v>0.92748870377977255</v>
      </c>
      <c r="AC12" s="55" t="str">
        <f>IF(AND(Table1[[#This Row],[Dias em Atraso]]&gt;0,Table1[[#This Row],[Status do Evento]]="pending",Table1[[#This Row],[Saldo Devedor Atualizado]]&lt;&gt;0),"PDD","")</f>
        <v/>
      </c>
      <c r="AD12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2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2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2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2" s="59" t="str">
        <f>IFERROR(Table1[[#This Row],[Valor Presente Liquido]]/ABS(Table1[[#This Row],[Saldo Devedor Atualizado]])-1,Table1[[#This Row],[Variação eventos %]])</f>
        <v/>
      </c>
      <c r="AI12" s="22">
        <f t="array" ref="AI12">MAX(IF(C:C=Table1[[#This Row],[Número Contrato]],I:I))</f>
        <v>44285</v>
      </c>
    </row>
    <row r="13" spans="1:16379" x14ac:dyDescent="0.25">
      <c r="A13" s="2"/>
      <c r="B13" s="2">
        <v>1129</v>
      </c>
      <c r="C13" s="2" t="s">
        <v>17</v>
      </c>
      <c r="D13" s="2" t="s">
        <v>38</v>
      </c>
      <c r="E13" s="2" t="s">
        <v>39</v>
      </c>
      <c r="F13" s="12">
        <v>1.0189999999999999</v>
      </c>
      <c r="G13" s="2" t="s">
        <v>51</v>
      </c>
      <c r="H13" s="2" t="str">
        <f t="shared" si="0"/>
        <v>pending</v>
      </c>
      <c r="I13" s="3">
        <v>44226</v>
      </c>
      <c r="J13" s="13"/>
      <c r="K13" s="14">
        <v>10395.07</v>
      </c>
      <c r="L13" s="14">
        <v>9805.2900000000009</v>
      </c>
      <c r="M13" s="14">
        <v>589.77999999999895</v>
      </c>
      <c r="N13" s="14">
        <v>30030.240000000002</v>
      </c>
      <c r="O13" s="19">
        <v>589.77928418713896</v>
      </c>
      <c r="P13" s="16">
        <v>30620.02</v>
      </c>
      <c r="Q13" s="3">
        <f t="shared" si="1"/>
        <v>43951</v>
      </c>
      <c r="R13" s="3"/>
      <c r="S13" s="15">
        <f t="shared" si="2"/>
        <v>0</v>
      </c>
      <c r="T13" s="15">
        <f>IF(AND(Table1[[#This Row],[Tipo de Evento]]="Amortization",Table1[[#This Row],[Status do Evento]]="realized"),Table1[[#This Row],[Data Realizada]]-Table1[[#This Row],[Agenda]],$B$1-Table1[[#This Row],[Agenda]])</f>
        <v>-275</v>
      </c>
      <c r="U13" s="16">
        <f t="shared" si="4"/>
        <v>0</v>
      </c>
      <c r="V13" s="16">
        <f t="shared" si="3"/>
        <v>0</v>
      </c>
      <c r="W13" s="16">
        <f t="shared" si="5"/>
        <v>0</v>
      </c>
      <c r="X13" s="52"/>
      <c r="Y13" s="17" t="str">
        <f t="shared" si="6"/>
        <v/>
      </c>
      <c r="Z13" s="20">
        <f>SUM($U$4,-SUM($V$4:V13))/$U$4-1</f>
        <v>5.0317514194411217E-3</v>
      </c>
      <c r="AA13" s="24">
        <f t="shared" si="7"/>
        <v>6.2758865942558195E-4</v>
      </c>
      <c r="AB13" s="23">
        <f>Table1[[#This Row],[Principal]]/Table1[[#This Row],[Parcela]]</f>
        <v>0.94326348932715232</v>
      </c>
      <c r="AC13" s="55" t="str">
        <f>IF(AND(Table1[[#This Row],[Dias em Atraso]]&gt;0,Table1[[#This Row],[Status do Evento]]="pending",Table1[[#This Row],[Saldo Devedor Atualizado]]&lt;&gt;0),"PDD","")</f>
        <v/>
      </c>
      <c r="AD13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3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3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3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3" s="59" t="str">
        <f>IFERROR(Table1[[#This Row],[Valor Presente Liquido]]/ABS(Table1[[#This Row],[Saldo Devedor Atualizado]])-1,Table1[[#This Row],[Variação eventos %]])</f>
        <v/>
      </c>
      <c r="AI13" s="22">
        <f t="array" ref="AI13">MAX(IF(C:C=Table1[[#This Row],[Número Contrato]],I:I))</f>
        <v>44285</v>
      </c>
    </row>
    <row r="14" spans="1:16379" x14ac:dyDescent="0.25">
      <c r="A14" s="2"/>
      <c r="B14" s="2">
        <v>1129</v>
      </c>
      <c r="C14" s="2" t="s">
        <v>17</v>
      </c>
      <c r="D14" s="2" t="s">
        <v>38</v>
      </c>
      <c r="E14" s="2" t="s">
        <v>39</v>
      </c>
      <c r="F14" s="12">
        <v>1.0189999999999999</v>
      </c>
      <c r="G14" s="2" t="s">
        <v>51</v>
      </c>
      <c r="H14" s="2" t="str">
        <f t="shared" si="0"/>
        <v>pending</v>
      </c>
      <c r="I14" s="3">
        <v>44255</v>
      </c>
      <c r="J14" s="13"/>
      <c r="K14" s="14">
        <v>10395.07</v>
      </c>
      <c r="L14" s="14">
        <v>10023.719999999999</v>
      </c>
      <c r="M14" s="14">
        <v>371.35</v>
      </c>
      <c r="N14" s="14">
        <v>20224.95</v>
      </c>
      <c r="O14" s="19">
        <v>371.34804691967003</v>
      </c>
      <c r="P14" s="16">
        <v>20596.3</v>
      </c>
      <c r="Q14" s="3">
        <f t="shared" si="1"/>
        <v>43951</v>
      </c>
      <c r="R14" s="3"/>
      <c r="S14" s="15">
        <f t="shared" si="2"/>
        <v>0</v>
      </c>
      <c r="T14" s="15">
        <f>IF(AND(Table1[[#This Row],[Tipo de Evento]]="Amortization",Table1[[#This Row],[Status do Evento]]="realized"),Table1[[#This Row],[Data Realizada]]-Table1[[#This Row],[Agenda]],$B$1-Table1[[#This Row],[Agenda]])</f>
        <v>-304</v>
      </c>
      <c r="U14" s="16">
        <f t="shared" si="4"/>
        <v>0</v>
      </c>
      <c r="V14" s="16">
        <f t="shared" si="3"/>
        <v>0</v>
      </c>
      <c r="W14" s="16">
        <f t="shared" si="5"/>
        <v>0</v>
      </c>
      <c r="X14" s="52"/>
      <c r="Y14" s="17" t="str">
        <f t="shared" si="6"/>
        <v/>
      </c>
      <c r="Z14" s="20">
        <f>SUM($U$4,-SUM($V$4:V14))/$U$4-1</f>
        <v>5.0317514194411217E-3</v>
      </c>
      <c r="AA14" s="24">
        <f t="shared" si="7"/>
        <v>6.2758865942558195E-4</v>
      </c>
      <c r="AB14" s="23">
        <f>Table1[[#This Row],[Principal]]/Table1[[#This Row],[Parcela]]</f>
        <v>0.96427633483949604</v>
      </c>
      <c r="AC14" s="55" t="str">
        <f>IF(AND(Table1[[#This Row],[Dias em Atraso]]&gt;0,Table1[[#This Row],[Status do Evento]]="pending",Table1[[#This Row],[Saldo Devedor Atualizado]]&lt;&gt;0),"PDD","")</f>
        <v/>
      </c>
      <c r="AD14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4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4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4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4" s="59" t="str">
        <f>IFERROR(Table1[[#This Row],[Valor Presente Liquido]]/ABS(Table1[[#This Row],[Saldo Devedor Atualizado]])-1,Table1[[#This Row],[Variação eventos %]])</f>
        <v/>
      </c>
      <c r="AI14" s="22">
        <f t="array" ref="AI14">MAX(IF(C:C=Table1[[#This Row],[Número Contrato]],I:I))</f>
        <v>44285</v>
      </c>
    </row>
    <row r="15" spans="1:16379" x14ac:dyDescent="0.25">
      <c r="A15" s="2"/>
      <c r="B15" s="2">
        <v>1129</v>
      </c>
      <c r="C15" s="2" t="s">
        <v>17</v>
      </c>
      <c r="D15" s="2" t="s">
        <v>38</v>
      </c>
      <c r="E15" s="2" t="s">
        <v>39</v>
      </c>
      <c r="F15" s="12">
        <v>1.0189999999999999</v>
      </c>
      <c r="G15" s="2" t="s">
        <v>51</v>
      </c>
      <c r="H15" s="2" t="str">
        <f t="shared" si="0"/>
        <v>pending</v>
      </c>
      <c r="I15" s="3">
        <v>44285</v>
      </c>
      <c r="J15" s="13"/>
      <c r="K15" s="14">
        <v>10395.07</v>
      </c>
      <c r="L15" s="14">
        <v>10201.24</v>
      </c>
      <c r="M15" s="14">
        <v>193.83</v>
      </c>
      <c r="N15" s="14">
        <v>10201.23</v>
      </c>
      <c r="O15" s="19">
        <v>193.82337000003301</v>
      </c>
      <c r="P15" s="16">
        <v>10395.06</v>
      </c>
      <c r="Q15" s="3">
        <f t="shared" si="1"/>
        <v>43951</v>
      </c>
      <c r="R15" s="3"/>
      <c r="S15" s="15">
        <f t="shared" si="2"/>
        <v>0</v>
      </c>
      <c r="T15" s="15">
        <f>IF(AND(Table1[[#This Row],[Tipo de Evento]]="Amortization",Table1[[#This Row],[Status do Evento]]="realized"),Table1[[#This Row],[Data Realizada]]-Table1[[#This Row],[Agenda]],$B$1-Table1[[#This Row],[Agenda]])</f>
        <v>-334</v>
      </c>
      <c r="U15" s="16">
        <f t="shared" si="4"/>
        <v>0</v>
      </c>
      <c r="V15" s="16">
        <f t="shared" si="3"/>
        <v>0</v>
      </c>
      <c r="W15" s="16">
        <f t="shared" si="5"/>
        <v>0</v>
      </c>
      <c r="X15" s="52"/>
      <c r="Y15" s="17" t="str">
        <f t="shared" si="6"/>
        <v/>
      </c>
      <c r="Z15" s="20">
        <f>SUM($U$4,-SUM($V$4:V15))/$U$4-1</f>
        <v>5.0317514194411217E-3</v>
      </c>
      <c r="AA15" s="24">
        <f t="shared" si="7"/>
        <v>6.2758865942558195E-4</v>
      </c>
      <c r="AB15" s="23">
        <f>Table1[[#This Row],[Principal]]/Table1[[#This Row],[Parcela]]</f>
        <v>0.98135366091810827</v>
      </c>
      <c r="AC15" s="55" t="str">
        <f>IF(AND(Table1[[#This Row],[Dias em Atraso]]&gt;0,Table1[[#This Row],[Status do Evento]]="pending",Table1[[#This Row],[Saldo Devedor Atualizado]]&lt;&gt;0),"PDD","")</f>
        <v/>
      </c>
      <c r="AD15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5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5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5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5" s="59" t="str">
        <f>IFERROR(Table1[[#This Row],[Valor Presente Liquido]]/ABS(Table1[[#This Row],[Saldo Devedor Atualizado]])-1,Table1[[#This Row],[Variação eventos %]])</f>
        <v/>
      </c>
      <c r="AI15" s="22">
        <f t="array" ref="AI15">MAX(IF(C:C=Table1[[#This Row],[Número Contrato]],I:I))</f>
        <v>44285</v>
      </c>
    </row>
    <row r="16" spans="1:16379" x14ac:dyDescent="0.25">
      <c r="A16" s="2"/>
      <c r="B16" s="2">
        <v>1133</v>
      </c>
      <c r="C16" s="2" t="s">
        <v>15</v>
      </c>
      <c r="D16" s="2" t="s">
        <v>28</v>
      </c>
      <c r="E16" s="2" t="s">
        <v>29</v>
      </c>
      <c r="F16" s="12">
        <v>1.0249999999999999</v>
      </c>
      <c r="G16" s="2" t="s">
        <v>50</v>
      </c>
      <c r="H16" s="2" t="str">
        <f t="shared" si="0"/>
        <v>realized</v>
      </c>
      <c r="I16" s="3">
        <v>43951</v>
      </c>
      <c r="J16" s="13">
        <v>-40761.919999999998</v>
      </c>
      <c r="K16" s="14"/>
      <c r="L16" s="14"/>
      <c r="M16" s="14"/>
      <c r="N16" s="14"/>
      <c r="O16" s="16"/>
      <c r="P16" s="16"/>
      <c r="Q16" s="3">
        <f t="shared" si="1"/>
        <v>43951</v>
      </c>
      <c r="R16" s="3"/>
      <c r="S16" s="15" t="str">
        <f t="shared" si="2"/>
        <v/>
      </c>
      <c r="T16" s="15">
        <f>IF(AND(Table1[[#This Row],[Tipo de Evento]]="Amortization",Table1[[#This Row],[Status do Evento]]="realized"),Table1[[#This Row],[Data Realizada]]-Table1[[#This Row],[Agenda]],$B$1-Table1[[#This Row],[Agenda]])</f>
        <v>0</v>
      </c>
      <c r="U16" s="16"/>
      <c r="V16" s="16" t="str">
        <f t="shared" si="3"/>
        <v/>
      </c>
      <c r="W16" s="16" t="str">
        <f t="shared" si="5"/>
        <v/>
      </c>
      <c r="X16" s="52"/>
      <c r="Y16" s="17" t="str">
        <f t="shared" si="6"/>
        <v/>
      </c>
      <c r="Z16" s="20"/>
      <c r="AA16" s="24"/>
      <c r="AB16" s="23"/>
      <c r="AC16" s="55" t="str">
        <f>IF(AND(Table1[[#This Row],[Dias em Atraso]]&gt;0,Table1[[#This Row],[Status do Evento]]="pending",Table1[[#This Row],[Saldo Devedor Atualizado]]&lt;&gt;0),"PDD","")</f>
        <v/>
      </c>
      <c r="AD16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6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6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6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6" s="59" t="str">
        <f>IFERROR(Table1[[#This Row],[Valor Presente Liquido]]/ABS(Table1[[#This Row],[Saldo Devedor Atualizado]])-1,Table1[[#This Row],[Variação eventos %]])</f>
        <v/>
      </c>
      <c r="AI16" s="22">
        <f t="array" ref="AI16">MAX(IF(C:C=Table1[[#This Row],[Número Contrato]],I:I))</f>
        <v>44312</v>
      </c>
    </row>
    <row r="17" spans="1:35" x14ac:dyDescent="0.25">
      <c r="A17" s="2"/>
      <c r="B17" s="2">
        <v>1133</v>
      </c>
      <c r="C17" s="2" t="s">
        <v>15</v>
      </c>
      <c r="D17" s="2" t="s">
        <v>28</v>
      </c>
      <c r="E17" s="2" t="s">
        <v>29</v>
      </c>
      <c r="F17" s="12">
        <v>1.0249999999999999</v>
      </c>
      <c r="G17" s="2" t="s">
        <v>51</v>
      </c>
      <c r="H17" s="2" t="str">
        <f t="shared" si="0"/>
        <v>pending</v>
      </c>
      <c r="I17" s="3">
        <v>44312</v>
      </c>
      <c r="J17" s="13"/>
      <c r="K17" s="14">
        <v>54865.39</v>
      </c>
      <c r="L17" s="14">
        <v>40761.919999999998</v>
      </c>
      <c r="M17" s="14">
        <v>14103.47</v>
      </c>
      <c r="N17" s="14">
        <v>40761.919999999998</v>
      </c>
      <c r="O17" s="16">
        <v>14103.4710779098</v>
      </c>
      <c r="P17" s="16">
        <v>54865.39</v>
      </c>
      <c r="Q17" s="3">
        <f t="shared" si="1"/>
        <v>43951</v>
      </c>
      <c r="R17" s="3"/>
      <c r="S17" s="15">
        <f t="shared" si="2"/>
        <v>0</v>
      </c>
      <c r="T17" s="15">
        <f>IF(AND(Table1[[#This Row],[Tipo de Evento]]="Amortization",Table1[[#This Row],[Status do Evento]]="realized"),Table1[[#This Row],[Data Realizada]]-Table1[[#This Row],[Agenda]],$B$1-Table1[[#This Row],[Agenda]])</f>
        <v>-361</v>
      </c>
      <c r="U17" s="16">
        <f>IF(G16="disbursement",J16,IFERROR(U16+IF(H16="realized",L16,""),0))</f>
        <v>-40761.919999999998</v>
      </c>
      <c r="V17" s="16">
        <f t="shared" si="3"/>
        <v>0</v>
      </c>
      <c r="W17" s="16">
        <f t="shared" si="5"/>
        <v>-40761.919999999998</v>
      </c>
      <c r="X17" s="52"/>
      <c r="Y17" s="17">
        <f t="shared" si="6"/>
        <v>0</v>
      </c>
      <c r="Z17" s="20">
        <f>SUM($U$17,-SUM($V$17:V17))/$U$17-1</f>
        <v>0</v>
      </c>
      <c r="AA17" s="24">
        <f t="shared" si="7"/>
        <v>8.2342591547712729E-4</v>
      </c>
      <c r="AB17" s="23">
        <f>Table1[[#This Row],[Principal]]/Table1[[#This Row],[Parcela]]</f>
        <v>0.74294414019475663</v>
      </c>
      <c r="AC17" s="55" t="str">
        <f>IF(AND(Table1[[#This Row],[Dias em Atraso]]&gt;0,Table1[[#This Row],[Status do Evento]]="pending",Table1[[#This Row],[Saldo Devedor Atualizado]]&lt;&gt;0),"PDD","")</f>
        <v/>
      </c>
      <c r="AD17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7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7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7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7" s="59">
        <f>IFERROR(Table1[[#This Row],[Valor Presente Liquido]]/ABS(Table1[[#This Row],[Saldo Devedor Atualizado]])-1,Table1[[#This Row],[Variação eventos %]])</f>
        <v>0</v>
      </c>
      <c r="AI17" s="22">
        <f t="array" ref="AI17">MAX(IF(C:C=Table1[[#This Row],[Número Contrato]],I:I))</f>
        <v>44312</v>
      </c>
    </row>
    <row r="18" spans="1:35" x14ac:dyDescent="0.25">
      <c r="A18" s="2"/>
      <c r="B18" s="2">
        <v>1134</v>
      </c>
      <c r="C18" s="2" t="s">
        <v>9</v>
      </c>
      <c r="D18" s="2" t="s">
        <v>28</v>
      </c>
      <c r="E18" s="2" t="s">
        <v>29</v>
      </c>
      <c r="F18" s="12">
        <v>1.0249999999999999</v>
      </c>
      <c r="G18" s="2" t="s">
        <v>50</v>
      </c>
      <c r="H18" s="2" t="str">
        <f t="shared" si="0"/>
        <v>realized</v>
      </c>
      <c r="I18" s="3">
        <v>43951</v>
      </c>
      <c r="J18" s="13">
        <v>-103359.17</v>
      </c>
      <c r="K18" s="14"/>
      <c r="L18" s="14"/>
      <c r="M18" s="14"/>
      <c r="N18" s="14"/>
      <c r="O18" s="16"/>
      <c r="P18" s="16"/>
      <c r="Q18" s="3">
        <f t="shared" si="1"/>
        <v>43951</v>
      </c>
      <c r="R18" s="3"/>
      <c r="S18" s="15" t="str">
        <f t="shared" si="2"/>
        <v/>
      </c>
      <c r="T18" s="15">
        <f>IF(AND(Table1[[#This Row],[Tipo de Evento]]="Amortization",Table1[[#This Row],[Status do Evento]]="realized"),Table1[[#This Row],[Data Realizada]]-Table1[[#This Row],[Agenda]],$B$1-Table1[[#This Row],[Agenda]])</f>
        <v>0</v>
      </c>
      <c r="U18" s="16"/>
      <c r="V18" s="16" t="str">
        <f t="shared" si="3"/>
        <v/>
      </c>
      <c r="W18" s="16" t="str">
        <f t="shared" si="5"/>
        <v/>
      </c>
      <c r="X18" s="52"/>
      <c r="Y18" s="17" t="str">
        <f t="shared" si="6"/>
        <v/>
      </c>
      <c r="Z18" s="20"/>
      <c r="AA18" s="24"/>
      <c r="AB18" s="23"/>
      <c r="AC18" s="55" t="str">
        <f>IF(AND(Table1[[#This Row],[Dias em Atraso]]&gt;0,Table1[[#This Row],[Status do Evento]]="pending",Table1[[#This Row],[Saldo Devedor Atualizado]]&lt;&gt;0),"PDD","")</f>
        <v/>
      </c>
      <c r="AD18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8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8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8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8" s="59" t="str">
        <f>IFERROR(Table1[[#This Row],[Valor Presente Liquido]]/ABS(Table1[[#This Row],[Saldo Devedor Atualizado]])-1,Table1[[#This Row],[Variação eventos %]])</f>
        <v/>
      </c>
      <c r="AI18" s="22">
        <f t="array" ref="AI18">MAX(IF(C:C=Table1[[#This Row],[Número Contrato]],I:I))</f>
        <v>44312</v>
      </c>
    </row>
    <row r="19" spans="1:35" x14ac:dyDescent="0.25">
      <c r="A19" s="2"/>
      <c r="B19" s="2">
        <v>1134</v>
      </c>
      <c r="C19" s="2" t="s">
        <v>9</v>
      </c>
      <c r="D19" s="2" t="s">
        <v>28</v>
      </c>
      <c r="E19" s="2" t="s">
        <v>29</v>
      </c>
      <c r="F19" s="12">
        <v>1.0249999999999999</v>
      </c>
      <c r="G19" s="2" t="s">
        <v>51</v>
      </c>
      <c r="H19" s="2" t="str">
        <f t="shared" si="0"/>
        <v>pending</v>
      </c>
      <c r="I19" s="3">
        <v>43977</v>
      </c>
      <c r="J19" s="13"/>
      <c r="K19" s="14">
        <v>10068.1</v>
      </c>
      <c r="L19" s="14">
        <v>7832.35</v>
      </c>
      <c r="M19" s="14">
        <v>2235.75</v>
      </c>
      <c r="N19" s="14">
        <v>103359.17</v>
      </c>
      <c r="O19" s="16">
        <v>2235.7510566733199</v>
      </c>
      <c r="P19" s="16">
        <v>105594.92</v>
      </c>
      <c r="Q19" s="3">
        <f t="shared" si="1"/>
        <v>43951</v>
      </c>
      <c r="R19" s="3"/>
      <c r="S19" s="15">
        <f t="shared" si="2"/>
        <v>0</v>
      </c>
      <c r="T19" s="15">
        <f>IF(AND(Table1[[#This Row],[Tipo de Evento]]="Amortization",Table1[[#This Row],[Status do Evento]]="realized"),Table1[[#This Row],[Data Realizada]]-Table1[[#This Row],[Agenda]],$B$1-Table1[[#This Row],[Agenda]])</f>
        <v>-26</v>
      </c>
      <c r="U19" s="16">
        <f t="shared" ref="U19:U30" si="8">IF(G18="disbursement",J18,IFERROR(U18+IF(H18="realized",L18,""),0))</f>
        <v>-103359.17</v>
      </c>
      <c r="V19" s="16">
        <f t="shared" si="3"/>
        <v>0</v>
      </c>
      <c r="W19" s="16">
        <f t="shared" si="5"/>
        <v>-103359.17</v>
      </c>
      <c r="X19" s="52"/>
      <c r="Y19" s="17">
        <f t="shared" si="6"/>
        <v>0</v>
      </c>
      <c r="Z19" s="20">
        <f>SUM($U$19,-SUM($V$19:V19))/$U$19-1</f>
        <v>0</v>
      </c>
      <c r="AA19" s="24">
        <f t="shared" si="7"/>
        <v>8.2342591547712729E-4</v>
      </c>
      <c r="AB19" s="23">
        <f>Table1[[#This Row],[Principal]]/Table1[[#This Row],[Parcela]]</f>
        <v>0.77793724734557668</v>
      </c>
      <c r="AC19" s="55" t="str">
        <f>IF(AND(Table1[[#This Row],[Dias em Atraso]]&gt;0,Table1[[#This Row],[Status do Evento]]="pending",Table1[[#This Row],[Saldo Devedor Atualizado]]&lt;&gt;0),"PDD","")</f>
        <v/>
      </c>
      <c r="AD19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19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19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19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19" s="59">
        <f>IFERROR(Table1[[#This Row],[Valor Presente Liquido]]/ABS(Table1[[#This Row],[Saldo Devedor Atualizado]])-1,Table1[[#This Row],[Variação eventos %]])</f>
        <v>0</v>
      </c>
      <c r="AI19" s="22">
        <f t="array" ref="AI19">MAX(IF(C:C=Table1[[#This Row],[Número Contrato]],I:I))</f>
        <v>44312</v>
      </c>
    </row>
    <row r="20" spans="1:35" x14ac:dyDescent="0.25">
      <c r="A20" s="2"/>
      <c r="B20" s="2">
        <v>1134</v>
      </c>
      <c r="C20" s="2" t="s">
        <v>9</v>
      </c>
      <c r="D20" s="2" t="s">
        <v>28</v>
      </c>
      <c r="E20" s="2" t="s">
        <v>29</v>
      </c>
      <c r="F20" s="12">
        <v>1.0249999999999999</v>
      </c>
      <c r="G20" s="2" t="s">
        <v>51</v>
      </c>
      <c r="H20" s="2" t="str">
        <f t="shared" si="0"/>
        <v>pending</v>
      </c>
      <c r="I20" s="3">
        <v>44008</v>
      </c>
      <c r="J20" s="13"/>
      <c r="K20" s="14">
        <v>10068.1</v>
      </c>
      <c r="L20" s="14">
        <v>7599.3</v>
      </c>
      <c r="M20" s="14">
        <v>2468.8000000000002</v>
      </c>
      <c r="N20" s="14">
        <v>95526.82</v>
      </c>
      <c r="O20" s="16">
        <v>2468.7962406913098</v>
      </c>
      <c r="P20" s="16">
        <v>97995.62</v>
      </c>
      <c r="Q20" s="3">
        <f t="shared" si="1"/>
        <v>43951</v>
      </c>
      <c r="R20" s="3"/>
      <c r="S20" s="15">
        <f t="shared" si="2"/>
        <v>0</v>
      </c>
      <c r="T20" s="15">
        <f>IF(AND(Table1[[#This Row],[Tipo de Evento]]="Amortization",Table1[[#This Row],[Status do Evento]]="realized"),Table1[[#This Row],[Data Realizada]]-Table1[[#This Row],[Agenda]],$B$1-Table1[[#This Row],[Agenda]])</f>
        <v>-57</v>
      </c>
      <c r="U20" s="16">
        <f t="shared" si="8"/>
        <v>0</v>
      </c>
      <c r="V20" s="16">
        <f t="shared" si="3"/>
        <v>0</v>
      </c>
      <c r="W20" s="16">
        <f t="shared" si="5"/>
        <v>0</v>
      </c>
      <c r="X20" s="52"/>
      <c r="Y20" s="17" t="str">
        <f t="shared" si="6"/>
        <v/>
      </c>
      <c r="Z20" s="20">
        <f>SUM($U$19,-SUM($V$19:V20))/$U$19-1</f>
        <v>0</v>
      </c>
      <c r="AA20" s="24">
        <f t="shared" si="7"/>
        <v>8.2342591547712729E-4</v>
      </c>
      <c r="AB20" s="23">
        <f>Table1[[#This Row],[Principal]]/Table1[[#This Row],[Parcela]]</f>
        <v>0.75478988091099608</v>
      </c>
      <c r="AC20" s="55" t="str">
        <f>IF(AND(Table1[[#This Row],[Dias em Atraso]]&gt;0,Table1[[#This Row],[Status do Evento]]="pending",Table1[[#This Row],[Saldo Devedor Atualizado]]&lt;&gt;0),"PDD","")</f>
        <v/>
      </c>
      <c r="AD20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0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0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0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0" s="59" t="str">
        <f>IFERROR(Table1[[#This Row],[Valor Presente Liquido]]/ABS(Table1[[#This Row],[Saldo Devedor Atualizado]])-1,Table1[[#This Row],[Variação eventos %]])</f>
        <v/>
      </c>
      <c r="AI20" s="22">
        <f t="array" ref="AI20">MAX(IF(C:C=Table1[[#This Row],[Número Contrato]],I:I))</f>
        <v>44312</v>
      </c>
    </row>
    <row r="21" spans="1:35" x14ac:dyDescent="0.25">
      <c r="A21" s="2"/>
      <c r="B21" s="2">
        <v>1134</v>
      </c>
      <c r="C21" s="2" t="s">
        <v>9</v>
      </c>
      <c r="D21" s="2" t="s">
        <v>28</v>
      </c>
      <c r="E21" s="2" t="s">
        <v>29</v>
      </c>
      <c r="F21" s="12">
        <v>1.0249999999999999</v>
      </c>
      <c r="G21" s="2" t="s">
        <v>51</v>
      </c>
      <c r="H21" s="2" t="str">
        <f t="shared" si="0"/>
        <v>pending</v>
      </c>
      <c r="I21" s="3">
        <v>44038</v>
      </c>
      <c r="J21" s="13"/>
      <c r="K21" s="14">
        <v>10068.1</v>
      </c>
      <c r="L21" s="14">
        <v>7869.91</v>
      </c>
      <c r="M21" s="14">
        <v>2198.19</v>
      </c>
      <c r="N21" s="14">
        <v>87927.52</v>
      </c>
      <c r="O21" s="16">
        <v>2198.1879999999301</v>
      </c>
      <c r="P21" s="16">
        <v>90125.71</v>
      </c>
      <c r="Q21" s="3">
        <f t="shared" si="1"/>
        <v>43951</v>
      </c>
      <c r="R21" s="3"/>
      <c r="S21" s="15">
        <f t="shared" si="2"/>
        <v>0</v>
      </c>
      <c r="T21" s="15">
        <f>IF(AND(Table1[[#This Row],[Tipo de Evento]]="Amortization",Table1[[#This Row],[Status do Evento]]="realized"),Table1[[#This Row],[Data Realizada]]-Table1[[#This Row],[Agenda]],$B$1-Table1[[#This Row],[Agenda]])</f>
        <v>-87</v>
      </c>
      <c r="U21" s="16">
        <f t="shared" si="8"/>
        <v>0</v>
      </c>
      <c r="V21" s="16">
        <f t="shared" si="3"/>
        <v>0</v>
      </c>
      <c r="W21" s="16">
        <f t="shared" si="5"/>
        <v>0</v>
      </c>
      <c r="X21" s="52"/>
      <c r="Y21" s="17" t="str">
        <f t="shared" si="6"/>
        <v/>
      </c>
      <c r="Z21" s="20">
        <f>SUM($U$19,-SUM($V$19:V21))/$U$19-1</f>
        <v>0</v>
      </c>
      <c r="AA21" s="24">
        <f t="shared" si="7"/>
        <v>8.2342591547712729E-4</v>
      </c>
      <c r="AB21" s="23">
        <f>Table1[[#This Row],[Principal]]/Table1[[#This Row],[Parcela]]</f>
        <v>0.78166784199600714</v>
      </c>
      <c r="AC21" s="55" t="str">
        <f>IF(AND(Table1[[#This Row],[Dias em Atraso]]&gt;0,Table1[[#This Row],[Status do Evento]]="pending",Table1[[#This Row],[Saldo Devedor Atualizado]]&lt;&gt;0),"PDD","")</f>
        <v/>
      </c>
      <c r="AD21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1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1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1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1" s="59" t="str">
        <f>IFERROR(Table1[[#This Row],[Valor Presente Liquido]]/ABS(Table1[[#This Row],[Saldo Devedor Atualizado]])-1,Table1[[#This Row],[Variação eventos %]])</f>
        <v/>
      </c>
      <c r="AI21" s="22">
        <f t="array" ref="AI21">MAX(IF(C:C=Table1[[#This Row],[Número Contrato]],I:I))</f>
        <v>44312</v>
      </c>
    </row>
    <row r="22" spans="1:35" x14ac:dyDescent="0.25">
      <c r="A22" s="2"/>
      <c r="B22" s="2">
        <v>1134</v>
      </c>
      <c r="C22" s="2" t="s">
        <v>9</v>
      </c>
      <c r="D22" s="2" t="s">
        <v>28</v>
      </c>
      <c r="E22" s="2" t="s">
        <v>29</v>
      </c>
      <c r="F22" s="12">
        <v>1.0249999999999999</v>
      </c>
      <c r="G22" s="2" t="s">
        <v>51</v>
      </c>
      <c r="H22" s="2" t="str">
        <f t="shared" si="0"/>
        <v>pending</v>
      </c>
      <c r="I22" s="3">
        <v>44069</v>
      </c>
      <c r="J22" s="13"/>
      <c r="K22" s="14">
        <v>10068.1</v>
      </c>
      <c r="L22" s="14">
        <v>7999.09</v>
      </c>
      <c r="M22" s="14">
        <v>2069.0100000000002</v>
      </c>
      <c r="N22" s="14">
        <v>80057.61</v>
      </c>
      <c r="O22" s="16">
        <v>2069.00979857522</v>
      </c>
      <c r="P22" s="16">
        <v>82126.62</v>
      </c>
      <c r="Q22" s="3">
        <f t="shared" si="1"/>
        <v>43951</v>
      </c>
      <c r="R22" s="3"/>
      <c r="S22" s="15">
        <f t="shared" si="2"/>
        <v>0</v>
      </c>
      <c r="T22" s="15">
        <f>IF(AND(Table1[[#This Row],[Tipo de Evento]]="Amortization",Table1[[#This Row],[Status do Evento]]="realized"),Table1[[#This Row],[Data Realizada]]-Table1[[#This Row],[Agenda]],$B$1-Table1[[#This Row],[Agenda]])</f>
        <v>-118</v>
      </c>
      <c r="U22" s="16">
        <f t="shared" si="8"/>
        <v>0</v>
      </c>
      <c r="V22" s="16">
        <f t="shared" si="3"/>
        <v>0</v>
      </c>
      <c r="W22" s="16">
        <f t="shared" si="5"/>
        <v>0</v>
      </c>
      <c r="X22" s="52"/>
      <c r="Y22" s="17" t="str">
        <f t="shared" si="6"/>
        <v/>
      </c>
      <c r="Z22" s="20">
        <f>SUM($U$19,-SUM($V$19:V22))/$U$19-1</f>
        <v>0</v>
      </c>
      <c r="AA22" s="24">
        <f t="shared" si="7"/>
        <v>8.2342591547712729E-4</v>
      </c>
      <c r="AB22" s="23">
        <f>Table1[[#This Row],[Principal]]/Table1[[#This Row],[Parcela]]</f>
        <v>0.79449846545028358</v>
      </c>
      <c r="AC22" s="55" t="str">
        <f>IF(AND(Table1[[#This Row],[Dias em Atraso]]&gt;0,Table1[[#This Row],[Status do Evento]]="pending",Table1[[#This Row],[Saldo Devedor Atualizado]]&lt;&gt;0),"PDD","")</f>
        <v/>
      </c>
      <c r="AD22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2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2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2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2" s="59" t="str">
        <f>IFERROR(Table1[[#This Row],[Valor Presente Liquido]]/ABS(Table1[[#This Row],[Saldo Devedor Atualizado]])-1,Table1[[#This Row],[Variação eventos %]])</f>
        <v/>
      </c>
      <c r="AI22" s="22">
        <f t="array" ref="AI22">MAX(IF(C:C=Table1[[#This Row],[Número Contrato]],I:I))</f>
        <v>44312</v>
      </c>
    </row>
    <row r="23" spans="1:35" x14ac:dyDescent="0.25">
      <c r="A23" s="2"/>
      <c r="B23" s="2">
        <v>1134</v>
      </c>
      <c r="C23" s="2" t="s">
        <v>9</v>
      </c>
      <c r="D23" s="2" t="s">
        <v>28</v>
      </c>
      <c r="E23" s="2" t="s">
        <v>29</v>
      </c>
      <c r="F23" s="12">
        <v>1.0249999999999999</v>
      </c>
      <c r="G23" s="2" t="s">
        <v>51</v>
      </c>
      <c r="H23" s="2" t="str">
        <f t="shared" si="0"/>
        <v>pending</v>
      </c>
      <c r="I23" s="3">
        <v>44100</v>
      </c>
      <c r="J23" s="13"/>
      <c r="K23" s="14">
        <v>10068.1</v>
      </c>
      <c r="L23" s="14">
        <v>8205.82</v>
      </c>
      <c r="M23" s="14">
        <v>1862.28</v>
      </c>
      <c r="N23" s="14">
        <v>72058.52</v>
      </c>
      <c r="O23" s="16">
        <v>1862.2812241188301</v>
      </c>
      <c r="P23" s="16">
        <v>73920.800000000003</v>
      </c>
      <c r="Q23" s="3">
        <f t="shared" si="1"/>
        <v>43951</v>
      </c>
      <c r="R23" s="3"/>
      <c r="S23" s="15">
        <f t="shared" si="2"/>
        <v>0</v>
      </c>
      <c r="T23" s="15">
        <f>IF(AND(Table1[[#This Row],[Tipo de Evento]]="Amortization",Table1[[#This Row],[Status do Evento]]="realized"),Table1[[#This Row],[Data Realizada]]-Table1[[#This Row],[Agenda]],$B$1-Table1[[#This Row],[Agenda]])</f>
        <v>-149</v>
      </c>
      <c r="U23" s="16">
        <f t="shared" si="8"/>
        <v>0</v>
      </c>
      <c r="V23" s="16">
        <f t="shared" si="3"/>
        <v>0</v>
      </c>
      <c r="W23" s="16">
        <f t="shared" si="5"/>
        <v>0</v>
      </c>
      <c r="X23" s="52"/>
      <c r="Y23" s="17" t="str">
        <f t="shared" si="6"/>
        <v/>
      </c>
      <c r="Z23" s="20">
        <f>SUM($U$19,-SUM($V$19:V23))/$U$19-1</f>
        <v>0</v>
      </c>
      <c r="AA23" s="24">
        <f t="shared" si="7"/>
        <v>8.2342591547712729E-4</v>
      </c>
      <c r="AB23" s="23">
        <f>Table1[[#This Row],[Principal]]/Table1[[#This Row],[Parcela]]</f>
        <v>0.81503163456858785</v>
      </c>
      <c r="AC23" s="55" t="str">
        <f>IF(AND(Table1[[#This Row],[Dias em Atraso]]&gt;0,Table1[[#This Row],[Status do Evento]]="pending",Table1[[#This Row],[Saldo Devedor Atualizado]]&lt;&gt;0),"PDD","")</f>
        <v/>
      </c>
      <c r="AD23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3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3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3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3" s="59" t="str">
        <f>IFERROR(Table1[[#This Row],[Valor Presente Liquido]]/ABS(Table1[[#This Row],[Saldo Devedor Atualizado]])-1,Table1[[#This Row],[Variação eventos %]])</f>
        <v/>
      </c>
      <c r="AI23" s="22">
        <f t="array" ref="AI23">MAX(IF(C:C=Table1[[#This Row],[Número Contrato]],I:I))</f>
        <v>44312</v>
      </c>
    </row>
    <row r="24" spans="1:35" x14ac:dyDescent="0.25">
      <c r="A24" s="2"/>
      <c r="B24" s="2">
        <v>1134</v>
      </c>
      <c r="C24" s="2" t="s">
        <v>9</v>
      </c>
      <c r="D24" s="2" t="s">
        <v>28</v>
      </c>
      <c r="E24" s="2" t="s">
        <v>29</v>
      </c>
      <c r="F24" s="12">
        <v>1.0249999999999999</v>
      </c>
      <c r="G24" s="2" t="s">
        <v>51</v>
      </c>
      <c r="H24" s="2" t="str">
        <f t="shared" si="0"/>
        <v>pending</v>
      </c>
      <c r="I24" s="3">
        <v>44130</v>
      </c>
      <c r="J24" s="13"/>
      <c r="K24" s="14">
        <v>10068.1</v>
      </c>
      <c r="L24" s="14">
        <v>8471.7800000000007</v>
      </c>
      <c r="M24" s="14">
        <v>1596.32</v>
      </c>
      <c r="N24" s="14">
        <v>63852.7</v>
      </c>
      <c r="O24" s="16">
        <v>1596.3174999999501</v>
      </c>
      <c r="P24" s="16">
        <v>65449.02</v>
      </c>
      <c r="Q24" s="3">
        <f t="shared" si="1"/>
        <v>43951</v>
      </c>
      <c r="R24" s="3"/>
      <c r="S24" s="15">
        <f t="shared" si="2"/>
        <v>0</v>
      </c>
      <c r="T24" s="15">
        <f>IF(AND(Table1[[#This Row],[Tipo de Evento]]="Amortization",Table1[[#This Row],[Status do Evento]]="realized"),Table1[[#This Row],[Data Realizada]]-Table1[[#This Row],[Agenda]],$B$1-Table1[[#This Row],[Agenda]])</f>
        <v>-179</v>
      </c>
      <c r="U24" s="16">
        <f t="shared" si="8"/>
        <v>0</v>
      </c>
      <c r="V24" s="16">
        <f t="shared" si="3"/>
        <v>0</v>
      </c>
      <c r="W24" s="16">
        <f t="shared" si="5"/>
        <v>0</v>
      </c>
      <c r="X24" s="52"/>
      <c r="Y24" s="17" t="str">
        <f t="shared" si="6"/>
        <v/>
      </c>
      <c r="Z24" s="20">
        <f>SUM($U$19,-SUM($V$19:V24))/$U$19-1</f>
        <v>0</v>
      </c>
      <c r="AA24" s="24">
        <f t="shared" si="7"/>
        <v>8.2342591547712729E-4</v>
      </c>
      <c r="AB24" s="23">
        <f>Table1[[#This Row],[Principal]]/Table1[[#This Row],[Parcela]]</f>
        <v>0.84144774088457608</v>
      </c>
      <c r="AC24" s="55" t="str">
        <f>IF(AND(Table1[[#This Row],[Dias em Atraso]]&gt;0,Table1[[#This Row],[Status do Evento]]="pending",Table1[[#This Row],[Saldo Devedor Atualizado]]&lt;&gt;0),"PDD","")</f>
        <v/>
      </c>
      <c r="AD24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4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4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4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4" s="59" t="str">
        <f>IFERROR(Table1[[#This Row],[Valor Presente Liquido]]/ABS(Table1[[#This Row],[Saldo Devedor Atualizado]])-1,Table1[[#This Row],[Variação eventos %]])</f>
        <v/>
      </c>
      <c r="AI24" s="22">
        <f t="array" ref="AI24">MAX(IF(C:C=Table1[[#This Row],[Número Contrato]],I:I))</f>
        <v>44312</v>
      </c>
    </row>
    <row r="25" spans="1:35" x14ac:dyDescent="0.25">
      <c r="A25" s="2"/>
      <c r="B25" s="2">
        <v>1134</v>
      </c>
      <c r="C25" s="2" t="s">
        <v>9</v>
      </c>
      <c r="D25" s="2" t="s">
        <v>28</v>
      </c>
      <c r="E25" s="2" t="s">
        <v>29</v>
      </c>
      <c r="F25" s="12">
        <v>1.0249999999999999</v>
      </c>
      <c r="G25" s="2" t="s">
        <v>51</v>
      </c>
      <c r="H25" s="2" t="str">
        <f t="shared" si="0"/>
        <v>pending</v>
      </c>
      <c r="I25" s="3">
        <v>44161</v>
      </c>
      <c r="J25" s="13"/>
      <c r="K25" s="14">
        <v>10068.1</v>
      </c>
      <c r="L25" s="14">
        <v>8636.83</v>
      </c>
      <c r="M25" s="14">
        <v>1431.27</v>
      </c>
      <c r="N25" s="14">
        <v>55380.92</v>
      </c>
      <c r="O25" s="16">
        <v>1431.26513686969</v>
      </c>
      <c r="P25" s="16">
        <v>56812.19</v>
      </c>
      <c r="Q25" s="3">
        <f t="shared" si="1"/>
        <v>43951</v>
      </c>
      <c r="R25" s="3"/>
      <c r="S25" s="15">
        <f t="shared" si="2"/>
        <v>0</v>
      </c>
      <c r="T25" s="15">
        <f>IF(AND(Table1[[#This Row],[Tipo de Evento]]="Amortization",Table1[[#This Row],[Status do Evento]]="realized"),Table1[[#This Row],[Data Realizada]]-Table1[[#This Row],[Agenda]],$B$1-Table1[[#This Row],[Agenda]])</f>
        <v>-210</v>
      </c>
      <c r="U25" s="16">
        <f t="shared" si="8"/>
        <v>0</v>
      </c>
      <c r="V25" s="16">
        <f t="shared" si="3"/>
        <v>0</v>
      </c>
      <c r="W25" s="16">
        <f t="shared" si="5"/>
        <v>0</v>
      </c>
      <c r="X25" s="52"/>
      <c r="Y25" s="17" t="str">
        <f t="shared" si="6"/>
        <v/>
      </c>
      <c r="Z25" s="20">
        <f>SUM($U$19,-SUM($V$19:V25))/$U$19-1</f>
        <v>0</v>
      </c>
      <c r="AA25" s="24">
        <f t="shared" si="7"/>
        <v>8.2342591547712729E-4</v>
      </c>
      <c r="AB25" s="23">
        <f>Table1[[#This Row],[Principal]]/Table1[[#This Row],[Parcela]]</f>
        <v>0.85784110209473485</v>
      </c>
      <c r="AC25" s="55" t="str">
        <f>IF(AND(Table1[[#This Row],[Dias em Atraso]]&gt;0,Table1[[#This Row],[Status do Evento]]="pending",Table1[[#This Row],[Saldo Devedor Atualizado]]&lt;&gt;0),"PDD","")</f>
        <v/>
      </c>
      <c r="AD25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5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5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5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5" s="59" t="str">
        <f>IFERROR(Table1[[#This Row],[Valor Presente Liquido]]/ABS(Table1[[#This Row],[Saldo Devedor Atualizado]])-1,Table1[[#This Row],[Variação eventos %]])</f>
        <v/>
      </c>
      <c r="AI25" s="22">
        <f t="array" ref="AI25">MAX(IF(C:C=Table1[[#This Row],[Número Contrato]],I:I))</f>
        <v>44312</v>
      </c>
    </row>
    <row r="26" spans="1:35" x14ac:dyDescent="0.25">
      <c r="A26" s="2"/>
      <c r="B26" s="2">
        <v>1134</v>
      </c>
      <c r="C26" s="2" t="s">
        <v>9</v>
      </c>
      <c r="D26" s="2" t="s">
        <v>28</v>
      </c>
      <c r="E26" s="2" t="s">
        <v>29</v>
      </c>
      <c r="F26" s="12">
        <v>1.0249999999999999</v>
      </c>
      <c r="G26" s="2" t="s">
        <v>51</v>
      </c>
      <c r="H26" s="2" t="str">
        <f t="shared" si="0"/>
        <v>pending</v>
      </c>
      <c r="I26" s="3">
        <v>44191</v>
      </c>
      <c r="J26" s="13"/>
      <c r="K26" s="14">
        <v>10068.1</v>
      </c>
      <c r="L26" s="14">
        <v>8899.5</v>
      </c>
      <c r="M26" s="14">
        <v>1168.5999999999999</v>
      </c>
      <c r="N26" s="14">
        <v>46744.09</v>
      </c>
      <c r="O26" s="16">
        <v>1168.6022499999599</v>
      </c>
      <c r="P26" s="16">
        <v>47912.69</v>
      </c>
      <c r="Q26" s="3">
        <f t="shared" si="1"/>
        <v>43951</v>
      </c>
      <c r="R26" s="3"/>
      <c r="S26" s="15">
        <f t="shared" si="2"/>
        <v>0</v>
      </c>
      <c r="T26" s="15">
        <f>IF(AND(Table1[[#This Row],[Tipo de Evento]]="Amortization",Table1[[#This Row],[Status do Evento]]="realized"),Table1[[#This Row],[Data Realizada]]-Table1[[#This Row],[Agenda]],$B$1-Table1[[#This Row],[Agenda]])</f>
        <v>-240</v>
      </c>
      <c r="U26" s="16">
        <f t="shared" si="8"/>
        <v>0</v>
      </c>
      <c r="V26" s="16">
        <f t="shared" si="3"/>
        <v>0</v>
      </c>
      <c r="W26" s="16">
        <f t="shared" si="5"/>
        <v>0</v>
      </c>
      <c r="X26" s="52"/>
      <c r="Y26" s="17" t="str">
        <f t="shared" si="6"/>
        <v/>
      </c>
      <c r="Z26" s="20">
        <f>SUM($U$19,-SUM($V$19:V26))/$U$19-1</f>
        <v>0</v>
      </c>
      <c r="AA26" s="24">
        <f t="shared" si="7"/>
        <v>8.2342591547712729E-4</v>
      </c>
      <c r="AB26" s="23">
        <f>Table1[[#This Row],[Principal]]/Table1[[#This Row],[Parcela]]</f>
        <v>0.8839304337461884</v>
      </c>
      <c r="AC26" s="55" t="str">
        <f>IF(AND(Table1[[#This Row],[Dias em Atraso]]&gt;0,Table1[[#This Row],[Status do Evento]]="pending",Table1[[#This Row],[Saldo Devedor Atualizado]]&lt;&gt;0),"PDD","")</f>
        <v/>
      </c>
      <c r="AD26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6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6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6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6" s="59" t="str">
        <f>IFERROR(Table1[[#This Row],[Valor Presente Liquido]]/ABS(Table1[[#This Row],[Saldo Devedor Atualizado]])-1,Table1[[#This Row],[Variação eventos %]])</f>
        <v/>
      </c>
      <c r="AI26" s="22">
        <f t="array" ref="AI26">MAX(IF(C:C=Table1[[#This Row],[Número Contrato]],I:I))</f>
        <v>44312</v>
      </c>
    </row>
    <row r="27" spans="1:35" x14ac:dyDescent="0.25">
      <c r="A27" s="2"/>
      <c r="B27" s="2">
        <v>1134</v>
      </c>
      <c r="C27" s="2" t="s">
        <v>9</v>
      </c>
      <c r="D27" s="2" t="s">
        <v>28</v>
      </c>
      <c r="E27" s="2" t="s">
        <v>29</v>
      </c>
      <c r="F27" s="12">
        <v>1.0249999999999999</v>
      </c>
      <c r="G27" s="2" t="s">
        <v>51</v>
      </c>
      <c r="H27" s="2" t="str">
        <f t="shared" si="0"/>
        <v>pending</v>
      </c>
      <c r="I27" s="3">
        <v>44222</v>
      </c>
      <c r="J27" s="13"/>
      <c r="K27" s="14">
        <v>10068.1</v>
      </c>
      <c r="L27" s="14">
        <v>9090.0400000000009</v>
      </c>
      <c r="M27" s="14">
        <v>978.05999999999904</v>
      </c>
      <c r="N27" s="14">
        <v>37844.589999999997</v>
      </c>
      <c r="O27" s="16">
        <v>978.05602157073702</v>
      </c>
      <c r="P27" s="16">
        <v>38822.65</v>
      </c>
      <c r="Q27" s="3">
        <f t="shared" si="1"/>
        <v>43951</v>
      </c>
      <c r="R27" s="3"/>
      <c r="S27" s="15">
        <f t="shared" si="2"/>
        <v>0</v>
      </c>
      <c r="T27" s="15">
        <f>IF(AND(Table1[[#This Row],[Tipo de Evento]]="Amortization",Table1[[#This Row],[Status do Evento]]="realized"),Table1[[#This Row],[Data Realizada]]-Table1[[#This Row],[Agenda]],$B$1-Table1[[#This Row],[Agenda]])</f>
        <v>-271</v>
      </c>
      <c r="U27" s="16">
        <f t="shared" si="8"/>
        <v>0</v>
      </c>
      <c r="V27" s="16">
        <f t="shared" si="3"/>
        <v>0</v>
      </c>
      <c r="W27" s="16">
        <f t="shared" si="5"/>
        <v>0</v>
      </c>
      <c r="X27" s="52"/>
      <c r="Y27" s="17" t="str">
        <f t="shared" si="6"/>
        <v/>
      </c>
      <c r="Z27" s="20">
        <f>SUM($U$19,-SUM($V$19:V27))/$U$19-1</f>
        <v>0</v>
      </c>
      <c r="AA27" s="24">
        <f t="shared" si="7"/>
        <v>8.2342591547712729E-4</v>
      </c>
      <c r="AB27" s="23">
        <f>Table1[[#This Row],[Principal]]/Table1[[#This Row],[Parcela]]</f>
        <v>0.90285555367944303</v>
      </c>
      <c r="AC27" s="55" t="str">
        <f>IF(AND(Table1[[#This Row],[Dias em Atraso]]&gt;0,Table1[[#This Row],[Status do Evento]]="pending",Table1[[#This Row],[Saldo Devedor Atualizado]]&lt;&gt;0),"PDD","")</f>
        <v/>
      </c>
      <c r="AD27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7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7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7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7" s="59" t="str">
        <f>IFERROR(Table1[[#This Row],[Valor Presente Liquido]]/ABS(Table1[[#This Row],[Saldo Devedor Atualizado]])-1,Table1[[#This Row],[Variação eventos %]])</f>
        <v/>
      </c>
      <c r="AI27" s="22">
        <f t="array" ref="AI27">MAX(IF(C:C=Table1[[#This Row],[Número Contrato]],I:I))</f>
        <v>44312</v>
      </c>
    </row>
    <row r="28" spans="1:35" x14ac:dyDescent="0.25">
      <c r="A28" s="2"/>
      <c r="B28" s="2">
        <v>1134</v>
      </c>
      <c r="C28" s="2" t="s">
        <v>9</v>
      </c>
      <c r="D28" s="2" t="s">
        <v>28</v>
      </c>
      <c r="E28" s="2" t="s">
        <v>29</v>
      </c>
      <c r="F28" s="12">
        <v>1.0249999999999999</v>
      </c>
      <c r="G28" s="2" t="s">
        <v>51</v>
      </c>
      <c r="H28" s="2" t="str">
        <f t="shared" si="0"/>
        <v>pending</v>
      </c>
      <c r="I28" s="3">
        <v>44253</v>
      </c>
      <c r="J28" s="13"/>
      <c r="K28" s="14">
        <v>10068.1</v>
      </c>
      <c r="L28" s="14">
        <v>9324.9699999999993</v>
      </c>
      <c r="M28" s="14">
        <v>743.13000000000102</v>
      </c>
      <c r="N28" s="14">
        <v>28754.55</v>
      </c>
      <c r="O28" s="16">
        <v>743.13292269930298</v>
      </c>
      <c r="P28" s="16">
        <v>29497.68</v>
      </c>
      <c r="Q28" s="3">
        <f t="shared" si="1"/>
        <v>43951</v>
      </c>
      <c r="R28" s="3"/>
      <c r="S28" s="15">
        <f t="shared" si="2"/>
        <v>0</v>
      </c>
      <c r="T28" s="15">
        <f>IF(AND(Table1[[#This Row],[Tipo de Evento]]="Amortization",Table1[[#This Row],[Status do Evento]]="realized"),Table1[[#This Row],[Data Realizada]]-Table1[[#This Row],[Agenda]],$B$1-Table1[[#This Row],[Agenda]])</f>
        <v>-302</v>
      </c>
      <c r="U28" s="16">
        <f t="shared" si="8"/>
        <v>0</v>
      </c>
      <c r="V28" s="16">
        <f t="shared" si="3"/>
        <v>0</v>
      </c>
      <c r="W28" s="16">
        <f t="shared" si="5"/>
        <v>0</v>
      </c>
      <c r="X28" s="52"/>
      <c r="Y28" s="17" t="str">
        <f t="shared" si="6"/>
        <v/>
      </c>
      <c r="Z28" s="20">
        <f>SUM($U$19,-SUM($V$19:V28))/$U$19-1</f>
        <v>0</v>
      </c>
      <c r="AA28" s="24">
        <f t="shared" si="7"/>
        <v>8.2342591547712729E-4</v>
      </c>
      <c r="AB28" s="23">
        <f>Table1[[#This Row],[Principal]]/Table1[[#This Row],[Parcela]]</f>
        <v>0.9261896484937574</v>
      </c>
      <c r="AC28" s="55" t="str">
        <f>IF(AND(Table1[[#This Row],[Dias em Atraso]]&gt;0,Table1[[#This Row],[Status do Evento]]="pending",Table1[[#This Row],[Saldo Devedor Atualizado]]&lt;&gt;0),"PDD","")</f>
        <v/>
      </c>
      <c r="AD28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8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8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8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8" s="59" t="str">
        <f>IFERROR(Table1[[#This Row],[Valor Presente Liquido]]/ABS(Table1[[#This Row],[Saldo Devedor Atualizado]])-1,Table1[[#This Row],[Variação eventos %]])</f>
        <v/>
      </c>
      <c r="AI28" s="22">
        <f t="array" ref="AI28">MAX(IF(C:C=Table1[[#This Row],[Número Contrato]],I:I))</f>
        <v>44312</v>
      </c>
    </row>
    <row r="29" spans="1:35" x14ac:dyDescent="0.25">
      <c r="A29" s="2"/>
      <c r="B29" s="2">
        <v>1134</v>
      </c>
      <c r="C29" s="2" t="s">
        <v>9</v>
      </c>
      <c r="D29" s="2" t="s">
        <v>28</v>
      </c>
      <c r="E29" s="2" t="s">
        <v>29</v>
      </c>
      <c r="F29" s="12">
        <v>1.0249999999999999</v>
      </c>
      <c r="G29" s="2" t="s">
        <v>51</v>
      </c>
      <c r="H29" s="2" t="str">
        <f t="shared" si="0"/>
        <v>pending</v>
      </c>
      <c r="I29" s="3">
        <v>44281</v>
      </c>
      <c r="J29" s="13"/>
      <c r="K29" s="14">
        <v>10068.1</v>
      </c>
      <c r="L29" s="14">
        <v>9615.1200000000008</v>
      </c>
      <c r="M29" s="14">
        <v>452.98</v>
      </c>
      <c r="N29" s="14">
        <v>19429.580000000002</v>
      </c>
      <c r="O29" s="16">
        <v>452.98238475407601</v>
      </c>
      <c r="P29" s="16">
        <v>19882.560000000001</v>
      </c>
      <c r="Q29" s="3">
        <f t="shared" si="1"/>
        <v>43951</v>
      </c>
      <c r="R29" s="3"/>
      <c r="S29" s="15">
        <f t="shared" si="2"/>
        <v>0</v>
      </c>
      <c r="T29" s="15">
        <f>IF(AND(Table1[[#This Row],[Tipo de Evento]]="Amortization",Table1[[#This Row],[Status do Evento]]="realized"),Table1[[#This Row],[Data Realizada]]-Table1[[#This Row],[Agenda]],$B$1-Table1[[#This Row],[Agenda]])</f>
        <v>-330</v>
      </c>
      <c r="U29" s="16">
        <f t="shared" si="8"/>
        <v>0</v>
      </c>
      <c r="V29" s="16">
        <f t="shared" si="3"/>
        <v>0</v>
      </c>
      <c r="W29" s="16">
        <f t="shared" si="5"/>
        <v>0</v>
      </c>
      <c r="X29" s="52"/>
      <c r="Y29" s="17" t="str">
        <f t="shared" si="6"/>
        <v/>
      </c>
      <c r="Z29" s="20">
        <f>SUM($U$19,-SUM($V$19:V29))/$U$19-1</f>
        <v>0</v>
      </c>
      <c r="AA29" s="24">
        <f t="shared" si="7"/>
        <v>8.2342591547712729E-4</v>
      </c>
      <c r="AB29" s="23">
        <f>Table1[[#This Row],[Principal]]/Table1[[#This Row],[Parcela]]</f>
        <v>0.95500839284472749</v>
      </c>
      <c r="AC29" s="55" t="str">
        <f>IF(AND(Table1[[#This Row],[Dias em Atraso]]&gt;0,Table1[[#This Row],[Status do Evento]]="pending",Table1[[#This Row],[Saldo Devedor Atualizado]]&lt;&gt;0),"PDD","")</f>
        <v/>
      </c>
      <c r="AD29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29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29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29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29" s="59" t="str">
        <f>IFERROR(Table1[[#This Row],[Valor Presente Liquido]]/ABS(Table1[[#This Row],[Saldo Devedor Atualizado]])-1,Table1[[#This Row],[Variação eventos %]])</f>
        <v/>
      </c>
      <c r="AI29" s="22">
        <f t="array" ref="AI29">MAX(IF(C:C=Table1[[#This Row],[Número Contrato]],I:I))</f>
        <v>44312</v>
      </c>
    </row>
    <row r="30" spans="1:35" x14ac:dyDescent="0.25">
      <c r="A30" s="2"/>
      <c r="B30" s="2">
        <v>1134</v>
      </c>
      <c r="C30" s="2" t="s">
        <v>9</v>
      </c>
      <c r="D30" s="2" t="s">
        <v>28</v>
      </c>
      <c r="E30" s="2" t="s">
        <v>29</v>
      </c>
      <c r="F30" s="12">
        <v>1.0249999999999999</v>
      </c>
      <c r="G30" s="2" t="s">
        <v>51</v>
      </c>
      <c r="H30" s="2" t="str">
        <f t="shared" si="0"/>
        <v>pending</v>
      </c>
      <c r="I30" s="3">
        <v>44312</v>
      </c>
      <c r="J30" s="13"/>
      <c r="K30" s="14">
        <v>10068.1</v>
      </c>
      <c r="L30" s="14">
        <v>9814.4599999999991</v>
      </c>
      <c r="M30" s="14">
        <v>253.64000000000101</v>
      </c>
      <c r="N30" s="14">
        <v>9814.45999999999</v>
      </c>
      <c r="O30" s="16">
        <v>253.64501772816499</v>
      </c>
      <c r="P30" s="16">
        <v>10068.1</v>
      </c>
      <c r="Q30" s="3">
        <f t="shared" si="1"/>
        <v>43951</v>
      </c>
      <c r="R30" s="3"/>
      <c r="S30" s="15">
        <f t="shared" si="2"/>
        <v>0</v>
      </c>
      <c r="T30" s="15">
        <f>IF(AND(Table1[[#This Row],[Tipo de Evento]]="Amortization",Table1[[#This Row],[Status do Evento]]="realized"),Table1[[#This Row],[Data Realizada]]-Table1[[#This Row],[Agenda]],$B$1-Table1[[#This Row],[Agenda]])</f>
        <v>-361</v>
      </c>
      <c r="U30" s="16">
        <f t="shared" si="8"/>
        <v>0</v>
      </c>
      <c r="V30" s="16">
        <f t="shared" si="3"/>
        <v>0</v>
      </c>
      <c r="W30" s="16">
        <f t="shared" si="5"/>
        <v>0</v>
      </c>
      <c r="X30" s="52"/>
      <c r="Y30" s="17" t="str">
        <f t="shared" si="6"/>
        <v/>
      </c>
      <c r="Z30" s="20">
        <f>SUM($U$19,-SUM($V$19:V30))/$U$19-1</f>
        <v>0</v>
      </c>
      <c r="AA30" s="24">
        <f t="shared" si="7"/>
        <v>8.2342591547712729E-4</v>
      </c>
      <c r="AB30" s="23">
        <f>Table1[[#This Row],[Principal]]/Table1[[#This Row],[Parcela]]</f>
        <v>0.97480756051290696</v>
      </c>
      <c r="AC30" s="55" t="str">
        <f>IF(AND(Table1[[#This Row],[Dias em Atraso]]&gt;0,Table1[[#This Row],[Status do Evento]]="pending",Table1[[#This Row],[Saldo Devedor Atualizado]]&lt;&gt;0),"PDD","")</f>
        <v/>
      </c>
      <c r="AD30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0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0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0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0" s="59" t="str">
        <f>IFERROR(Table1[[#This Row],[Valor Presente Liquido]]/ABS(Table1[[#This Row],[Saldo Devedor Atualizado]])-1,Table1[[#This Row],[Variação eventos %]])</f>
        <v/>
      </c>
      <c r="AI30" s="22">
        <f t="array" ref="AI30">MAX(IF(C:C=Table1[[#This Row],[Número Contrato]],I:I))</f>
        <v>44312</v>
      </c>
    </row>
    <row r="31" spans="1:35" x14ac:dyDescent="0.25">
      <c r="A31" s="2"/>
      <c r="B31" s="2">
        <v>1143</v>
      </c>
      <c r="C31" s="2" t="s">
        <v>11</v>
      </c>
      <c r="D31" s="2" t="s">
        <v>22</v>
      </c>
      <c r="E31" s="2" t="s">
        <v>23</v>
      </c>
      <c r="F31" s="12">
        <v>1.022</v>
      </c>
      <c r="G31" s="2" t="s">
        <v>50</v>
      </c>
      <c r="H31" s="2" t="str">
        <f t="shared" si="0"/>
        <v>realized</v>
      </c>
      <c r="I31" s="3">
        <v>43964</v>
      </c>
      <c r="J31" s="13">
        <v>-187596.9</v>
      </c>
      <c r="K31" s="14"/>
      <c r="L31" s="14"/>
      <c r="M31" s="14"/>
      <c r="N31" s="14"/>
      <c r="O31" s="16"/>
      <c r="P31" s="16"/>
      <c r="Q31" s="3">
        <f t="shared" si="1"/>
        <v>43964</v>
      </c>
      <c r="R31" s="3"/>
      <c r="S31" s="15" t="str">
        <f t="shared" si="2"/>
        <v/>
      </c>
      <c r="T31" s="15">
        <f>IF(AND(Table1[[#This Row],[Tipo de Evento]]="Amortization",Table1[[#This Row],[Status do Evento]]="realized"),Table1[[#This Row],[Data Realizada]]-Table1[[#This Row],[Agenda]],$B$1-Table1[[#This Row],[Agenda]])</f>
        <v>-13</v>
      </c>
      <c r="U31" s="16"/>
      <c r="V31" s="16" t="str">
        <f t="shared" si="3"/>
        <v/>
      </c>
      <c r="W31" s="16" t="str">
        <f t="shared" si="5"/>
        <v/>
      </c>
      <c r="X31" s="52"/>
      <c r="Y31" s="17" t="str">
        <f t="shared" si="6"/>
        <v/>
      </c>
      <c r="Z31" s="20"/>
      <c r="AA31" s="24"/>
      <c r="AB31" s="23"/>
      <c r="AC31" s="55" t="str">
        <f>IF(AND(Table1[[#This Row],[Dias em Atraso]]&gt;0,Table1[[#This Row],[Status do Evento]]="pending",Table1[[#This Row],[Saldo Devedor Atualizado]]&lt;&gt;0),"PDD","")</f>
        <v/>
      </c>
      <c r="AD31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1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1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1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1" s="59" t="str">
        <f>IFERROR(Table1[[#This Row],[Valor Presente Liquido]]/ABS(Table1[[#This Row],[Saldo Devedor Atualizado]])-1,Table1[[#This Row],[Variação eventos %]])</f>
        <v/>
      </c>
      <c r="AI31" s="22">
        <f t="array" ref="AI31">MAX(IF(C:C=Table1[[#This Row],[Número Contrato]],I:I))</f>
        <v>44306</v>
      </c>
    </row>
    <row r="32" spans="1:35" x14ac:dyDescent="0.25">
      <c r="A32" s="2"/>
      <c r="B32" s="2">
        <v>1143</v>
      </c>
      <c r="C32" s="2" t="s">
        <v>11</v>
      </c>
      <c r="D32" s="2" t="s">
        <v>22</v>
      </c>
      <c r="E32" s="2" t="s">
        <v>23</v>
      </c>
      <c r="F32" s="12">
        <v>1.022</v>
      </c>
      <c r="G32" s="2" t="s">
        <v>51</v>
      </c>
      <c r="H32" s="2" t="str">
        <f t="shared" si="0"/>
        <v>pending</v>
      </c>
      <c r="I32" s="3">
        <v>43971</v>
      </c>
      <c r="J32" s="13"/>
      <c r="K32" s="14">
        <v>17699.580000000002</v>
      </c>
      <c r="L32" s="14">
        <v>16744.599999999999</v>
      </c>
      <c r="M32" s="14">
        <v>954.98000000000297</v>
      </c>
      <c r="N32" s="14">
        <v>187596.9</v>
      </c>
      <c r="O32" s="16">
        <v>954.97978247664196</v>
      </c>
      <c r="P32" s="16">
        <v>188551.88</v>
      </c>
      <c r="Q32" s="3">
        <f t="shared" si="1"/>
        <v>43951</v>
      </c>
      <c r="R32" s="3"/>
      <c r="S32" s="15">
        <f t="shared" si="2"/>
        <v>-13</v>
      </c>
      <c r="T32" s="15">
        <f>IF(AND(Table1[[#This Row],[Tipo de Evento]]="Amortization",Table1[[#This Row],[Status do Evento]]="realized"),Table1[[#This Row],[Data Realizada]]-Table1[[#This Row],[Agenda]],$B$1-Table1[[#This Row],[Agenda]])</f>
        <v>-20</v>
      </c>
      <c r="U32" s="16">
        <f t="shared" ref="U32:U43" si="9">IF(G31="disbursement",J31,IFERROR(U31+IF(H31="realized",L31,""),0))</f>
        <v>-187596.9</v>
      </c>
      <c r="V32" s="16">
        <f t="shared" si="3"/>
        <v>-1760.7201470225907</v>
      </c>
      <c r="W32" s="16">
        <f t="shared" si="5"/>
        <v>-185836.1798529774</v>
      </c>
      <c r="X32" s="52"/>
      <c r="Y32" s="17">
        <f t="shared" si="6"/>
        <v>-9.3856569432788639E-3</v>
      </c>
      <c r="Z32" s="20">
        <f>SUM($U$32,-SUM($V$32:V32))/$U$32-1</f>
        <v>-9.3856569432788639E-3</v>
      </c>
      <c r="AA32" s="24">
        <f t="shared" si="7"/>
        <v>7.256462133005126E-4</v>
      </c>
      <c r="AB32" s="23">
        <f>Table1[[#This Row],[Principal]]/Table1[[#This Row],[Parcela]]</f>
        <v>0.94604504739660467</v>
      </c>
      <c r="AC32" s="55" t="str">
        <f>IF(AND(Table1[[#This Row],[Dias em Atraso]]&gt;0,Table1[[#This Row],[Status do Evento]]="pending",Table1[[#This Row],[Saldo Devedor Atualizado]]&lt;&gt;0),"PDD","")</f>
        <v/>
      </c>
      <c r="AD32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2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2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2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2" s="59">
        <f>IFERROR(Table1[[#This Row],[Valor Presente Liquido]]/ABS(Table1[[#This Row],[Saldo Devedor Atualizado]])-1,Table1[[#This Row],[Variação eventos %]])</f>
        <v>-9.3856569432788639E-3</v>
      </c>
      <c r="AI32" s="22">
        <f t="array" ref="AI32">MAX(IF(C:C=Table1[[#This Row],[Número Contrato]],I:I))</f>
        <v>44306</v>
      </c>
    </row>
    <row r="33" spans="1:35" x14ac:dyDescent="0.25">
      <c r="A33" s="2"/>
      <c r="B33" s="2">
        <v>1143</v>
      </c>
      <c r="C33" s="2" t="s">
        <v>11</v>
      </c>
      <c r="D33" s="2" t="s">
        <v>22</v>
      </c>
      <c r="E33" s="2" t="s">
        <v>23</v>
      </c>
      <c r="F33" s="12">
        <v>1.022</v>
      </c>
      <c r="G33" s="2" t="s">
        <v>51</v>
      </c>
      <c r="H33" s="2" t="str">
        <f t="shared" si="0"/>
        <v>pending</v>
      </c>
      <c r="I33" s="3">
        <v>44002</v>
      </c>
      <c r="J33" s="13"/>
      <c r="K33" s="14">
        <v>17699.580000000002</v>
      </c>
      <c r="L33" s="14">
        <v>13814.12</v>
      </c>
      <c r="M33" s="14">
        <v>3885.46</v>
      </c>
      <c r="N33" s="14">
        <v>170852.3</v>
      </c>
      <c r="O33" s="16">
        <v>3885.45644766858</v>
      </c>
      <c r="P33" s="16">
        <v>174737.76</v>
      </c>
      <c r="Q33" s="3">
        <f t="shared" si="1"/>
        <v>43951</v>
      </c>
      <c r="R33" s="3"/>
      <c r="S33" s="15">
        <f t="shared" si="2"/>
        <v>0</v>
      </c>
      <c r="T33" s="15">
        <f>IF(AND(Table1[[#This Row],[Tipo de Evento]]="Amortization",Table1[[#This Row],[Status do Evento]]="realized"),Table1[[#This Row],[Data Realizada]]-Table1[[#This Row],[Agenda]],$B$1-Table1[[#This Row],[Agenda]])</f>
        <v>-51</v>
      </c>
      <c r="U33" s="16">
        <f t="shared" si="9"/>
        <v>0</v>
      </c>
      <c r="V33" s="16">
        <f t="shared" si="3"/>
        <v>0</v>
      </c>
      <c r="W33" s="16">
        <f t="shared" si="5"/>
        <v>0</v>
      </c>
      <c r="X33" s="52"/>
      <c r="Y33" s="17" t="str">
        <f t="shared" si="6"/>
        <v/>
      </c>
      <c r="Z33" s="20">
        <f>SUM($U$32,-SUM($V$32:V33))/$U$32-1</f>
        <v>-9.3856569432788639E-3</v>
      </c>
      <c r="AA33" s="24">
        <f t="shared" si="7"/>
        <v>7.256462133005126E-4</v>
      </c>
      <c r="AB33" s="23">
        <f>Table1[[#This Row],[Principal]]/Table1[[#This Row],[Parcela]]</f>
        <v>0.7804772768619368</v>
      </c>
      <c r="AC33" s="55" t="str">
        <f>IF(AND(Table1[[#This Row],[Dias em Atraso]]&gt;0,Table1[[#This Row],[Status do Evento]]="pending",Table1[[#This Row],[Saldo Devedor Atualizado]]&lt;&gt;0),"PDD","")</f>
        <v/>
      </c>
      <c r="AD33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3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3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3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3" s="59" t="str">
        <f>IFERROR(Table1[[#This Row],[Valor Presente Liquido]]/ABS(Table1[[#This Row],[Saldo Devedor Atualizado]])-1,Table1[[#This Row],[Variação eventos %]])</f>
        <v/>
      </c>
      <c r="AI33" s="22">
        <f t="array" ref="AI33">MAX(IF(C:C=Table1[[#This Row],[Número Contrato]],I:I))</f>
        <v>44306</v>
      </c>
    </row>
    <row r="34" spans="1:35" x14ac:dyDescent="0.25">
      <c r="A34" s="2"/>
      <c r="B34" s="2">
        <v>1143</v>
      </c>
      <c r="C34" s="2" t="s">
        <v>11</v>
      </c>
      <c r="D34" s="2" t="s">
        <v>22</v>
      </c>
      <c r="E34" s="2" t="s">
        <v>23</v>
      </c>
      <c r="F34" s="12">
        <v>1.022</v>
      </c>
      <c r="G34" s="2" t="s">
        <v>51</v>
      </c>
      <c r="H34" s="2" t="str">
        <f t="shared" si="0"/>
        <v>pending</v>
      </c>
      <c r="I34" s="3">
        <v>44032</v>
      </c>
      <c r="J34" s="13"/>
      <c r="K34" s="14">
        <v>17699.580000000002</v>
      </c>
      <c r="L34" s="14">
        <v>14244.74</v>
      </c>
      <c r="M34" s="14">
        <v>3454.84</v>
      </c>
      <c r="N34" s="14">
        <v>157038.18</v>
      </c>
      <c r="O34" s="16">
        <v>3454.8399600002499</v>
      </c>
      <c r="P34" s="16">
        <v>160493.01999999999</v>
      </c>
      <c r="Q34" s="3">
        <f t="shared" si="1"/>
        <v>43951</v>
      </c>
      <c r="R34" s="3"/>
      <c r="S34" s="15">
        <f t="shared" si="2"/>
        <v>0</v>
      </c>
      <c r="T34" s="15">
        <f>IF(AND(Table1[[#This Row],[Tipo de Evento]]="Amortization",Table1[[#This Row],[Status do Evento]]="realized"),Table1[[#This Row],[Data Realizada]]-Table1[[#This Row],[Agenda]],$B$1-Table1[[#This Row],[Agenda]])</f>
        <v>-81</v>
      </c>
      <c r="U34" s="16">
        <f t="shared" si="9"/>
        <v>0</v>
      </c>
      <c r="V34" s="16">
        <f t="shared" si="3"/>
        <v>0</v>
      </c>
      <c r="W34" s="16">
        <f t="shared" si="5"/>
        <v>0</v>
      </c>
      <c r="X34" s="52"/>
      <c r="Y34" s="17" t="str">
        <f t="shared" si="6"/>
        <v/>
      </c>
      <c r="Z34" s="20">
        <f>SUM($U$32,-SUM($V$32:V34))/$U$32-1</f>
        <v>-9.3856569432788639E-3</v>
      </c>
      <c r="AA34" s="24">
        <f t="shared" si="7"/>
        <v>7.256462133005126E-4</v>
      </c>
      <c r="AB34" s="23">
        <f>Table1[[#This Row],[Principal]]/Table1[[#This Row],[Parcela]]</f>
        <v>0.80480666772883869</v>
      </c>
      <c r="AC34" s="55" t="str">
        <f>IF(AND(Table1[[#This Row],[Dias em Atraso]]&gt;0,Table1[[#This Row],[Status do Evento]]="pending",Table1[[#This Row],[Saldo Devedor Atualizado]]&lt;&gt;0),"PDD","")</f>
        <v/>
      </c>
      <c r="AD34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4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4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4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4" s="59" t="str">
        <f>IFERROR(Table1[[#This Row],[Valor Presente Liquido]]/ABS(Table1[[#This Row],[Saldo Devedor Atualizado]])-1,Table1[[#This Row],[Variação eventos %]])</f>
        <v/>
      </c>
      <c r="AI34" s="22">
        <f t="array" ref="AI34">MAX(IF(C:C=Table1[[#This Row],[Número Contrato]],I:I))</f>
        <v>44306</v>
      </c>
    </row>
    <row r="35" spans="1:35" x14ac:dyDescent="0.25">
      <c r="A35" s="2"/>
      <c r="B35" s="2">
        <v>1143</v>
      </c>
      <c r="C35" s="2" t="s">
        <v>11</v>
      </c>
      <c r="D35" s="2" t="s">
        <v>22</v>
      </c>
      <c r="E35" s="2" t="s">
        <v>23</v>
      </c>
      <c r="F35" s="12">
        <v>1.022</v>
      </c>
      <c r="G35" s="2" t="s">
        <v>51</v>
      </c>
      <c r="H35" s="2" t="str">
        <f t="shared" ref="H35:H66" si="10">IF(G35="disbursement","realized",IF(R35&lt;&gt;"","realized","pending"))</f>
        <v>pending</v>
      </c>
      <c r="I35" s="3">
        <v>44063</v>
      </c>
      <c r="J35" s="13"/>
      <c r="K35" s="14">
        <v>17699.580000000002</v>
      </c>
      <c r="L35" s="14">
        <v>14452.23</v>
      </c>
      <c r="M35" s="14">
        <v>3247.35</v>
      </c>
      <c r="N35" s="14">
        <v>142793.44</v>
      </c>
      <c r="O35" s="16">
        <v>3247.35278443882</v>
      </c>
      <c r="P35" s="16">
        <v>146040.79</v>
      </c>
      <c r="Q35" s="3">
        <f t="shared" ref="Q35:Q66" si="11">IF(G35="Amortization",IF(H35="realized",R35,$B$1),I35)</f>
        <v>43951</v>
      </c>
      <c r="R35" s="3"/>
      <c r="S35" s="15">
        <f t="shared" ref="S35:S66" si="12">IF(A35="C",Q35-EDATE(Q35,-1),IF(G35="Amortization",Q35-Q34,""))</f>
        <v>0</v>
      </c>
      <c r="T35" s="15">
        <f>IF(AND(Table1[[#This Row],[Tipo de Evento]]="Amortization",Table1[[#This Row],[Status do Evento]]="realized"),Table1[[#This Row],[Data Realizada]]-Table1[[#This Row],[Agenda]],$B$1-Table1[[#This Row],[Agenda]])</f>
        <v>-112</v>
      </c>
      <c r="U35" s="16">
        <f t="shared" si="9"/>
        <v>0</v>
      </c>
      <c r="V35" s="16">
        <f t="shared" ref="V35:V66" si="13">IF(G35="disbursement","",(-U35)*(F35^(S35/30)-1))</f>
        <v>0</v>
      </c>
      <c r="W35" s="16">
        <f t="shared" si="5"/>
        <v>0</v>
      </c>
      <c r="X35" s="52"/>
      <c r="Y35" s="17" t="str">
        <f t="shared" si="6"/>
        <v/>
      </c>
      <c r="Z35" s="20">
        <f>SUM($U$32,-SUM($V$32:V35))/$U$32-1</f>
        <v>-9.3856569432788639E-3</v>
      </c>
      <c r="AA35" s="24">
        <f t="shared" si="7"/>
        <v>7.256462133005126E-4</v>
      </c>
      <c r="AB35" s="23">
        <f>Table1[[#This Row],[Principal]]/Table1[[#This Row],[Parcela]]</f>
        <v>0.81652954476885886</v>
      </c>
      <c r="AC35" s="55" t="str">
        <f>IF(AND(Table1[[#This Row],[Dias em Atraso]]&gt;0,Table1[[#This Row],[Status do Evento]]="pending",Table1[[#This Row],[Saldo Devedor Atualizado]]&lt;&gt;0),"PDD","")</f>
        <v/>
      </c>
      <c r="AD35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5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5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5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5" s="59" t="str">
        <f>IFERROR(Table1[[#This Row],[Valor Presente Liquido]]/ABS(Table1[[#This Row],[Saldo Devedor Atualizado]])-1,Table1[[#This Row],[Variação eventos %]])</f>
        <v/>
      </c>
      <c r="AI35" s="22">
        <f t="array" ref="AI35">MAX(IF(C:C=Table1[[#This Row],[Número Contrato]],I:I))</f>
        <v>44306</v>
      </c>
    </row>
    <row r="36" spans="1:35" x14ac:dyDescent="0.25">
      <c r="A36" s="2"/>
      <c r="B36" s="2">
        <v>1143</v>
      </c>
      <c r="C36" s="2" t="s">
        <v>11</v>
      </c>
      <c r="D36" s="2" t="s">
        <v>22</v>
      </c>
      <c r="E36" s="2" t="s">
        <v>23</v>
      </c>
      <c r="F36" s="12">
        <v>1.022</v>
      </c>
      <c r="G36" s="2" t="s">
        <v>51</v>
      </c>
      <c r="H36" s="2" t="str">
        <f t="shared" si="10"/>
        <v>pending</v>
      </c>
      <c r="I36" s="3">
        <v>44094</v>
      </c>
      <c r="J36" s="13"/>
      <c r="K36" s="14">
        <v>17699.580000000002</v>
      </c>
      <c r="L36" s="14">
        <v>14780.89</v>
      </c>
      <c r="M36" s="14">
        <v>2918.69</v>
      </c>
      <c r="N36" s="14">
        <v>128341.21</v>
      </c>
      <c r="O36" s="16">
        <v>2918.6857999341401</v>
      </c>
      <c r="P36" s="16">
        <v>131259.9</v>
      </c>
      <c r="Q36" s="3">
        <f t="shared" si="11"/>
        <v>43951</v>
      </c>
      <c r="R36" s="3"/>
      <c r="S36" s="15">
        <f t="shared" si="12"/>
        <v>0</v>
      </c>
      <c r="T36" s="15">
        <f>IF(AND(Table1[[#This Row],[Tipo de Evento]]="Amortization",Table1[[#This Row],[Status do Evento]]="realized"),Table1[[#This Row],[Data Realizada]]-Table1[[#This Row],[Agenda]],$B$1-Table1[[#This Row],[Agenda]])</f>
        <v>-143</v>
      </c>
      <c r="U36" s="16">
        <f t="shared" si="9"/>
        <v>0</v>
      </c>
      <c r="V36" s="16">
        <f t="shared" si="13"/>
        <v>0</v>
      </c>
      <c r="W36" s="16">
        <f t="shared" ref="W36:W67" si="14">IF(G36="disbursement","",U36-V36)</f>
        <v>0</v>
      </c>
      <c r="X36" s="52"/>
      <c r="Y36" s="17" t="str">
        <f t="shared" ref="Y36:Y67" si="15">IFERROR(IF(G36="disbursement","",(W36/U36)-1),"")</f>
        <v/>
      </c>
      <c r="Z36" s="20">
        <f>SUM($U$32,-SUM($V$32:V36))/$U$32-1</f>
        <v>-9.3856569432788639E-3</v>
      </c>
      <c r="AA36" s="24">
        <f t="shared" si="7"/>
        <v>7.256462133005126E-4</v>
      </c>
      <c r="AB36" s="23">
        <f>Table1[[#This Row],[Principal]]/Table1[[#This Row],[Parcela]]</f>
        <v>0.83509834696642504</v>
      </c>
      <c r="AC36" s="55" t="str">
        <f>IF(AND(Table1[[#This Row],[Dias em Atraso]]&gt;0,Table1[[#This Row],[Status do Evento]]="pending",Table1[[#This Row],[Saldo Devedor Atualizado]]&lt;&gt;0),"PDD","")</f>
        <v/>
      </c>
      <c r="AD36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6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6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6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6" s="59" t="str">
        <f>IFERROR(Table1[[#This Row],[Valor Presente Liquido]]/ABS(Table1[[#This Row],[Saldo Devedor Atualizado]])-1,Table1[[#This Row],[Variação eventos %]])</f>
        <v/>
      </c>
      <c r="AI36" s="22">
        <f t="array" ref="AI36">MAX(IF(C:C=Table1[[#This Row],[Número Contrato]],I:I))</f>
        <v>44306</v>
      </c>
    </row>
    <row r="37" spans="1:35" x14ac:dyDescent="0.25">
      <c r="A37" s="2"/>
      <c r="B37" s="2">
        <v>1143</v>
      </c>
      <c r="C37" s="2" t="s">
        <v>11</v>
      </c>
      <c r="D37" s="2" t="s">
        <v>22</v>
      </c>
      <c r="E37" s="2" t="s">
        <v>23</v>
      </c>
      <c r="F37" s="12">
        <v>1.022</v>
      </c>
      <c r="G37" s="2" t="s">
        <v>51</v>
      </c>
      <c r="H37" s="2" t="str">
        <f t="shared" si="10"/>
        <v>pending</v>
      </c>
      <c r="I37" s="3">
        <v>44124</v>
      </c>
      <c r="J37" s="13"/>
      <c r="K37" s="14">
        <v>17699.580000000002</v>
      </c>
      <c r="L37" s="14">
        <v>15201.25</v>
      </c>
      <c r="M37" s="14">
        <v>2498.33</v>
      </c>
      <c r="N37" s="14">
        <v>113560.32000000001</v>
      </c>
      <c r="O37" s="16">
        <v>2498.3270400001802</v>
      </c>
      <c r="P37" s="16">
        <v>116058.65</v>
      </c>
      <c r="Q37" s="3">
        <f t="shared" si="11"/>
        <v>43951</v>
      </c>
      <c r="R37" s="3"/>
      <c r="S37" s="15">
        <f t="shared" si="12"/>
        <v>0</v>
      </c>
      <c r="T37" s="15">
        <f>IF(AND(Table1[[#This Row],[Tipo de Evento]]="Amortization",Table1[[#This Row],[Status do Evento]]="realized"),Table1[[#This Row],[Data Realizada]]-Table1[[#This Row],[Agenda]],$B$1-Table1[[#This Row],[Agenda]])</f>
        <v>-173</v>
      </c>
      <c r="U37" s="16">
        <f t="shared" si="9"/>
        <v>0</v>
      </c>
      <c r="V37" s="16">
        <f t="shared" si="13"/>
        <v>0</v>
      </c>
      <c r="W37" s="16">
        <f t="shared" si="14"/>
        <v>0</v>
      </c>
      <c r="X37" s="52"/>
      <c r="Y37" s="17" t="str">
        <f t="shared" si="15"/>
        <v/>
      </c>
      <c r="Z37" s="20">
        <f>SUM($U$32,-SUM($V$32:V37))/$U$32-1</f>
        <v>-9.3856569432788639E-3</v>
      </c>
      <c r="AA37" s="24">
        <f t="shared" si="7"/>
        <v>7.256462133005126E-4</v>
      </c>
      <c r="AB37" s="23">
        <f>Table1[[#This Row],[Principal]]/Table1[[#This Row],[Parcela]]</f>
        <v>0.85884806306138328</v>
      </c>
      <c r="AC37" s="55" t="str">
        <f>IF(AND(Table1[[#This Row],[Dias em Atraso]]&gt;0,Table1[[#This Row],[Status do Evento]]="pending",Table1[[#This Row],[Saldo Devedor Atualizado]]&lt;&gt;0),"PDD","")</f>
        <v/>
      </c>
      <c r="AD37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7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7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7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7" s="59" t="str">
        <f>IFERROR(Table1[[#This Row],[Valor Presente Liquido]]/ABS(Table1[[#This Row],[Saldo Devedor Atualizado]])-1,Table1[[#This Row],[Variação eventos %]])</f>
        <v/>
      </c>
      <c r="AI37" s="22">
        <f t="array" ref="AI37">MAX(IF(C:C=Table1[[#This Row],[Número Contrato]],I:I))</f>
        <v>44306</v>
      </c>
    </row>
    <row r="38" spans="1:35" x14ac:dyDescent="0.25">
      <c r="A38" s="2"/>
      <c r="B38" s="2">
        <v>1143</v>
      </c>
      <c r="C38" s="2" t="s">
        <v>11</v>
      </c>
      <c r="D38" s="2" t="s">
        <v>22</v>
      </c>
      <c r="E38" s="2" t="s">
        <v>23</v>
      </c>
      <c r="F38" s="12">
        <v>1.022</v>
      </c>
      <c r="G38" s="2" t="s">
        <v>51</v>
      </c>
      <c r="H38" s="2" t="str">
        <f t="shared" si="10"/>
        <v>pending</v>
      </c>
      <c r="I38" s="3">
        <v>44155</v>
      </c>
      <c r="J38" s="13"/>
      <c r="K38" s="14">
        <v>17699.580000000002</v>
      </c>
      <c r="L38" s="14">
        <v>15462.73</v>
      </c>
      <c r="M38" s="14">
        <v>2236.85</v>
      </c>
      <c r="N38" s="14">
        <v>98359.07</v>
      </c>
      <c r="O38" s="16">
        <v>2236.84365219658</v>
      </c>
      <c r="P38" s="16">
        <v>100595.92</v>
      </c>
      <c r="Q38" s="3">
        <f t="shared" si="11"/>
        <v>43951</v>
      </c>
      <c r="R38" s="3"/>
      <c r="S38" s="15">
        <f t="shared" si="12"/>
        <v>0</v>
      </c>
      <c r="T38" s="15">
        <f>IF(AND(Table1[[#This Row],[Tipo de Evento]]="Amortization",Table1[[#This Row],[Status do Evento]]="realized"),Table1[[#This Row],[Data Realizada]]-Table1[[#This Row],[Agenda]],$B$1-Table1[[#This Row],[Agenda]])</f>
        <v>-204</v>
      </c>
      <c r="U38" s="16">
        <f t="shared" si="9"/>
        <v>0</v>
      </c>
      <c r="V38" s="16">
        <f t="shared" si="13"/>
        <v>0</v>
      </c>
      <c r="W38" s="16">
        <f t="shared" si="14"/>
        <v>0</v>
      </c>
      <c r="X38" s="52"/>
      <c r="Y38" s="17" t="str">
        <f t="shared" si="15"/>
        <v/>
      </c>
      <c r="Z38" s="20">
        <f>SUM($U$32,-SUM($V$32:V38))/$U$32-1</f>
        <v>-9.3856569432788639E-3</v>
      </c>
      <c r="AA38" s="24">
        <f t="shared" si="7"/>
        <v>7.256462133005126E-4</v>
      </c>
      <c r="AB38" s="23">
        <f>Table1[[#This Row],[Principal]]/Table1[[#This Row],[Parcela]]</f>
        <v>0.8736212949685811</v>
      </c>
      <c r="AC38" s="55" t="str">
        <f>IF(AND(Table1[[#This Row],[Dias em Atraso]]&gt;0,Table1[[#This Row],[Status do Evento]]="pending",Table1[[#This Row],[Saldo Devedor Atualizado]]&lt;&gt;0),"PDD","")</f>
        <v/>
      </c>
      <c r="AD38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8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8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8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8" s="59" t="str">
        <f>IFERROR(Table1[[#This Row],[Valor Presente Liquido]]/ABS(Table1[[#This Row],[Saldo Devedor Atualizado]])-1,Table1[[#This Row],[Variação eventos %]])</f>
        <v/>
      </c>
      <c r="AI38" s="22">
        <f t="array" ref="AI38">MAX(IF(C:C=Table1[[#This Row],[Número Contrato]],I:I))</f>
        <v>44306</v>
      </c>
    </row>
    <row r="39" spans="1:35" x14ac:dyDescent="0.25">
      <c r="A39" s="2"/>
      <c r="B39" s="2">
        <v>1143</v>
      </c>
      <c r="C39" s="2" t="s">
        <v>11</v>
      </c>
      <c r="D39" s="2" t="s">
        <v>22</v>
      </c>
      <c r="E39" s="2" t="s">
        <v>23</v>
      </c>
      <c r="F39" s="12">
        <v>1.022</v>
      </c>
      <c r="G39" s="2" t="s">
        <v>51</v>
      </c>
      <c r="H39" s="2" t="str">
        <f t="shared" si="10"/>
        <v>pending</v>
      </c>
      <c r="I39" s="3">
        <v>44185</v>
      </c>
      <c r="J39" s="13"/>
      <c r="K39" s="14">
        <v>17699.580000000002</v>
      </c>
      <c r="L39" s="14">
        <v>15875.86</v>
      </c>
      <c r="M39" s="14">
        <v>1823.72</v>
      </c>
      <c r="N39" s="14">
        <v>82896.34</v>
      </c>
      <c r="O39" s="16">
        <v>1823.71948000013</v>
      </c>
      <c r="P39" s="16">
        <v>84720.06</v>
      </c>
      <c r="Q39" s="3">
        <f t="shared" si="11"/>
        <v>43951</v>
      </c>
      <c r="R39" s="3"/>
      <c r="S39" s="15">
        <f t="shared" si="12"/>
        <v>0</v>
      </c>
      <c r="T39" s="15">
        <f>IF(AND(Table1[[#This Row],[Tipo de Evento]]="Amortization",Table1[[#This Row],[Status do Evento]]="realized"),Table1[[#This Row],[Data Realizada]]-Table1[[#This Row],[Agenda]],$B$1-Table1[[#This Row],[Agenda]])</f>
        <v>-234</v>
      </c>
      <c r="U39" s="16">
        <f t="shared" si="9"/>
        <v>0</v>
      </c>
      <c r="V39" s="16">
        <f t="shared" si="13"/>
        <v>0</v>
      </c>
      <c r="W39" s="16">
        <f t="shared" si="14"/>
        <v>0</v>
      </c>
      <c r="X39" s="52"/>
      <c r="Y39" s="17" t="str">
        <f t="shared" si="15"/>
        <v/>
      </c>
      <c r="Z39" s="20">
        <f>SUM($U$32,-SUM($V$32:V39))/$U$32-1</f>
        <v>-9.3856569432788639E-3</v>
      </c>
      <c r="AA39" s="24">
        <f t="shared" si="7"/>
        <v>7.256462133005126E-4</v>
      </c>
      <c r="AB39" s="23">
        <f>Table1[[#This Row],[Principal]]/Table1[[#This Row],[Parcela]]</f>
        <v>0.89696252679442101</v>
      </c>
      <c r="AC39" s="55" t="str">
        <f>IF(AND(Table1[[#This Row],[Dias em Atraso]]&gt;0,Table1[[#This Row],[Status do Evento]]="pending",Table1[[#This Row],[Saldo Devedor Atualizado]]&lt;&gt;0),"PDD","")</f>
        <v/>
      </c>
      <c r="AD39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39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39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39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39" s="59" t="str">
        <f>IFERROR(Table1[[#This Row],[Valor Presente Liquido]]/ABS(Table1[[#This Row],[Saldo Devedor Atualizado]])-1,Table1[[#This Row],[Variação eventos %]])</f>
        <v/>
      </c>
      <c r="AI39" s="22">
        <f t="array" ref="AI39">MAX(IF(C:C=Table1[[#This Row],[Número Contrato]],I:I))</f>
        <v>44306</v>
      </c>
    </row>
    <row r="40" spans="1:35" x14ac:dyDescent="0.25">
      <c r="A40" s="2"/>
      <c r="B40" s="2">
        <v>1143</v>
      </c>
      <c r="C40" s="2" t="s">
        <v>11</v>
      </c>
      <c r="D40" s="2" t="s">
        <v>22</v>
      </c>
      <c r="E40" s="2" t="s">
        <v>23</v>
      </c>
      <c r="F40" s="12">
        <v>1.022</v>
      </c>
      <c r="G40" s="2" t="s">
        <v>51</v>
      </c>
      <c r="H40" s="2" t="str">
        <f t="shared" si="10"/>
        <v>pending</v>
      </c>
      <c r="I40" s="3">
        <v>44216</v>
      </c>
      <c r="J40" s="13"/>
      <c r="K40" s="14">
        <v>17699.580000000002</v>
      </c>
      <c r="L40" s="14">
        <v>16175.42</v>
      </c>
      <c r="M40" s="14">
        <v>1524.16</v>
      </c>
      <c r="N40" s="14">
        <v>67020.479999999996</v>
      </c>
      <c r="O40" s="16">
        <v>1524.1536469912501</v>
      </c>
      <c r="P40" s="16">
        <v>68544.639999999999</v>
      </c>
      <c r="Q40" s="3">
        <f t="shared" si="11"/>
        <v>43951</v>
      </c>
      <c r="R40" s="3"/>
      <c r="S40" s="15">
        <f t="shared" si="12"/>
        <v>0</v>
      </c>
      <c r="T40" s="15">
        <f>IF(AND(Table1[[#This Row],[Tipo de Evento]]="Amortization",Table1[[#This Row],[Status do Evento]]="realized"),Table1[[#This Row],[Data Realizada]]-Table1[[#This Row],[Agenda]],$B$1-Table1[[#This Row],[Agenda]])</f>
        <v>-265</v>
      </c>
      <c r="U40" s="16">
        <f t="shared" si="9"/>
        <v>0</v>
      </c>
      <c r="V40" s="16">
        <f t="shared" si="13"/>
        <v>0</v>
      </c>
      <c r="W40" s="16">
        <f t="shared" si="14"/>
        <v>0</v>
      </c>
      <c r="X40" s="52"/>
      <c r="Y40" s="17" t="str">
        <f t="shared" si="15"/>
        <v/>
      </c>
      <c r="Z40" s="20">
        <f>SUM($U$32,-SUM($V$32:V40))/$U$32-1</f>
        <v>-9.3856569432788639E-3</v>
      </c>
      <c r="AA40" s="24">
        <f t="shared" si="7"/>
        <v>7.256462133005126E-4</v>
      </c>
      <c r="AB40" s="23">
        <f>Table1[[#This Row],[Principal]]/Table1[[#This Row],[Parcela]]</f>
        <v>0.91388722218267315</v>
      </c>
      <c r="AC40" s="55" t="str">
        <f>IF(AND(Table1[[#This Row],[Dias em Atraso]]&gt;0,Table1[[#This Row],[Status do Evento]]="pending",Table1[[#This Row],[Saldo Devedor Atualizado]]&lt;&gt;0),"PDD","")</f>
        <v/>
      </c>
      <c r="AD40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0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0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0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0" s="59" t="str">
        <f>IFERROR(Table1[[#This Row],[Valor Presente Liquido]]/ABS(Table1[[#This Row],[Saldo Devedor Atualizado]])-1,Table1[[#This Row],[Variação eventos %]])</f>
        <v/>
      </c>
      <c r="AI40" s="22">
        <f t="array" ref="AI40">MAX(IF(C:C=Table1[[#This Row],[Número Contrato]],I:I))</f>
        <v>44306</v>
      </c>
    </row>
    <row r="41" spans="1:35" x14ac:dyDescent="0.25">
      <c r="A41" s="2"/>
      <c r="B41" s="2">
        <v>1143</v>
      </c>
      <c r="C41" s="2" t="s">
        <v>11</v>
      </c>
      <c r="D41" s="2" t="s">
        <v>22</v>
      </c>
      <c r="E41" s="2" t="s">
        <v>23</v>
      </c>
      <c r="F41" s="12">
        <v>1.022</v>
      </c>
      <c r="G41" s="2" t="s">
        <v>51</v>
      </c>
      <c r="H41" s="2" t="str">
        <f t="shared" si="10"/>
        <v>pending</v>
      </c>
      <c r="I41" s="3">
        <v>44247</v>
      </c>
      <c r="J41" s="13"/>
      <c r="K41" s="14">
        <v>17699.580000000002</v>
      </c>
      <c r="L41" s="14">
        <v>16543.28</v>
      </c>
      <c r="M41" s="14">
        <v>1156.3</v>
      </c>
      <c r="N41" s="14">
        <v>50845.06</v>
      </c>
      <c r="O41" s="16">
        <v>1156.2985468097099</v>
      </c>
      <c r="P41" s="16">
        <v>52001.36</v>
      </c>
      <c r="Q41" s="3">
        <f t="shared" si="11"/>
        <v>43951</v>
      </c>
      <c r="R41" s="3"/>
      <c r="S41" s="15">
        <f t="shared" si="12"/>
        <v>0</v>
      </c>
      <c r="T41" s="15">
        <f>IF(AND(Table1[[#This Row],[Tipo de Evento]]="Amortization",Table1[[#This Row],[Status do Evento]]="realized"),Table1[[#This Row],[Data Realizada]]-Table1[[#This Row],[Agenda]],$B$1-Table1[[#This Row],[Agenda]])</f>
        <v>-296</v>
      </c>
      <c r="U41" s="16">
        <f t="shared" si="9"/>
        <v>0</v>
      </c>
      <c r="V41" s="16">
        <f t="shared" si="13"/>
        <v>0</v>
      </c>
      <c r="W41" s="16">
        <f t="shared" si="14"/>
        <v>0</v>
      </c>
      <c r="X41" s="52"/>
      <c r="Y41" s="17" t="str">
        <f t="shared" si="15"/>
        <v/>
      </c>
      <c r="Z41" s="20">
        <f>SUM($U$32,-SUM($V$32:V41))/$U$32-1</f>
        <v>-9.3856569432788639E-3</v>
      </c>
      <c r="AA41" s="24">
        <f t="shared" si="7"/>
        <v>7.256462133005126E-4</v>
      </c>
      <c r="AB41" s="23">
        <f>Table1[[#This Row],[Principal]]/Table1[[#This Row],[Parcela]]</f>
        <v>0.93467076619897183</v>
      </c>
      <c r="AC41" s="55" t="str">
        <f>IF(AND(Table1[[#This Row],[Dias em Atraso]]&gt;0,Table1[[#This Row],[Status do Evento]]="pending",Table1[[#This Row],[Saldo Devedor Atualizado]]&lt;&gt;0),"PDD","")</f>
        <v/>
      </c>
      <c r="AD41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1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1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1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1" s="59" t="str">
        <f>IFERROR(Table1[[#This Row],[Valor Presente Liquido]]/ABS(Table1[[#This Row],[Saldo Devedor Atualizado]])-1,Table1[[#This Row],[Variação eventos %]])</f>
        <v/>
      </c>
      <c r="AI41" s="22">
        <f t="array" ref="AI41">MAX(IF(C:C=Table1[[#This Row],[Número Contrato]],I:I))</f>
        <v>44306</v>
      </c>
    </row>
    <row r="42" spans="1:35" x14ac:dyDescent="0.25">
      <c r="A42" s="2"/>
      <c r="B42" s="2">
        <v>1143</v>
      </c>
      <c r="C42" s="2" t="s">
        <v>11</v>
      </c>
      <c r="D42" s="2" t="s">
        <v>22</v>
      </c>
      <c r="E42" s="2" t="s">
        <v>23</v>
      </c>
      <c r="F42" s="12">
        <v>1.022</v>
      </c>
      <c r="G42" s="2" t="s">
        <v>51</v>
      </c>
      <c r="H42" s="2" t="str">
        <f t="shared" si="10"/>
        <v>pending</v>
      </c>
      <c r="I42" s="3">
        <v>44275</v>
      </c>
      <c r="J42" s="13"/>
      <c r="K42" s="14">
        <v>17699.580000000002</v>
      </c>
      <c r="L42" s="14">
        <v>16995.759999999998</v>
      </c>
      <c r="M42" s="14">
        <v>703.82000000000301</v>
      </c>
      <c r="N42" s="14">
        <v>34301.78</v>
      </c>
      <c r="O42" s="16">
        <v>703.81736901744603</v>
      </c>
      <c r="P42" s="16">
        <v>35005.599999999999</v>
      </c>
      <c r="Q42" s="3">
        <f t="shared" si="11"/>
        <v>43951</v>
      </c>
      <c r="R42" s="3"/>
      <c r="S42" s="15">
        <f t="shared" si="12"/>
        <v>0</v>
      </c>
      <c r="T42" s="15">
        <f>IF(AND(Table1[[#This Row],[Tipo de Evento]]="Amortization",Table1[[#This Row],[Status do Evento]]="realized"),Table1[[#This Row],[Data Realizada]]-Table1[[#This Row],[Agenda]],$B$1-Table1[[#This Row],[Agenda]])</f>
        <v>-324</v>
      </c>
      <c r="U42" s="16">
        <f t="shared" si="9"/>
        <v>0</v>
      </c>
      <c r="V42" s="16">
        <f t="shared" si="13"/>
        <v>0</v>
      </c>
      <c r="W42" s="16">
        <f t="shared" si="14"/>
        <v>0</v>
      </c>
      <c r="X42" s="52"/>
      <c r="Y42" s="17" t="str">
        <f t="shared" si="15"/>
        <v/>
      </c>
      <c r="Z42" s="20">
        <f>SUM($U$32,-SUM($V$32:V42))/$U$32-1</f>
        <v>-9.3856569432788639E-3</v>
      </c>
      <c r="AA42" s="24">
        <f t="shared" si="7"/>
        <v>7.256462133005126E-4</v>
      </c>
      <c r="AB42" s="23">
        <f>Table1[[#This Row],[Principal]]/Table1[[#This Row],[Parcela]]</f>
        <v>0.96023521462091177</v>
      </c>
      <c r="AC42" s="55" t="str">
        <f>IF(AND(Table1[[#This Row],[Dias em Atraso]]&gt;0,Table1[[#This Row],[Status do Evento]]="pending",Table1[[#This Row],[Saldo Devedor Atualizado]]&lt;&gt;0),"PDD","")</f>
        <v/>
      </c>
      <c r="AD42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2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2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2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2" s="59" t="str">
        <f>IFERROR(Table1[[#This Row],[Valor Presente Liquido]]/ABS(Table1[[#This Row],[Saldo Devedor Atualizado]])-1,Table1[[#This Row],[Variação eventos %]])</f>
        <v/>
      </c>
      <c r="AI42" s="22">
        <f t="array" ref="AI42">MAX(IF(C:C=Table1[[#This Row],[Número Contrato]],I:I))</f>
        <v>44306</v>
      </c>
    </row>
    <row r="43" spans="1:35" x14ac:dyDescent="0.25">
      <c r="A43" s="2"/>
      <c r="B43" s="2">
        <v>1143</v>
      </c>
      <c r="C43" s="2" t="s">
        <v>11</v>
      </c>
      <c r="D43" s="2" t="s">
        <v>22</v>
      </c>
      <c r="E43" s="2" t="s">
        <v>23</v>
      </c>
      <c r="F43" s="12">
        <v>1.022</v>
      </c>
      <c r="G43" s="2" t="s">
        <v>51</v>
      </c>
      <c r="H43" s="2" t="str">
        <f t="shared" si="10"/>
        <v>pending</v>
      </c>
      <c r="I43" s="3">
        <v>44306</v>
      </c>
      <c r="J43" s="13"/>
      <c r="K43" s="14">
        <v>17699.580000000002</v>
      </c>
      <c r="L43" s="14">
        <v>17306.009999999998</v>
      </c>
      <c r="M43" s="14">
        <v>393.57000000000301</v>
      </c>
      <c r="N43" s="14">
        <v>17306.02</v>
      </c>
      <c r="O43" s="16">
        <v>393.56676493369702</v>
      </c>
      <c r="P43" s="16">
        <v>17699.59</v>
      </c>
      <c r="Q43" s="3">
        <f t="shared" si="11"/>
        <v>43951</v>
      </c>
      <c r="R43" s="3"/>
      <c r="S43" s="15">
        <f t="shared" si="12"/>
        <v>0</v>
      </c>
      <c r="T43" s="15">
        <f>IF(AND(Table1[[#This Row],[Tipo de Evento]]="Amortization",Table1[[#This Row],[Status do Evento]]="realized"),Table1[[#This Row],[Data Realizada]]-Table1[[#This Row],[Agenda]],$B$1-Table1[[#This Row],[Agenda]])</f>
        <v>-355</v>
      </c>
      <c r="U43" s="16">
        <f t="shared" si="9"/>
        <v>0</v>
      </c>
      <c r="V43" s="16">
        <f t="shared" si="13"/>
        <v>0</v>
      </c>
      <c r="W43" s="16">
        <f t="shared" si="14"/>
        <v>0</v>
      </c>
      <c r="X43" s="52"/>
      <c r="Y43" s="17" t="str">
        <f t="shared" si="15"/>
        <v/>
      </c>
      <c r="Z43" s="20">
        <f>SUM($U$32,-SUM($V$32:V43))/$U$32-1</f>
        <v>-9.3856569432788639E-3</v>
      </c>
      <c r="AA43" s="24">
        <f t="shared" si="7"/>
        <v>7.256462133005126E-4</v>
      </c>
      <c r="AB43" s="23">
        <f>Table1[[#This Row],[Principal]]/Table1[[#This Row],[Parcela]]</f>
        <v>0.97776387914289475</v>
      </c>
      <c r="AC43" s="55" t="str">
        <f>IF(AND(Table1[[#This Row],[Dias em Atraso]]&gt;0,Table1[[#This Row],[Status do Evento]]="pending",Table1[[#This Row],[Saldo Devedor Atualizado]]&lt;&gt;0),"PDD","")</f>
        <v/>
      </c>
      <c r="AD43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3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3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3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3" s="59" t="str">
        <f>IFERROR(Table1[[#This Row],[Valor Presente Liquido]]/ABS(Table1[[#This Row],[Saldo Devedor Atualizado]])-1,Table1[[#This Row],[Variação eventos %]])</f>
        <v/>
      </c>
      <c r="AI43" s="22">
        <f t="array" ref="AI43">MAX(IF(C:C=Table1[[#This Row],[Número Contrato]],I:I))</f>
        <v>44306</v>
      </c>
    </row>
    <row r="44" spans="1:35" x14ac:dyDescent="0.25">
      <c r="A44" s="2"/>
      <c r="B44" s="2">
        <v>1131</v>
      </c>
      <c r="C44" s="2" t="s">
        <v>16</v>
      </c>
      <c r="D44" s="2" t="s">
        <v>36</v>
      </c>
      <c r="E44" s="2" t="s">
        <v>37</v>
      </c>
      <c r="F44" s="12">
        <v>1.0249999999999999</v>
      </c>
      <c r="G44" s="2" t="s">
        <v>50</v>
      </c>
      <c r="H44" s="2" t="str">
        <f t="shared" si="10"/>
        <v>realized</v>
      </c>
      <c r="I44" s="3">
        <v>43951</v>
      </c>
      <c r="J44" s="13">
        <v>-103359.17</v>
      </c>
      <c r="K44" s="14"/>
      <c r="L44" s="14"/>
      <c r="M44" s="14"/>
      <c r="N44" s="14"/>
      <c r="O44" s="16"/>
      <c r="P44" s="16"/>
      <c r="Q44" s="3">
        <f t="shared" si="11"/>
        <v>43951</v>
      </c>
      <c r="R44" s="3"/>
      <c r="S44" s="15" t="str">
        <f t="shared" si="12"/>
        <v/>
      </c>
      <c r="T44" s="15">
        <f>IF(AND(Table1[[#This Row],[Tipo de Evento]]="Amortization",Table1[[#This Row],[Status do Evento]]="realized"),Table1[[#This Row],[Data Realizada]]-Table1[[#This Row],[Agenda]],$B$1-Table1[[#This Row],[Agenda]])</f>
        <v>0</v>
      </c>
      <c r="U44" s="16"/>
      <c r="V44" s="16" t="str">
        <f t="shared" si="13"/>
        <v/>
      </c>
      <c r="W44" s="16" t="str">
        <f t="shared" si="14"/>
        <v/>
      </c>
      <c r="X44" s="52"/>
      <c r="Y44" s="17" t="str">
        <f t="shared" si="15"/>
        <v/>
      </c>
      <c r="Z44" s="20"/>
      <c r="AA44" s="24"/>
      <c r="AB44" s="23"/>
      <c r="AC44" s="55" t="str">
        <f>IF(AND(Table1[[#This Row],[Dias em Atraso]]&gt;0,Table1[[#This Row],[Status do Evento]]="pending",Table1[[#This Row],[Saldo Devedor Atualizado]]&lt;&gt;0),"PDD","")</f>
        <v/>
      </c>
      <c r="AD44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4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4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4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4" s="59" t="str">
        <f>IFERROR(Table1[[#This Row],[Valor Presente Liquido]]/ABS(Table1[[#This Row],[Saldo Devedor Atualizado]])-1,Table1[[#This Row],[Variação eventos %]])</f>
        <v/>
      </c>
      <c r="AI44" s="22">
        <f t="array" ref="AI44">MAX(IF(C:C=Table1[[#This Row],[Número Contrato]],I:I))</f>
        <v>44275</v>
      </c>
    </row>
    <row r="45" spans="1:35" x14ac:dyDescent="0.25">
      <c r="A45" s="2"/>
      <c r="B45" s="2">
        <v>1131</v>
      </c>
      <c r="C45" s="2" t="s">
        <v>16</v>
      </c>
      <c r="D45" s="2" t="s">
        <v>36</v>
      </c>
      <c r="E45" s="2" t="s">
        <v>37</v>
      </c>
      <c r="F45" s="12">
        <v>1.0249999999999999</v>
      </c>
      <c r="G45" s="2" t="s">
        <v>51</v>
      </c>
      <c r="H45" s="2" t="str">
        <f t="shared" si="10"/>
        <v>pending</v>
      </c>
      <c r="I45" s="3">
        <v>44002</v>
      </c>
      <c r="J45" s="13"/>
      <c r="K45" s="14">
        <v>1493.63</v>
      </c>
      <c r="L45" s="14">
        <v>0.01</v>
      </c>
      <c r="M45" s="14">
        <v>1493.62</v>
      </c>
      <c r="N45" s="14">
        <v>103359.17</v>
      </c>
      <c r="O45" s="16">
        <v>4431.1060965035604</v>
      </c>
      <c r="P45" s="16">
        <v>104852.79</v>
      </c>
      <c r="Q45" s="3">
        <f t="shared" si="11"/>
        <v>43951</v>
      </c>
      <c r="R45" s="3"/>
      <c r="S45" s="15">
        <f t="shared" si="12"/>
        <v>0</v>
      </c>
      <c r="T45" s="15">
        <f>IF(AND(Table1[[#This Row],[Tipo de Evento]]="Amortization",Table1[[#This Row],[Status do Evento]]="realized"),Table1[[#This Row],[Data Realizada]]-Table1[[#This Row],[Agenda]],$B$1-Table1[[#This Row],[Agenda]])</f>
        <v>-51</v>
      </c>
      <c r="U45" s="16">
        <f t="shared" ref="U45:U54" si="16">IF(G44="disbursement",J44,IFERROR(U44+IF(H44="realized",L44,""),0))</f>
        <v>-103359.17</v>
      </c>
      <c r="V45" s="16">
        <f t="shared" si="13"/>
        <v>0</v>
      </c>
      <c r="W45" s="16">
        <f t="shared" si="14"/>
        <v>-103359.17</v>
      </c>
      <c r="X45" s="52"/>
      <c r="Y45" s="17">
        <f t="shared" si="15"/>
        <v>0</v>
      </c>
      <c r="Z45" s="20">
        <f>SUM($U$45,-SUM($V$45:V45))/$U$45-1</f>
        <v>0</v>
      </c>
      <c r="AA45" s="24">
        <f t="shared" si="7"/>
        <v>8.2342591547712729E-4</v>
      </c>
      <c r="AB45" s="23">
        <f>Table1[[#This Row],[Principal]]/Table1[[#This Row],[Parcela]]</f>
        <v>6.6950985183746973E-6</v>
      </c>
      <c r="AC45" s="55" t="str">
        <f>IF(AND(Table1[[#This Row],[Dias em Atraso]]&gt;0,Table1[[#This Row],[Status do Evento]]="pending",Table1[[#This Row],[Saldo Devedor Atualizado]]&lt;&gt;0),"PDD","")</f>
        <v/>
      </c>
      <c r="AD45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5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5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5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5" s="59">
        <f>IFERROR(Table1[[#This Row],[Valor Presente Liquido]]/ABS(Table1[[#This Row],[Saldo Devedor Atualizado]])-1,Table1[[#This Row],[Variação eventos %]])</f>
        <v>0</v>
      </c>
      <c r="AI45" s="22">
        <f t="array" ref="AI45">MAX(IF(C:C=Table1[[#This Row],[Número Contrato]],I:I))</f>
        <v>44275</v>
      </c>
    </row>
    <row r="46" spans="1:35" x14ac:dyDescent="0.25">
      <c r="A46" s="2"/>
      <c r="B46" s="2">
        <v>1131</v>
      </c>
      <c r="C46" s="2" t="s">
        <v>16</v>
      </c>
      <c r="D46" s="2" t="s">
        <v>36</v>
      </c>
      <c r="E46" s="2" t="s">
        <v>37</v>
      </c>
      <c r="F46" s="12">
        <v>1.0249999999999999</v>
      </c>
      <c r="G46" s="2" t="s">
        <v>51</v>
      </c>
      <c r="H46" s="2" t="str">
        <f t="shared" si="10"/>
        <v>pending</v>
      </c>
      <c r="I46" s="3">
        <v>44032</v>
      </c>
      <c r="J46" s="13"/>
      <c r="K46" s="14">
        <v>2650</v>
      </c>
      <c r="L46" s="14">
        <v>0.01</v>
      </c>
      <c r="M46" s="14">
        <v>2649.99</v>
      </c>
      <c r="N46" s="14">
        <v>103359.16</v>
      </c>
      <c r="O46" s="16">
        <v>7125.8623094887798</v>
      </c>
      <c r="P46" s="16">
        <v>106009.15</v>
      </c>
      <c r="Q46" s="3">
        <f t="shared" si="11"/>
        <v>43951</v>
      </c>
      <c r="R46" s="3"/>
      <c r="S46" s="15">
        <f t="shared" si="12"/>
        <v>0</v>
      </c>
      <c r="T46" s="15">
        <f>IF(AND(Table1[[#This Row],[Tipo de Evento]]="Amortization",Table1[[#This Row],[Status do Evento]]="realized"),Table1[[#This Row],[Data Realizada]]-Table1[[#This Row],[Agenda]],$B$1-Table1[[#This Row],[Agenda]])</f>
        <v>-81</v>
      </c>
      <c r="U46" s="16">
        <f t="shared" si="16"/>
        <v>0</v>
      </c>
      <c r="V46" s="16">
        <f t="shared" si="13"/>
        <v>0</v>
      </c>
      <c r="W46" s="16">
        <f t="shared" si="14"/>
        <v>0</v>
      </c>
      <c r="X46" s="52"/>
      <c r="Y46" s="17" t="str">
        <f t="shared" si="15"/>
        <v/>
      </c>
      <c r="Z46" s="20">
        <f>SUM($U$45,-SUM($V$45:V46))/$U$45-1</f>
        <v>0</v>
      </c>
      <c r="AA46" s="24">
        <f t="shared" si="7"/>
        <v>8.2342591547712729E-4</v>
      </c>
      <c r="AB46" s="23">
        <f>Table1[[#This Row],[Principal]]/Table1[[#This Row],[Parcela]]</f>
        <v>3.7735849056603773E-6</v>
      </c>
      <c r="AC46" s="55" t="str">
        <f>IF(AND(Table1[[#This Row],[Dias em Atraso]]&gt;0,Table1[[#This Row],[Status do Evento]]="pending",Table1[[#This Row],[Saldo Devedor Atualizado]]&lt;&gt;0),"PDD","")</f>
        <v/>
      </c>
      <c r="AD46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6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6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6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6" s="59" t="str">
        <f>IFERROR(Table1[[#This Row],[Valor Presente Liquido]]/ABS(Table1[[#This Row],[Saldo Devedor Atualizado]])-1,Table1[[#This Row],[Variação eventos %]])</f>
        <v/>
      </c>
      <c r="AI46" s="22">
        <f t="array" ref="AI46">MAX(IF(C:C=Table1[[#This Row],[Número Contrato]],I:I))</f>
        <v>44275</v>
      </c>
    </row>
    <row r="47" spans="1:35" x14ac:dyDescent="0.25">
      <c r="A47" s="2"/>
      <c r="B47" s="2">
        <v>1131</v>
      </c>
      <c r="C47" s="2" t="s">
        <v>16</v>
      </c>
      <c r="D47" s="2" t="s">
        <v>36</v>
      </c>
      <c r="E47" s="2" t="s">
        <v>37</v>
      </c>
      <c r="F47" s="12">
        <v>1.0249999999999999</v>
      </c>
      <c r="G47" s="2" t="s">
        <v>51</v>
      </c>
      <c r="H47" s="2" t="str">
        <f t="shared" si="10"/>
        <v>pending</v>
      </c>
      <c r="I47" s="3">
        <v>44063</v>
      </c>
      <c r="J47" s="13"/>
      <c r="K47" s="14">
        <v>14783.52</v>
      </c>
      <c r="L47" s="14">
        <v>9389.06</v>
      </c>
      <c r="M47" s="14">
        <v>5394.46</v>
      </c>
      <c r="N47" s="14">
        <v>103359.15</v>
      </c>
      <c r="O47" s="16">
        <v>9981.2375379487003</v>
      </c>
      <c r="P47" s="16">
        <v>108753.61</v>
      </c>
      <c r="Q47" s="3">
        <f t="shared" si="11"/>
        <v>43951</v>
      </c>
      <c r="R47" s="3"/>
      <c r="S47" s="15">
        <f t="shared" si="12"/>
        <v>0</v>
      </c>
      <c r="T47" s="15">
        <f>IF(AND(Table1[[#This Row],[Tipo de Evento]]="Amortization",Table1[[#This Row],[Status do Evento]]="realized"),Table1[[#This Row],[Data Realizada]]-Table1[[#This Row],[Agenda]],$B$1-Table1[[#This Row],[Agenda]])</f>
        <v>-112</v>
      </c>
      <c r="U47" s="16">
        <f t="shared" si="16"/>
        <v>0</v>
      </c>
      <c r="V47" s="16">
        <f t="shared" si="13"/>
        <v>0</v>
      </c>
      <c r="W47" s="16">
        <f t="shared" si="14"/>
        <v>0</v>
      </c>
      <c r="X47" s="52"/>
      <c r="Y47" s="17" t="str">
        <f t="shared" si="15"/>
        <v/>
      </c>
      <c r="Z47" s="20">
        <f>SUM($U$45,-SUM($V$45:V47))/$U$45-1</f>
        <v>0</v>
      </c>
      <c r="AA47" s="24">
        <f t="shared" si="7"/>
        <v>8.2342591547712729E-4</v>
      </c>
      <c r="AB47" s="23">
        <f>Table1[[#This Row],[Principal]]/Table1[[#This Row],[Parcela]]</f>
        <v>0.63510314187690076</v>
      </c>
      <c r="AC47" s="55" t="str">
        <f>IF(AND(Table1[[#This Row],[Dias em Atraso]]&gt;0,Table1[[#This Row],[Status do Evento]]="pending",Table1[[#This Row],[Saldo Devedor Atualizado]]&lt;&gt;0),"PDD","")</f>
        <v/>
      </c>
      <c r="AD47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7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7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7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7" s="59" t="str">
        <f>IFERROR(Table1[[#This Row],[Valor Presente Liquido]]/ABS(Table1[[#This Row],[Saldo Devedor Atualizado]])-1,Table1[[#This Row],[Variação eventos %]])</f>
        <v/>
      </c>
      <c r="AI47" s="22">
        <f t="array" ref="AI47">MAX(IF(C:C=Table1[[#This Row],[Número Contrato]],I:I))</f>
        <v>44275</v>
      </c>
    </row>
    <row r="48" spans="1:35" x14ac:dyDescent="0.25">
      <c r="A48" s="2"/>
      <c r="B48" s="2">
        <v>1131</v>
      </c>
      <c r="C48" s="2" t="s">
        <v>16</v>
      </c>
      <c r="D48" s="2" t="s">
        <v>36</v>
      </c>
      <c r="E48" s="2" t="s">
        <v>37</v>
      </c>
      <c r="F48" s="12">
        <v>1.0249999999999999</v>
      </c>
      <c r="G48" s="2" t="s">
        <v>51</v>
      </c>
      <c r="H48" s="2" t="str">
        <f t="shared" si="10"/>
        <v>pending</v>
      </c>
      <c r="I48" s="3">
        <v>44094</v>
      </c>
      <c r="J48" s="13"/>
      <c r="K48" s="14">
        <v>14783.52</v>
      </c>
      <c r="L48" s="14">
        <v>12426.13</v>
      </c>
      <c r="M48" s="14">
        <v>2357.39</v>
      </c>
      <c r="N48" s="14">
        <v>93970.09</v>
      </c>
      <c r="O48" s="16">
        <v>11737.6370177684</v>
      </c>
      <c r="P48" s="16">
        <v>96327.48</v>
      </c>
      <c r="Q48" s="3">
        <f t="shared" si="11"/>
        <v>43951</v>
      </c>
      <c r="R48" s="3"/>
      <c r="S48" s="15">
        <f t="shared" si="12"/>
        <v>0</v>
      </c>
      <c r="T48" s="15">
        <f>IF(AND(Table1[[#This Row],[Tipo de Evento]]="Amortization",Table1[[#This Row],[Status do Evento]]="realized"),Table1[[#This Row],[Data Realizada]]-Table1[[#This Row],[Agenda]],$B$1-Table1[[#This Row],[Agenda]])</f>
        <v>-143</v>
      </c>
      <c r="U48" s="16">
        <f t="shared" si="16"/>
        <v>0</v>
      </c>
      <c r="V48" s="16">
        <f t="shared" si="13"/>
        <v>0</v>
      </c>
      <c r="W48" s="16">
        <f t="shared" si="14"/>
        <v>0</v>
      </c>
      <c r="X48" s="52"/>
      <c r="Y48" s="17" t="str">
        <f t="shared" si="15"/>
        <v/>
      </c>
      <c r="Z48" s="20">
        <f>SUM($U$45,-SUM($V$45:V48))/$U$45-1</f>
        <v>0</v>
      </c>
      <c r="AA48" s="24">
        <f t="shared" si="7"/>
        <v>8.2342591547712729E-4</v>
      </c>
      <c r="AB48" s="23">
        <f>Table1[[#This Row],[Principal]]/Table1[[#This Row],[Parcela]]</f>
        <v>0.84053933028128613</v>
      </c>
      <c r="AC48" s="55" t="str">
        <f>IF(AND(Table1[[#This Row],[Dias em Atraso]]&gt;0,Table1[[#This Row],[Status do Evento]]="pending",Table1[[#This Row],[Saldo Devedor Atualizado]]&lt;&gt;0),"PDD","")</f>
        <v/>
      </c>
      <c r="AD48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8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8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8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8" s="59" t="str">
        <f>IFERROR(Table1[[#This Row],[Valor Presente Liquido]]/ABS(Table1[[#This Row],[Saldo Devedor Atualizado]])-1,Table1[[#This Row],[Variação eventos %]])</f>
        <v/>
      </c>
      <c r="AI48" s="22">
        <f t="array" ref="AI48">MAX(IF(C:C=Table1[[#This Row],[Número Contrato]],I:I))</f>
        <v>44275</v>
      </c>
    </row>
    <row r="49" spans="1:35" x14ac:dyDescent="0.25">
      <c r="A49" s="2"/>
      <c r="B49" s="2">
        <v>1131</v>
      </c>
      <c r="C49" s="2" t="s">
        <v>16</v>
      </c>
      <c r="D49" s="2" t="s">
        <v>36</v>
      </c>
      <c r="E49" s="2" t="s">
        <v>37</v>
      </c>
      <c r="F49" s="12">
        <v>1.0249999999999999</v>
      </c>
      <c r="G49" s="2" t="s">
        <v>51</v>
      </c>
      <c r="H49" s="2" t="str">
        <f t="shared" si="10"/>
        <v>pending</v>
      </c>
      <c r="I49" s="3">
        <v>44124</v>
      </c>
      <c r="J49" s="13"/>
      <c r="K49" s="14">
        <v>14783.52</v>
      </c>
      <c r="L49" s="14">
        <v>12804.64</v>
      </c>
      <c r="M49" s="14">
        <v>1978.88</v>
      </c>
      <c r="N49" s="14">
        <v>81543.960000000006</v>
      </c>
      <c r="O49" s="16">
        <v>12478.7479724891</v>
      </c>
      <c r="P49" s="16">
        <v>83522.84</v>
      </c>
      <c r="Q49" s="3">
        <f t="shared" si="11"/>
        <v>43951</v>
      </c>
      <c r="R49" s="3"/>
      <c r="S49" s="15">
        <f t="shared" si="12"/>
        <v>0</v>
      </c>
      <c r="T49" s="15">
        <f>IF(AND(Table1[[#This Row],[Tipo de Evento]]="Amortization",Table1[[#This Row],[Status do Evento]]="realized"),Table1[[#This Row],[Data Realizada]]-Table1[[#This Row],[Agenda]],$B$1-Table1[[#This Row],[Agenda]])</f>
        <v>-173</v>
      </c>
      <c r="U49" s="16">
        <f t="shared" si="16"/>
        <v>0</v>
      </c>
      <c r="V49" s="16">
        <f t="shared" si="13"/>
        <v>0</v>
      </c>
      <c r="W49" s="16">
        <f t="shared" si="14"/>
        <v>0</v>
      </c>
      <c r="X49" s="52"/>
      <c r="Y49" s="17" t="str">
        <f t="shared" si="15"/>
        <v/>
      </c>
      <c r="Z49" s="20">
        <f>SUM($U$45,-SUM($V$45:V49))/$U$45-1</f>
        <v>0</v>
      </c>
      <c r="AA49" s="24">
        <f t="shared" si="7"/>
        <v>8.2342591547712729E-4</v>
      </c>
      <c r="AB49" s="23">
        <f>Table1[[#This Row],[Principal]]/Table1[[#This Row],[Parcela]]</f>
        <v>0.86614284013550213</v>
      </c>
      <c r="AC49" s="55" t="str">
        <f>IF(AND(Table1[[#This Row],[Dias em Atraso]]&gt;0,Table1[[#This Row],[Status do Evento]]="pending",Table1[[#This Row],[Saldo Devedor Atualizado]]&lt;&gt;0),"PDD","")</f>
        <v/>
      </c>
      <c r="AD49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49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49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49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49" s="59" t="str">
        <f>IFERROR(Table1[[#This Row],[Valor Presente Liquido]]/ABS(Table1[[#This Row],[Saldo Devedor Atualizado]])-1,Table1[[#This Row],[Variação eventos %]])</f>
        <v/>
      </c>
      <c r="AI49" s="22">
        <f t="array" ref="AI49">MAX(IF(C:C=Table1[[#This Row],[Número Contrato]],I:I))</f>
        <v>44275</v>
      </c>
    </row>
    <row r="50" spans="1:35" x14ac:dyDescent="0.25">
      <c r="A50" s="2"/>
      <c r="B50" s="2">
        <v>1131</v>
      </c>
      <c r="C50" s="2" t="s">
        <v>16</v>
      </c>
      <c r="D50" s="2" t="s">
        <v>36</v>
      </c>
      <c r="E50" s="2" t="s">
        <v>37</v>
      </c>
      <c r="F50" s="12">
        <v>1.0249999999999999</v>
      </c>
      <c r="G50" s="2" t="s">
        <v>51</v>
      </c>
      <c r="H50" s="2" t="str">
        <f t="shared" si="10"/>
        <v>pending</v>
      </c>
      <c r="I50" s="3">
        <v>44155</v>
      </c>
      <c r="J50" s="13"/>
      <c r="K50" s="14">
        <v>14783.52</v>
      </c>
      <c r="L50" s="14">
        <v>13059.09</v>
      </c>
      <c r="M50" s="14">
        <v>1724.43</v>
      </c>
      <c r="N50" s="14">
        <v>68739.320000000007</v>
      </c>
      <c r="O50" s="16">
        <v>12567.601207944501</v>
      </c>
      <c r="P50" s="16">
        <v>70463.75</v>
      </c>
      <c r="Q50" s="3">
        <f t="shared" si="11"/>
        <v>43951</v>
      </c>
      <c r="R50" s="3"/>
      <c r="S50" s="15">
        <f t="shared" si="12"/>
        <v>0</v>
      </c>
      <c r="T50" s="15">
        <f>IF(AND(Table1[[#This Row],[Tipo de Evento]]="Amortization",Table1[[#This Row],[Status do Evento]]="realized"),Table1[[#This Row],[Data Realizada]]-Table1[[#This Row],[Agenda]],$B$1-Table1[[#This Row],[Agenda]])</f>
        <v>-204</v>
      </c>
      <c r="U50" s="16">
        <f t="shared" si="16"/>
        <v>0</v>
      </c>
      <c r="V50" s="16">
        <f t="shared" si="13"/>
        <v>0</v>
      </c>
      <c r="W50" s="16">
        <f t="shared" si="14"/>
        <v>0</v>
      </c>
      <c r="X50" s="52"/>
      <c r="Y50" s="17" t="str">
        <f t="shared" si="15"/>
        <v/>
      </c>
      <c r="Z50" s="20">
        <f>SUM($U$45,-SUM($V$45:V50))/$U$45-1</f>
        <v>0</v>
      </c>
      <c r="AA50" s="24">
        <f t="shared" si="7"/>
        <v>8.2342591547712729E-4</v>
      </c>
      <c r="AB50" s="23">
        <f>Table1[[#This Row],[Principal]]/Table1[[#This Row],[Parcela]]</f>
        <v>0.88335457320042854</v>
      </c>
      <c r="AC50" s="55" t="str">
        <f>IF(AND(Table1[[#This Row],[Dias em Atraso]]&gt;0,Table1[[#This Row],[Status do Evento]]="pending",Table1[[#This Row],[Saldo Devedor Atualizado]]&lt;&gt;0),"PDD","")</f>
        <v/>
      </c>
      <c r="AD50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0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0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0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0" s="59" t="str">
        <f>IFERROR(Table1[[#This Row],[Valor Presente Liquido]]/ABS(Table1[[#This Row],[Saldo Devedor Atualizado]])-1,Table1[[#This Row],[Variação eventos %]])</f>
        <v/>
      </c>
      <c r="AI50" s="22">
        <f t="array" ref="AI50">MAX(IF(C:C=Table1[[#This Row],[Número Contrato]],I:I))</f>
        <v>44275</v>
      </c>
    </row>
    <row r="51" spans="1:35" x14ac:dyDescent="0.25">
      <c r="A51" s="2"/>
      <c r="B51" s="2">
        <v>1131</v>
      </c>
      <c r="C51" s="2" t="s">
        <v>16</v>
      </c>
      <c r="D51" s="2" t="s">
        <v>36</v>
      </c>
      <c r="E51" s="2" t="s">
        <v>37</v>
      </c>
      <c r="F51" s="12">
        <v>1.0249999999999999</v>
      </c>
      <c r="G51" s="2" t="s">
        <v>51</v>
      </c>
      <c r="H51" s="2" t="str">
        <f t="shared" si="10"/>
        <v>pending</v>
      </c>
      <c r="I51" s="3">
        <v>44185</v>
      </c>
      <c r="J51" s="13"/>
      <c r="K51" s="14">
        <v>14783.52</v>
      </c>
      <c r="L51" s="14">
        <v>13432.29</v>
      </c>
      <c r="M51" s="14">
        <v>1351.23</v>
      </c>
      <c r="N51" s="14">
        <v>55680.23</v>
      </c>
      <c r="O51" s="16">
        <v>11826.515415673</v>
      </c>
      <c r="P51" s="16">
        <v>57031.46</v>
      </c>
      <c r="Q51" s="3">
        <f t="shared" si="11"/>
        <v>43951</v>
      </c>
      <c r="R51" s="3"/>
      <c r="S51" s="15">
        <f t="shared" si="12"/>
        <v>0</v>
      </c>
      <c r="T51" s="15">
        <f>IF(AND(Table1[[#This Row],[Tipo de Evento]]="Amortization",Table1[[#This Row],[Status do Evento]]="realized"),Table1[[#This Row],[Data Realizada]]-Table1[[#This Row],[Agenda]],$B$1-Table1[[#This Row],[Agenda]])</f>
        <v>-234</v>
      </c>
      <c r="U51" s="16">
        <f t="shared" si="16"/>
        <v>0</v>
      </c>
      <c r="V51" s="16">
        <f t="shared" si="13"/>
        <v>0</v>
      </c>
      <c r="W51" s="16">
        <f t="shared" si="14"/>
        <v>0</v>
      </c>
      <c r="X51" s="52"/>
      <c r="Y51" s="17" t="str">
        <f t="shared" si="15"/>
        <v/>
      </c>
      <c r="Z51" s="20">
        <f>SUM($U$45,-SUM($V$45:V51))/$U$45-1</f>
        <v>0</v>
      </c>
      <c r="AA51" s="24">
        <f t="shared" si="7"/>
        <v>8.2342591547712729E-4</v>
      </c>
      <c r="AB51" s="23">
        <f>Table1[[#This Row],[Principal]]/Table1[[#This Row],[Parcela]]</f>
        <v>0.90859889931491289</v>
      </c>
      <c r="AC51" s="55" t="str">
        <f>IF(AND(Table1[[#This Row],[Dias em Atraso]]&gt;0,Table1[[#This Row],[Status do Evento]]="pending",Table1[[#This Row],[Saldo Devedor Atualizado]]&lt;&gt;0),"PDD","")</f>
        <v/>
      </c>
      <c r="AD51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1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1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1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1" s="59" t="str">
        <f>IFERROR(Table1[[#This Row],[Valor Presente Liquido]]/ABS(Table1[[#This Row],[Saldo Devedor Atualizado]])-1,Table1[[#This Row],[Variação eventos %]])</f>
        <v/>
      </c>
      <c r="AI51" s="22">
        <f t="array" ref="AI51">MAX(IF(C:C=Table1[[#This Row],[Número Contrato]],I:I))</f>
        <v>44275</v>
      </c>
    </row>
    <row r="52" spans="1:35" x14ac:dyDescent="0.25">
      <c r="A52" s="2"/>
      <c r="B52" s="2">
        <v>1131</v>
      </c>
      <c r="C52" s="2" t="s">
        <v>16</v>
      </c>
      <c r="D52" s="2" t="s">
        <v>36</v>
      </c>
      <c r="E52" s="2" t="s">
        <v>37</v>
      </c>
      <c r="F52" s="12">
        <v>1.0249999999999999</v>
      </c>
      <c r="G52" s="2" t="s">
        <v>51</v>
      </c>
      <c r="H52" s="2" t="str">
        <f t="shared" si="10"/>
        <v>pending</v>
      </c>
      <c r="I52" s="3">
        <v>44216</v>
      </c>
      <c r="J52" s="13"/>
      <c r="K52" s="14">
        <v>14783.52</v>
      </c>
      <c r="L52" s="14">
        <v>13723.66</v>
      </c>
      <c r="M52" s="14">
        <v>1059.8599999999999</v>
      </c>
      <c r="N52" s="14">
        <v>42247.94</v>
      </c>
      <c r="O52" s="16">
        <v>10297.255876675599</v>
      </c>
      <c r="P52" s="16">
        <v>43307.8</v>
      </c>
      <c r="Q52" s="3">
        <f t="shared" si="11"/>
        <v>43951</v>
      </c>
      <c r="R52" s="3"/>
      <c r="S52" s="15">
        <f t="shared" si="12"/>
        <v>0</v>
      </c>
      <c r="T52" s="15">
        <f>IF(AND(Table1[[#This Row],[Tipo de Evento]]="Amortization",Table1[[#This Row],[Status do Evento]]="realized"),Table1[[#This Row],[Data Realizada]]-Table1[[#This Row],[Agenda]],$B$1-Table1[[#This Row],[Agenda]])</f>
        <v>-265</v>
      </c>
      <c r="U52" s="16">
        <f t="shared" si="16"/>
        <v>0</v>
      </c>
      <c r="V52" s="16">
        <f t="shared" si="13"/>
        <v>0</v>
      </c>
      <c r="W52" s="16">
        <f t="shared" si="14"/>
        <v>0</v>
      </c>
      <c r="X52" s="52"/>
      <c r="Y52" s="17" t="str">
        <f t="shared" si="15"/>
        <v/>
      </c>
      <c r="Z52" s="20">
        <f>SUM($U$45,-SUM($V$45:V52))/$U$45-1</f>
        <v>0</v>
      </c>
      <c r="AA52" s="24">
        <f t="shared" si="7"/>
        <v>8.2342591547712729E-4</v>
      </c>
      <c r="AB52" s="23">
        <f>Table1[[#This Row],[Principal]]/Table1[[#This Row],[Parcela]]</f>
        <v>0.92830800783575218</v>
      </c>
      <c r="AC52" s="55" t="str">
        <f>IF(AND(Table1[[#This Row],[Dias em Atraso]]&gt;0,Table1[[#This Row],[Status do Evento]]="pending",Table1[[#This Row],[Saldo Devedor Atualizado]]&lt;&gt;0),"PDD","")</f>
        <v/>
      </c>
      <c r="AD52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2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2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2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2" s="59" t="str">
        <f>IFERROR(Table1[[#This Row],[Valor Presente Liquido]]/ABS(Table1[[#This Row],[Saldo Devedor Atualizado]])-1,Table1[[#This Row],[Variação eventos %]])</f>
        <v/>
      </c>
      <c r="AI52" s="22">
        <f t="array" ref="AI52">MAX(IF(C:C=Table1[[#This Row],[Número Contrato]],I:I))</f>
        <v>44275</v>
      </c>
    </row>
    <row r="53" spans="1:35" x14ac:dyDescent="0.25">
      <c r="A53" s="2"/>
      <c r="B53" s="2">
        <v>1131</v>
      </c>
      <c r="C53" s="2" t="s">
        <v>16</v>
      </c>
      <c r="D53" s="2" t="s">
        <v>36</v>
      </c>
      <c r="E53" s="2" t="s">
        <v>37</v>
      </c>
      <c r="F53" s="12">
        <v>1.0249999999999999</v>
      </c>
      <c r="G53" s="2" t="s">
        <v>51</v>
      </c>
      <c r="H53" s="2" t="str">
        <f t="shared" si="10"/>
        <v>pending</v>
      </c>
      <c r="I53" s="3">
        <v>44247</v>
      </c>
      <c r="J53" s="13"/>
      <c r="K53" s="14">
        <v>14783.52</v>
      </c>
      <c r="L53" s="14">
        <v>14067.94</v>
      </c>
      <c r="M53" s="14">
        <v>715.58</v>
      </c>
      <c r="N53" s="14">
        <v>28524.28</v>
      </c>
      <c r="O53" s="16">
        <v>7869.1925121055101</v>
      </c>
      <c r="P53" s="16">
        <v>29239.86</v>
      </c>
      <c r="Q53" s="3">
        <f t="shared" si="11"/>
        <v>43951</v>
      </c>
      <c r="R53" s="3"/>
      <c r="S53" s="15">
        <f t="shared" si="12"/>
        <v>0</v>
      </c>
      <c r="T53" s="15">
        <f>IF(AND(Table1[[#This Row],[Tipo de Evento]]="Amortization",Table1[[#This Row],[Status do Evento]]="realized"),Table1[[#This Row],[Data Realizada]]-Table1[[#This Row],[Agenda]],$B$1-Table1[[#This Row],[Agenda]])</f>
        <v>-296</v>
      </c>
      <c r="U53" s="16">
        <f t="shared" si="16"/>
        <v>0</v>
      </c>
      <c r="V53" s="16">
        <f t="shared" si="13"/>
        <v>0</v>
      </c>
      <c r="W53" s="16">
        <f t="shared" si="14"/>
        <v>0</v>
      </c>
      <c r="X53" s="52"/>
      <c r="Y53" s="17" t="str">
        <f t="shared" si="15"/>
        <v/>
      </c>
      <c r="Z53" s="20">
        <f>SUM($U$45,-SUM($V$45:V53))/$U$45-1</f>
        <v>0</v>
      </c>
      <c r="AA53" s="24">
        <f t="shared" si="7"/>
        <v>8.2342591547712729E-4</v>
      </c>
      <c r="AB53" s="23">
        <f>Table1[[#This Row],[Principal]]/Table1[[#This Row],[Parcela]]</f>
        <v>0.9515961016050305</v>
      </c>
      <c r="AC53" s="55" t="str">
        <f>IF(AND(Table1[[#This Row],[Dias em Atraso]]&gt;0,Table1[[#This Row],[Status do Evento]]="pending",Table1[[#This Row],[Saldo Devedor Atualizado]]&lt;&gt;0),"PDD","")</f>
        <v/>
      </c>
      <c r="AD53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3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3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3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3" s="59" t="str">
        <f>IFERROR(Table1[[#This Row],[Valor Presente Liquido]]/ABS(Table1[[#This Row],[Saldo Devedor Atualizado]])-1,Table1[[#This Row],[Variação eventos %]])</f>
        <v/>
      </c>
      <c r="AI53" s="22">
        <f t="array" ref="AI53">MAX(IF(C:C=Table1[[#This Row],[Número Contrato]],I:I))</f>
        <v>44275</v>
      </c>
    </row>
    <row r="54" spans="1:35" x14ac:dyDescent="0.25">
      <c r="A54" s="2"/>
      <c r="B54" s="2">
        <v>1131</v>
      </c>
      <c r="C54" s="2" t="s">
        <v>16</v>
      </c>
      <c r="D54" s="2" t="s">
        <v>36</v>
      </c>
      <c r="E54" s="2" t="s">
        <v>37</v>
      </c>
      <c r="F54" s="12">
        <v>1.0249999999999999</v>
      </c>
      <c r="G54" s="2" t="s">
        <v>51</v>
      </c>
      <c r="H54" s="2" t="str">
        <f t="shared" si="10"/>
        <v>pending</v>
      </c>
      <c r="I54" s="3">
        <v>44275</v>
      </c>
      <c r="J54" s="13"/>
      <c r="K54" s="14">
        <v>14783.52</v>
      </c>
      <c r="L54" s="14">
        <v>14456.35</v>
      </c>
      <c r="M54" s="14">
        <v>327.17</v>
      </c>
      <c r="N54" s="14">
        <v>14456.34</v>
      </c>
      <c r="O54" s="16">
        <v>4418.1880082154903</v>
      </c>
      <c r="P54" s="16">
        <v>14783.51</v>
      </c>
      <c r="Q54" s="3">
        <f t="shared" si="11"/>
        <v>43951</v>
      </c>
      <c r="R54" s="3"/>
      <c r="S54" s="15">
        <f t="shared" si="12"/>
        <v>0</v>
      </c>
      <c r="T54" s="15">
        <f>IF(AND(Table1[[#This Row],[Tipo de Evento]]="Amortization",Table1[[#This Row],[Status do Evento]]="realized"),Table1[[#This Row],[Data Realizada]]-Table1[[#This Row],[Agenda]],$B$1-Table1[[#This Row],[Agenda]])</f>
        <v>-324</v>
      </c>
      <c r="U54" s="16">
        <f t="shared" si="16"/>
        <v>0</v>
      </c>
      <c r="V54" s="16">
        <f t="shared" si="13"/>
        <v>0</v>
      </c>
      <c r="W54" s="16">
        <f t="shared" si="14"/>
        <v>0</v>
      </c>
      <c r="X54" s="52"/>
      <c r="Y54" s="17" t="str">
        <f t="shared" si="15"/>
        <v/>
      </c>
      <c r="Z54" s="20">
        <f>SUM($U$45,-SUM($V$45:V54))/$U$45-1</f>
        <v>0</v>
      </c>
      <c r="AA54" s="24">
        <f t="shared" si="7"/>
        <v>8.2342591547712729E-4</v>
      </c>
      <c r="AB54" s="23">
        <f>Table1[[#This Row],[Principal]]/Table1[[#This Row],[Parcela]]</f>
        <v>0.97786927605874652</v>
      </c>
      <c r="AC54" s="55" t="str">
        <f>IF(AND(Table1[[#This Row],[Dias em Atraso]]&gt;0,Table1[[#This Row],[Status do Evento]]="pending",Table1[[#This Row],[Saldo Devedor Atualizado]]&lt;&gt;0),"PDD","")</f>
        <v/>
      </c>
      <c r="AD54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4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4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4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4" s="59" t="str">
        <f>IFERROR(Table1[[#This Row],[Valor Presente Liquido]]/ABS(Table1[[#This Row],[Saldo Devedor Atualizado]])-1,Table1[[#This Row],[Variação eventos %]])</f>
        <v/>
      </c>
      <c r="AI54" s="22">
        <f t="array" ref="AI54">MAX(IF(C:C=Table1[[#This Row],[Número Contrato]],I:I))</f>
        <v>44275</v>
      </c>
    </row>
    <row r="55" spans="1:35" x14ac:dyDescent="0.25">
      <c r="A55" s="2"/>
      <c r="B55" s="2">
        <v>1136</v>
      </c>
      <c r="C55" s="2" t="s">
        <v>12</v>
      </c>
      <c r="D55" s="2" t="s">
        <v>32</v>
      </c>
      <c r="E55" s="2" t="s">
        <v>33</v>
      </c>
      <c r="F55" s="12">
        <v>1.0209999999999999</v>
      </c>
      <c r="G55" s="2" t="s">
        <v>50</v>
      </c>
      <c r="H55" s="2" t="str">
        <f t="shared" si="10"/>
        <v>realized</v>
      </c>
      <c r="I55" s="3">
        <v>43958</v>
      </c>
      <c r="J55" s="13">
        <v>-42757.99</v>
      </c>
      <c r="K55" s="14"/>
      <c r="L55" s="14"/>
      <c r="M55" s="14"/>
      <c r="N55" s="14"/>
      <c r="O55" s="16"/>
      <c r="P55" s="16"/>
      <c r="Q55" s="3">
        <f t="shared" si="11"/>
        <v>43958</v>
      </c>
      <c r="R55" s="3"/>
      <c r="S55" s="15" t="str">
        <f t="shared" si="12"/>
        <v/>
      </c>
      <c r="T55" s="15">
        <f>IF(AND(Table1[[#This Row],[Tipo de Evento]]="Amortization",Table1[[#This Row],[Status do Evento]]="realized"),Table1[[#This Row],[Data Realizada]]-Table1[[#This Row],[Agenda]],$B$1-Table1[[#This Row],[Agenda]])</f>
        <v>-7</v>
      </c>
      <c r="U55" s="16"/>
      <c r="V55" s="16" t="str">
        <f t="shared" si="13"/>
        <v/>
      </c>
      <c r="W55" s="16" t="str">
        <f t="shared" si="14"/>
        <v/>
      </c>
      <c r="X55" s="52"/>
      <c r="Y55" s="17" t="str">
        <f t="shared" si="15"/>
        <v/>
      </c>
      <c r="Z55" s="20"/>
      <c r="AA55" s="24"/>
      <c r="AB55" s="23"/>
      <c r="AC55" s="55" t="str">
        <f>IF(AND(Table1[[#This Row],[Dias em Atraso]]&gt;0,Table1[[#This Row],[Status do Evento]]="pending",Table1[[#This Row],[Saldo Devedor Atualizado]]&lt;&gt;0),"PDD","")</f>
        <v/>
      </c>
      <c r="AD55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5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5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5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5" s="59" t="str">
        <f>IFERROR(Table1[[#This Row],[Valor Presente Liquido]]/ABS(Table1[[#This Row],[Saldo Devedor Atualizado]])-1,Table1[[#This Row],[Variação eventos %]])</f>
        <v/>
      </c>
      <c r="AI55" s="22">
        <f t="array" ref="AI55">MAX(IF(C:C=Table1[[#This Row],[Número Contrato]],I:I))</f>
        <v>44316</v>
      </c>
    </row>
    <row r="56" spans="1:35" x14ac:dyDescent="0.25">
      <c r="A56" s="2"/>
      <c r="B56" s="2">
        <v>1136</v>
      </c>
      <c r="C56" s="2" t="s">
        <v>12</v>
      </c>
      <c r="D56" s="2" t="s">
        <v>32</v>
      </c>
      <c r="E56" s="2" t="s">
        <v>33</v>
      </c>
      <c r="F56" s="12">
        <v>1.0209999999999999</v>
      </c>
      <c r="G56" s="2" t="s">
        <v>51</v>
      </c>
      <c r="H56" s="2" t="str">
        <f t="shared" si="10"/>
        <v>pending</v>
      </c>
      <c r="I56" s="3">
        <v>44316</v>
      </c>
      <c r="J56" s="13"/>
      <c r="K56" s="14">
        <v>54792.93</v>
      </c>
      <c r="L56" s="14">
        <v>42757.99</v>
      </c>
      <c r="M56" s="14">
        <v>12034.94</v>
      </c>
      <c r="N56" s="14">
        <v>42757.99</v>
      </c>
      <c r="O56" s="16">
        <v>12034.933153607</v>
      </c>
      <c r="P56" s="16">
        <v>54792.93</v>
      </c>
      <c r="Q56" s="3">
        <f t="shared" si="11"/>
        <v>43951</v>
      </c>
      <c r="R56" s="3"/>
      <c r="S56" s="15">
        <f t="shared" si="12"/>
        <v>-7</v>
      </c>
      <c r="T56" s="15">
        <f>IF(AND(Table1[[#This Row],[Tipo de Evento]]="Amortization",Table1[[#This Row],[Status do Evento]]="realized"),Table1[[#This Row],[Data Realizada]]-Table1[[#This Row],[Agenda]],$B$1-Table1[[#This Row],[Agenda]])</f>
        <v>-365</v>
      </c>
      <c r="U56" s="16">
        <f>IF(G55="disbursement",J55,IFERROR(U55+IF(H55="realized",L55,""),0))</f>
        <v>-42757.99</v>
      </c>
      <c r="V56" s="16">
        <f t="shared" si="13"/>
        <v>-206.84265178547122</v>
      </c>
      <c r="W56" s="16">
        <f t="shared" si="14"/>
        <v>-42551.14734821453</v>
      </c>
      <c r="X56" s="52"/>
      <c r="Y56" s="17">
        <f t="shared" si="15"/>
        <v>-4.8375204677644223E-3</v>
      </c>
      <c r="Z56" s="20">
        <f>SUM($U$56,-SUM($V$56:V56))/$U$56-1</f>
        <v>-4.8375204677644223E-3</v>
      </c>
      <c r="AA56" s="24">
        <f t="shared" si="7"/>
        <v>6.9299131368905087E-4</v>
      </c>
      <c r="AB56" s="23">
        <f>Table1[[#This Row],[Principal]]/Table1[[#This Row],[Parcela]]</f>
        <v>0.7803559692828983</v>
      </c>
      <c r="AC56" s="55" t="str">
        <f>IF(AND(Table1[[#This Row],[Dias em Atraso]]&gt;0,Table1[[#This Row],[Status do Evento]]="pending",Table1[[#This Row],[Saldo Devedor Atualizado]]&lt;&gt;0),"PDD","")</f>
        <v/>
      </c>
      <c r="AD56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6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6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6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6" s="59">
        <f>IFERROR(Table1[[#This Row],[Valor Presente Liquido]]/ABS(Table1[[#This Row],[Saldo Devedor Atualizado]])-1,Table1[[#This Row],[Variação eventos %]])</f>
        <v>-4.8375204677644223E-3</v>
      </c>
      <c r="AI56" s="22">
        <f t="array" ref="AI56">MAX(IF(C:C=Table1[[#This Row],[Número Contrato]],I:I))</f>
        <v>44316</v>
      </c>
    </row>
    <row r="57" spans="1:35" x14ac:dyDescent="0.25">
      <c r="A57" s="2"/>
      <c r="B57" s="2">
        <v>1138</v>
      </c>
      <c r="C57" s="2" t="s">
        <v>14</v>
      </c>
      <c r="D57" s="2" t="s">
        <v>34</v>
      </c>
      <c r="E57" s="2" t="s">
        <v>35</v>
      </c>
      <c r="F57" s="12">
        <v>1.026</v>
      </c>
      <c r="G57" s="2" t="s">
        <v>50</v>
      </c>
      <c r="H57" s="2" t="str">
        <f t="shared" si="10"/>
        <v>realized</v>
      </c>
      <c r="I57" s="3">
        <v>43964</v>
      </c>
      <c r="J57" s="13">
        <v>-50397.4</v>
      </c>
      <c r="K57" s="14"/>
      <c r="L57" s="14"/>
      <c r="M57" s="14"/>
      <c r="N57" s="14"/>
      <c r="O57" s="16"/>
      <c r="P57" s="16"/>
      <c r="Q57" s="3">
        <f t="shared" si="11"/>
        <v>43964</v>
      </c>
      <c r="R57" s="3"/>
      <c r="S57" s="15" t="str">
        <f t="shared" si="12"/>
        <v/>
      </c>
      <c r="T57" s="15">
        <f>IF(AND(Table1[[#This Row],[Tipo de Evento]]="Amortization",Table1[[#This Row],[Status do Evento]]="realized"),Table1[[#This Row],[Data Realizada]]-Table1[[#This Row],[Agenda]],$B$1-Table1[[#This Row],[Agenda]])</f>
        <v>-13</v>
      </c>
      <c r="U57" s="16"/>
      <c r="V57" s="16" t="str">
        <f t="shared" si="13"/>
        <v/>
      </c>
      <c r="W57" s="16" t="str">
        <f t="shared" si="14"/>
        <v/>
      </c>
      <c r="X57" s="52"/>
      <c r="Y57" s="17" t="str">
        <f t="shared" si="15"/>
        <v/>
      </c>
      <c r="Z57" s="20"/>
      <c r="AA57" s="24"/>
      <c r="AB57" s="23"/>
      <c r="AC57" s="55" t="str">
        <f>IF(AND(Table1[[#This Row],[Dias em Atraso]]&gt;0,Table1[[#This Row],[Status do Evento]]="pending",Table1[[#This Row],[Saldo Devedor Atualizado]]&lt;&gt;0),"PDD","")</f>
        <v/>
      </c>
      <c r="AD57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7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7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7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7" s="59" t="str">
        <f>IFERROR(Table1[[#This Row],[Valor Presente Liquido]]/ABS(Table1[[#This Row],[Saldo Devedor Atualizado]])-1,Table1[[#This Row],[Variação eventos %]])</f>
        <v/>
      </c>
      <c r="AI57" s="22">
        <f t="array" ref="AI57">MAX(IF(C:C=Table1[[#This Row],[Número Contrato]],I:I))</f>
        <v>44316</v>
      </c>
    </row>
    <row r="58" spans="1:35" x14ac:dyDescent="0.25">
      <c r="A58" s="2"/>
      <c r="B58" s="2">
        <v>1138</v>
      </c>
      <c r="C58" s="2" t="s">
        <v>14</v>
      </c>
      <c r="D58" s="2" t="s">
        <v>34</v>
      </c>
      <c r="E58" s="2" t="s">
        <v>35</v>
      </c>
      <c r="F58" s="12">
        <v>1.026</v>
      </c>
      <c r="G58" s="2" t="s">
        <v>51</v>
      </c>
      <c r="H58" s="2" t="str">
        <f t="shared" si="10"/>
        <v>pending</v>
      </c>
      <c r="I58" s="3">
        <v>44316</v>
      </c>
      <c r="J58" s="13"/>
      <c r="K58" s="14">
        <v>68108.89</v>
      </c>
      <c r="L58" s="14">
        <v>50397.4</v>
      </c>
      <c r="M58" s="14">
        <v>17711.490000000002</v>
      </c>
      <c r="N58" s="14">
        <v>50397.4</v>
      </c>
      <c r="O58" s="16">
        <v>17711.494563818</v>
      </c>
      <c r="P58" s="16">
        <v>68108.89</v>
      </c>
      <c r="Q58" s="3">
        <f t="shared" si="11"/>
        <v>43951</v>
      </c>
      <c r="R58" s="3"/>
      <c r="S58" s="15">
        <f t="shared" si="12"/>
        <v>-13</v>
      </c>
      <c r="T58" s="15">
        <f>IF(AND(Table1[[#This Row],[Tipo de Evento]]="Amortization",Table1[[#This Row],[Status do Evento]]="realized"),Table1[[#This Row],[Data Realizada]]-Table1[[#This Row],[Agenda]],$B$1-Table1[[#This Row],[Agenda]])</f>
        <v>-365</v>
      </c>
      <c r="U58" s="16">
        <f>IF(G57="disbursement",J57,IFERROR(U57+IF(H57="realized",L57,""),0))</f>
        <v>-50397.4</v>
      </c>
      <c r="V58" s="16">
        <f t="shared" si="13"/>
        <v>-557.44875804194464</v>
      </c>
      <c r="W58" s="16">
        <f t="shared" si="14"/>
        <v>-49839.951241958057</v>
      </c>
      <c r="X58" s="52"/>
      <c r="Y58" s="17">
        <f t="shared" si="15"/>
        <v>-1.1061061841324049E-2</v>
      </c>
      <c r="Z58" s="20">
        <f>SUM($U$58,-SUM($V$58:V58))/$U$58-1</f>
        <v>-1.1061061841324049E-2</v>
      </c>
      <c r="AA58" s="24">
        <f t="shared" si="7"/>
        <v>8.5595768115309667E-4</v>
      </c>
      <c r="AB58" s="23">
        <f>Table1[[#This Row],[Principal]]/Table1[[#This Row],[Parcela]]</f>
        <v>0.73995333061513702</v>
      </c>
      <c r="AC58" s="55" t="str">
        <f>IF(AND(Table1[[#This Row],[Dias em Atraso]]&gt;0,Table1[[#This Row],[Status do Evento]]="pending",Table1[[#This Row],[Saldo Devedor Atualizado]]&lt;&gt;0),"PDD","")</f>
        <v/>
      </c>
      <c r="AD58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8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8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8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8" s="59">
        <f>IFERROR(Table1[[#This Row],[Valor Presente Liquido]]/ABS(Table1[[#This Row],[Saldo Devedor Atualizado]])-1,Table1[[#This Row],[Variação eventos %]])</f>
        <v>-1.1061061841324049E-2</v>
      </c>
      <c r="AI58" s="22">
        <f t="array" ref="AI58">MAX(IF(C:C=Table1[[#This Row],[Número Contrato]],I:I))</f>
        <v>44316</v>
      </c>
    </row>
    <row r="59" spans="1:35" x14ac:dyDescent="0.25">
      <c r="A59" s="2"/>
      <c r="B59" s="2">
        <v>1139</v>
      </c>
      <c r="C59" s="2" t="s">
        <v>13</v>
      </c>
      <c r="D59" s="2" t="s">
        <v>34</v>
      </c>
      <c r="E59" s="2" t="s">
        <v>35</v>
      </c>
      <c r="F59" s="12">
        <v>1.026</v>
      </c>
      <c r="G59" s="2" t="s">
        <v>50</v>
      </c>
      <c r="H59" s="2" t="str">
        <f t="shared" si="10"/>
        <v>realized</v>
      </c>
      <c r="I59" s="3">
        <v>43964</v>
      </c>
      <c r="J59" s="13">
        <v>-50397.4</v>
      </c>
      <c r="K59" s="14"/>
      <c r="L59" s="14"/>
      <c r="M59" s="14"/>
      <c r="N59" s="14"/>
      <c r="O59" s="16"/>
      <c r="P59" s="16"/>
      <c r="Q59" s="3">
        <f t="shared" si="11"/>
        <v>43964</v>
      </c>
      <c r="R59" s="3"/>
      <c r="S59" s="15" t="str">
        <f t="shared" si="12"/>
        <v/>
      </c>
      <c r="T59" s="15">
        <f>IF(AND(Table1[[#This Row],[Tipo de Evento]]="Amortization",Table1[[#This Row],[Status do Evento]]="realized"),Table1[[#This Row],[Data Realizada]]-Table1[[#This Row],[Agenda]],$B$1-Table1[[#This Row],[Agenda]])</f>
        <v>-13</v>
      </c>
      <c r="U59" s="16"/>
      <c r="V59" s="16" t="str">
        <f t="shared" si="13"/>
        <v/>
      </c>
      <c r="W59" s="16" t="str">
        <f t="shared" si="14"/>
        <v/>
      </c>
      <c r="X59" s="52"/>
      <c r="Y59" s="17" t="str">
        <f t="shared" si="15"/>
        <v/>
      </c>
      <c r="Z59" s="20"/>
      <c r="AA59" s="24"/>
      <c r="AB59" s="23"/>
      <c r="AC59" s="55" t="str">
        <f>IF(AND(Table1[[#This Row],[Dias em Atraso]]&gt;0,Table1[[#This Row],[Status do Evento]]="pending",Table1[[#This Row],[Saldo Devedor Atualizado]]&lt;&gt;0),"PDD","")</f>
        <v/>
      </c>
      <c r="AD59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59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59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59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59" s="59" t="str">
        <f>IFERROR(Table1[[#This Row],[Valor Presente Liquido]]/ABS(Table1[[#This Row],[Saldo Devedor Atualizado]])-1,Table1[[#This Row],[Variação eventos %]])</f>
        <v/>
      </c>
      <c r="AI59" s="22">
        <f t="array" ref="AI59">MAX(IF(C:C=Table1[[#This Row],[Número Contrato]],I:I))</f>
        <v>44316</v>
      </c>
    </row>
    <row r="60" spans="1:35" x14ac:dyDescent="0.25">
      <c r="A60" s="2"/>
      <c r="B60" s="2">
        <v>1139</v>
      </c>
      <c r="C60" s="2" t="s">
        <v>13</v>
      </c>
      <c r="D60" s="2" t="s">
        <v>34</v>
      </c>
      <c r="E60" s="2" t="s">
        <v>35</v>
      </c>
      <c r="F60" s="12">
        <v>1.026</v>
      </c>
      <c r="G60" s="2" t="s">
        <v>51</v>
      </c>
      <c r="H60" s="2" t="str">
        <f t="shared" si="10"/>
        <v>pending</v>
      </c>
      <c r="I60" s="3">
        <v>44316</v>
      </c>
      <c r="J60" s="13"/>
      <c r="K60" s="14">
        <v>68108.89</v>
      </c>
      <c r="L60" s="14">
        <v>50397.4</v>
      </c>
      <c r="M60" s="14">
        <v>17711.490000000002</v>
      </c>
      <c r="N60" s="14">
        <v>50397.4</v>
      </c>
      <c r="O60" s="16">
        <v>17711.494563818</v>
      </c>
      <c r="P60" s="16">
        <v>68108.89</v>
      </c>
      <c r="Q60" s="3">
        <f t="shared" si="11"/>
        <v>43951</v>
      </c>
      <c r="R60" s="3"/>
      <c r="S60" s="15">
        <f t="shared" si="12"/>
        <v>-13</v>
      </c>
      <c r="T60" s="15">
        <f>IF(AND(Table1[[#This Row],[Tipo de Evento]]="Amortization",Table1[[#This Row],[Status do Evento]]="realized"),Table1[[#This Row],[Data Realizada]]-Table1[[#This Row],[Agenda]],$B$1-Table1[[#This Row],[Agenda]])</f>
        <v>-365</v>
      </c>
      <c r="U60" s="16">
        <f>IF(G59="disbursement",J59,IFERROR(U59+IF(H59="realized",L59,""),0))</f>
        <v>-50397.4</v>
      </c>
      <c r="V60" s="16">
        <f t="shared" si="13"/>
        <v>-557.44875804194464</v>
      </c>
      <c r="W60" s="16">
        <f t="shared" si="14"/>
        <v>-49839.951241958057</v>
      </c>
      <c r="X60" s="52"/>
      <c r="Y60" s="17">
        <f t="shared" si="15"/>
        <v>-1.1061061841324049E-2</v>
      </c>
      <c r="Z60" s="20">
        <f>SUM($U$60,-SUM($V$60:V60))/$U$60-1</f>
        <v>-1.1061061841324049E-2</v>
      </c>
      <c r="AA60" s="24">
        <f t="shared" si="7"/>
        <v>8.5595768115309667E-4</v>
      </c>
      <c r="AB60" s="23">
        <f>Table1[[#This Row],[Principal]]/Table1[[#This Row],[Parcela]]</f>
        <v>0.73995333061513702</v>
      </c>
      <c r="AC60" s="55" t="str">
        <f>IF(AND(Table1[[#This Row],[Dias em Atraso]]&gt;0,Table1[[#This Row],[Status do Evento]]="pending",Table1[[#This Row],[Saldo Devedor Atualizado]]&lt;&gt;0),"PDD","")</f>
        <v/>
      </c>
      <c r="AD60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0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0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0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0" s="59">
        <f>IFERROR(Table1[[#This Row],[Valor Presente Liquido]]/ABS(Table1[[#This Row],[Saldo Devedor Atualizado]])-1,Table1[[#This Row],[Variação eventos %]])</f>
        <v>-1.1061061841324049E-2</v>
      </c>
      <c r="AI60" s="22">
        <f t="array" ref="AI60">MAX(IF(C:C=Table1[[#This Row],[Número Contrato]],I:I))</f>
        <v>44316</v>
      </c>
    </row>
    <row r="61" spans="1:35" x14ac:dyDescent="0.25">
      <c r="A61" s="2"/>
      <c r="B61" s="2">
        <v>1147</v>
      </c>
      <c r="C61" s="2" t="s">
        <v>10</v>
      </c>
      <c r="D61" s="2" t="s">
        <v>24</v>
      </c>
      <c r="E61" s="2" t="s">
        <v>25</v>
      </c>
      <c r="F61" s="12">
        <v>1.024</v>
      </c>
      <c r="G61" s="2" t="s">
        <v>50</v>
      </c>
      <c r="H61" s="2" t="str">
        <f t="shared" si="10"/>
        <v>realized</v>
      </c>
      <c r="I61" s="3">
        <v>43966</v>
      </c>
      <c r="J61" s="13">
        <v>-50737.06</v>
      </c>
      <c r="K61" s="14"/>
      <c r="L61" s="14"/>
      <c r="M61" s="14"/>
      <c r="N61" s="14"/>
      <c r="O61" s="16"/>
      <c r="P61" s="16"/>
      <c r="Q61" s="3">
        <f t="shared" si="11"/>
        <v>43966</v>
      </c>
      <c r="R61" s="3"/>
      <c r="S61" s="15" t="str">
        <f t="shared" si="12"/>
        <v/>
      </c>
      <c r="T61" s="15">
        <f>IF(AND(Table1[[#This Row],[Tipo de Evento]]="Amortization",Table1[[#This Row],[Status do Evento]]="realized"),Table1[[#This Row],[Data Realizada]]-Table1[[#This Row],[Agenda]],$B$1-Table1[[#This Row],[Agenda]])</f>
        <v>-15</v>
      </c>
      <c r="U61" s="16"/>
      <c r="V61" s="16" t="str">
        <f t="shared" si="13"/>
        <v/>
      </c>
      <c r="W61" s="16" t="str">
        <f t="shared" si="14"/>
        <v/>
      </c>
      <c r="X61" s="52"/>
      <c r="Y61" s="17" t="str">
        <f t="shared" si="15"/>
        <v/>
      </c>
      <c r="Z61" s="20"/>
      <c r="AA61" s="24"/>
      <c r="AB61" s="23"/>
      <c r="AC61" s="55" t="str">
        <f>IF(AND(Table1[[#This Row],[Dias em Atraso]]&gt;0,Table1[[#This Row],[Status do Evento]]="pending",Table1[[#This Row],[Saldo Devedor Atualizado]]&lt;&gt;0),"PDD","")</f>
        <v/>
      </c>
      <c r="AD61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1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1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1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1" s="59" t="str">
        <f>IFERROR(Table1[[#This Row],[Valor Presente Liquido]]/ABS(Table1[[#This Row],[Saldo Devedor Atualizado]])-1,Table1[[#This Row],[Variação eventos %]])</f>
        <v/>
      </c>
      <c r="AI61" s="22">
        <f t="array" ref="AI61">MAX(IF(C:C=Table1[[#This Row],[Número Contrato]],I:I))</f>
        <v>44315</v>
      </c>
    </row>
    <row r="62" spans="1:35" x14ac:dyDescent="0.25">
      <c r="A62" s="2"/>
      <c r="B62" s="2">
        <v>1147</v>
      </c>
      <c r="C62" s="2" t="s">
        <v>10</v>
      </c>
      <c r="D62" s="2" t="s">
        <v>24</v>
      </c>
      <c r="E62" s="2" t="s">
        <v>25</v>
      </c>
      <c r="F62" s="12">
        <v>1.024</v>
      </c>
      <c r="G62" s="2" t="s">
        <v>51</v>
      </c>
      <c r="H62" s="2" t="str">
        <f t="shared" si="10"/>
        <v>pending</v>
      </c>
      <c r="I62" s="3">
        <v>44315</v>
      </c>
      <c r="J62" s="13"/>
      <c r="K62" s="14">
        <v>66857.19</v>
      </c>
      <c r="L62" s="14">
        <v>50737.06</v>
      </c>
      <c r="M62" s="14">
        <v>16120.13</v>
      </c>
      <c r="N62" s="14">
        <v>50737.06</v>
      </c>
      <c r="O62" s="16">
        <v>16120.131183273999</v>
      </c>
      <c r="P62" s="16">
        <v>66857.19</v>
      </c>
      <c r="Q62" s="3">
        <f t="shared" si="11"/>
        <v>43951</v>
      </c>
      <c r="R62" s="3"/>
      <c r="S62" s="15">
        <f t="shared" si="12"/>
        <v>-15</v>
      </c>
      <c r="T62" s="15">
        <f>IF(AND(Table1[[#This Row],[Tipo de Evento]]="Amortization",Table1[[#This Row],[Status do Evento]]="realized"),Table1[[#This Row],[Data Realizada]]-Table1[[#This Row],[Agenda]],$B$1-Table1[[#This Row],[Agenda]])</f>
        <v>-364</v>
      </c>
      <c r="U62" s="16">
        <f>IF(G61="disbursement",J61,IFERROR(U61+IF(H61="realized",L61,""),0))</f>
        <v>-50737.06</v>
      </c>
      <c r="V62" s="16">
        <f t="shared" si="13"/>
        <v>-598.10019355541044</v>
      </c>
      <c r="W62" s="16">
        <f t="shared" si="14"/>
        <v>-50138.959806444589</v>
      </c>
      <c r="X62" s="52"/>
      <c r="Y62" s="17">
        <f t="shared" si="15"/>
        <v>-1.1788231197381371E-2</v>
      </c>
      <c r="Z62" s="20">
        <f>SUM($U$62,-SUM($V$62:V62))/$U$62-1</f>
        <v>-1.1788231197381371E-2</v>
      </c>
      <c r="AA62" s="24">
        <f t="shared" si="7"/>
        <v>7.9086345495804622E-4</v>
      </c>
      <c r="AB62" s="23">
        <f>Table1[[#This Row],[Principal]]/Table1[[#This Row],[Parcela]]</f>
        <v>0.75888711445994061</v>
      </c>
      <c r="AC62" s="55" t="str">
        <f>IF(AND(Table1[[#This Row],[Dias em Atraso]]&gt;0,Table1[[#This Row],[Status do Evento]]="pending",Table1[[#This Row],[Saldo Devedor Atualizado]]&lt;&gt;0),"PDD","")</f>
        <v/>
      </c>
      <c r="AD62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2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2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2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2" s="59">
        <f>IFERROR(Table1[[#This Row],[Valor Presente Liquido]]/ABS(Table1[[#This Row],[Saldo Devedor Atualizado]])-1,Table1[[#This Row],[Variação eventos %]])</f>
        <v>-1.1788231197381371E-2</v>
      </c>
      <c r="AI62" s="22">
        <f t="array" ref="AI62">MAX(IF(C:C=Table1[[#This Row],[Número Contrato]],I:I))</f>
        <v>44315</v>
      </c>
    </row>
    <row r="63" spans="1:35" x14ac:dyDescent="0.25">
      <c r="A63" s="2"/>
      <c r="B63" s="2">
        <v>1148</v>
      </c>
      <c r="C63" s="2" t="s">
        <v>8</v>
      </c>
      <c r="D63" s="2" t="s">
        <v>26</v>
      </c>
      <c r="E63" s="2" t="s">
        <v>27</v>
      </c>
      <c r="F63" s="12">
        <v>1.02</v>
      </c>
      <c r="G63" s="2" t="s">
        <v>50</v>
      </c>
      <c r="H63" s="2" t="str">
        <f t="shared" si="10"/>
        <v>realized</v>
      </c>
      <c r="I63" s="3">
        <v>43966</v>
      </c>
      <c r="J63" s="13">
        <v>-39630.43</v>
      </c>
      <c r="K63" s="14"/>
      <c r="L63" s="14"/>
      <c r="M63" s="14"/>
      <c r="N63" s="14"/>
      <c r="O63" s="16"/>
      <c r="P63" s="16"/>
      <c r="Q63" s="3">
        <f t="shared" si="11"/>
        <v>43966</v>
      </c>
      <c r="R63" s="3"/>
      <c r="S63" s="15" t="str">
        <f t="shared" si="12"/>
        <v/>
      </c>
      <c r="T63" s="15">
        <f>IF(AND(Table1[[#This Row],[Tipo de Evento]]="Amortization",Table1[[#This Row],[Status do Evento]]="realized"),Table1[[#This Row],[Data Realizada]]-Table1[[#This Row],[Agenda]],$B$1-Table1[[#This Row],[Agenda]])</f>
        <v>-15</v>
      </c>
      <c r="U63" s="16"/>
      <c r="V63" s="16" t="str">
        <f t="shared" si="13"/>
        <v/>
      </c>
      <c r="W63" s="16" t="str">
        <f t="shared" si="14"/>
        <v/>
      </c>
      <c r="X63" s="52"/>
      <c r="Y63" s="17" t="str">
        <f t="shared" si="15"/>
        <v/>
      </c>
      <c r="Z63" s="20"/>
      <c r="AA63" s="24"/>
      <c r="AB63" s="23"/>
      <c r="AC63" s="55" t="str">
        <f>IF(AND(Table1[[#This Row],[Dias em Atraso]]&gt;0,Table1[[#This Row],[Status do Evento]]="pending",Table1[[#This Row],[Saldo Devedor Atualizado]]&lt;&gt;0),"PDD","")</f>
        <v/>
      </c>
      <c r="AD63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3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3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3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3" s="59" t="str">
        <f>IFERROR(Table1[[#This Row],[Valor Presente Liquido]]/ABS(Table1[[#This Row],[Saldo Devedor Atualizado]])-1,Table1[[#This Row],[Variação eventos %]])</f>
        <v/>
      </c>
      <c r="AI63" s="22">
        <f t="array" ref="AI63">MAX(IF(C:C=Table1[[#This Row],[Número Contrato]],I:I))</f>
        <v>44316</v>
      </c>
    </row>
    <row r="64" spans="1:35" x14ac:dyDescent="0.25">
      <c r="A64" s="2"/>
      <c r="B64" s="2">
        <v>1148</v>
      </c>
      <c r="C64" s="2" t="s">
        <v>8</v>
      </c>
      <c r="D64" s="2" t="s">
        <v>26</v>
      </c>
      <c r="E64" s="2" t="s">
        <v>27</v>
      </c>
      <c r="F64" s="12">
        <v>1.02</v>
      </c>
      <c r="G64" s="2" t="s">
        <v>51</v>
      </c>
      <c r="H64" s="2" t="str">
        <f t="shared" si="10"/>
        <v>pending</v>
      </c>
      <c r="I64" s="3">
        <v>44316</v>
      </c>
      <c r="J64" s="13"/>
      <c r="K64" s="14">
        <v>49930.29</v>
      </c>
      <c r="L64" s="14">
        <v>39630.43</v>
      </c>
      <c r="M64" s="14">
        <v>10299.86</v>
      </c>
      <c r="N64" s="14">
        <v>39630.43</v>
      </c>
      <c r="O64" s="16">
        <v>10299.8638282103</v>
      </c>
      <c r="P64" s="16">
        <v>49930.29</v>
      </c>
      <c r="Q64" s="3">
        <f t="shared" si="11"/>
        <v>43951</v>
      </c>
      <c r="R64" s="3"/>
      <c r="S64" s="15">
        <f t="shared" si="12"/>
        <v>-15</v>
      </c>
      <c r="T64" s="15">
        <f>IF(AND(Table1[[#This Row],[Tipo de Evento]]="Amortization",Table1[[#This Row],[Status do Evento]]="realized"),Table1[[#This Row],[Data Realizada]]-Table1[[#This Row],[Agenda]],$B$1-Table1[[#This Row],[Agenda]])</f>
        <v>-365</v>
      </c>
      <c r="U64" s="16">
        <f>IF(G63="disbursement",J63,IFERROR(U63+IF(H63="realized",L63,""),0))</f>
        <v>-39630.43</v>
      </c>
      <c r="V64" s="16">
        <f t="shared" si="13"/>
        <v>-390.45710839091799</v>
      </c>
      <c r="W64" s="16">
        <f t="shared" si="14"/>
        <v>-39239.972891609083</v>
      </c>
      <c r="X64" s="52"/>
      <c r="Y64" s="17">
        <f t="shared" si="15"/>
        <v>-9.8524570233257114E-3</v>
      </c>
      <c r="Z64" s="20">
        <f>SUM($U$64,-SUM($V$64:V64))/$U$64-1</f>
        <v>-9.8524570233257114E-3</v>
      </c>
      <c r="AA64" s="24">
        <f t="shared" si="7"/>
        <v>6.6030548228668273E-4</v>
      </c>
      <c r="AB64" s="23">
        <f>Table1[[#This Row],[Principal]]/Table1[[#This Row],[Parcela]]</f>
        <v>0.79371519772867327</v>
      </c>
      <c r="AC64" s="55" t="str">
        <f>IF(AND(Table1[[#This Row],[Dias em Atraso]]&gt;0,Table1[[#This Row],[Status do Evento]]="pending",Table1[[#This Row],[Saldo Devedor Atualizado]]&lt;&gt;0),"PDD","")</f>
        <v/>
      </c>
      <c r="AD64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4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4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4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4" s="59">
        <f>IFERROR(Table1[[#This Row],[Valor Presente Liquido]]/ABS(Table1[[#This Row],[Saldo Devedor Atualizado]])-1,Table1[[#This Row],[Variação eventos %]])</f>
        <v>-9.8524570233257114E-3</v>
      </c>
      <c r="AI64" s="22">
        <f t="array" ref="AI64">MAX(IF(C:C=Table1[[#This Row],[Número Contrato]],I:I))</f>
        <v>44316</v>
      </c>
    </row>
    <row r="65" spans="1:35" x14ac:dyDescent="0.25">
      <c r="A65" s="2"/>
      <c r="B65" s="2">
        <v>1154</v>
      </c>
      <c r="C65" s="2" t="s">
        <v>7</v>
      </c>
      <c r="D65" s="2" t="s">
        <v>30</v>
      </c>
      <c r="E65" s="2" t="s">
        <v>31</v>
      </c>
      <c r="F65" s="12">
        <v>1.0249999999999999</v>
      </c>
      <c r="G65" s="2" t="s">
        <v>50</v>
      </c>
      <c r="H65" s="2" t="str">
        <f t="shared" si="10"/>
        <v>realized</v>
      </c>
      <c r="I65" s="3">
        <v>43972</v>
      </c>
      <c r="J65" s="13">
        <v>-19923.78</v>
      </c>
      <c r="K65" s="14"/>
      <c r="L65" s="14"/>
      <c r="M65" s="14"/>
      <c r="N65" s="14"/>
      <c r="O65" s="16"/>
      <c r="P65" s="16"/>
      <c r="Q65" s="3">
        <f t="shared" si="11"/>
        <v>43972</v>
      </c>
      <c r="R65" s="3"/>
      <c r="S65" s="15" t="str">
        <f t="shared" si="12"/>
        <v/>
      </c>
      <c r="T65" s="15">
        <f>IF(AND(Table1[[#This Row],[Tipo de Evento]]="Amortization",Table1[[#This Row],[Status do Evento]]="realized"),Table1[[#This Row],[Data Realizada]]-Table1[[#This Row],[Agenda]],$B$1-Table1[[#This Row],[Agenda]])</f>
        <v>-21</v>
      </c>
      <c r="U65" s="16"/>
      <c r="V65" s="16" t="str">
        <f t="shared" si="13"/>
        <v/>
      </c>
      <c r="W65" s="16" t="str">
        <f t="shared" si="14"/>
        <v/>
      </c>
      <c r="X65" s="52"/>
      <c r="Y65" s="17" t="str">
        <f t="shared" si="15"/>
        <v/>
      </c>
      <c r="Z65" s="20"/>
      <c r="AA65" s="24"/>
      <c r="AB65" s="23"/>
      <c r="AC65" s="55" t="str">
        <f>IF(AND(Table1[[#This Row],[Dias em Atraso]]&gt;0,Table1[[#This Row],[Status do Evento]]="pending",Table1[[#This Row],[Saldo Devedor Atualizado]]&lt;&gt;0),"PDD","")</f>
        <v/>
      </c>
      <c r="AD65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5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5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5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5" s="59" t="str">
        <f>IFERROR(Table1[[#This Row],[Valor Presente Liquido]]/ABS(Table1[[#This Row],[Saldo Devedor Atualizado]])-1,Table1[[#This Row],[Variação eventos %]])</f>
        <v/>
      </c>
      <c r="AI65" s="22">
        <f t="array" ref="AI65">MAX(IF(C:C=Table1[[#This Row],[Número Contrato]],I:I))</f>
        <v>44325</v>
      </c>
    </row>
    <row r="66" spans="1:35" x14ac:dyDescent="0.25">
      <c r="A66" s="2"/>
      <c r="B66" s="2">
        <v>1154</v>
      </c>
      <c r="C66" s="2" t="s">
        <v>7</v>
      </c>
      <c r="D66" s="2" t="s">
        <v>30</v>
      </c>
      <c r="E66" s="2" t="s">
        <v>31</v>
      </c>
      <c r="F66" s="12">
        <v>1.0249999999999999</v>
      </c>
      <c r="G66" s="2" t="s">
        <v>51</v>
      </c>
      <c r="H66" s="2" t="str">
        <f t="shared" si="10"/>
        <v>pending</v>
      </c>
      <c r="I66" s="3">
        <v>44325</v>
      </c>
      <c r="J66" s="13"/>
      <c r="K66" s="14">
        <v>26641.33</v>
      </c>
      <c r="L66" s="14">
        <v>19923.78</v>
      </c>
      <c r="M66" s="14">
        <v>6717.55</v>
      </c>
      <c r="N66" s="14">
        <v>19923.78</v>
      </c>
      <c r="O66" s="16">
        <v>6717.5490760720404</v>
      </c>
      <c r="P66" s="16">
        <v>26641.33</v>
      </c>
      <c r="Q66" s="3">
        <f t="shared" si="11"/>
        <v>43951</v>
      </c>
      <c r="R66" s="3"/>
      <c r="S66" s="15">
        <f t="shared" si="12"/>
        <v>-21</v>
      </c>
      <c r="T66" s="15">
        <f>IF(AND(Table1[[#This Row],[Tipo de Evento]]="Amortization",Table1[[#This Row],[Status do Evento]]="realized"),Table1[[#This Row],[Data Realizada]]-Table1[[#This Row],[Agenda]],$B$1-Table1[[#This Row],[Agenda]])</f>
        <v>-374</v>
      </c>
      <c r="U66" s="16">
        <f>IF(G65="disbursement",J65,IFERROR(U65+IF(H65="realized",L65,""),0))</f>
        <v>-19923.78</v>
      </c>
      <c r="V66" s="16">
        <f t="shared" si="13"/>
        <v>-341.4199337321046</v>
      </c>
      <c r="W66" s="16">
        <f t="shared" si="14"/>
        <v>-19582.360066267895</v>
      </c>
      <c r="X66" s="52"/>
      <c r="Y66" s="17">
        <f t="shared" si="15"/>
        <v>-1.7136303137863629E-2</v>
      </c>
      <c r="Z66" s="20">
        <f>SUM($U$66,-SUM($V$66:V66))/$U$66-1</f>
        <v>-1.7136303137863629E-2</v>
      </c>
      <c r="AA66" s="24">
        <f t="shared" si="7"/>
        <v>8.2342591547712729E-4</v>
      </c>
      <c r="AB66" s="23">
        <f>Table1[[#This Row],[Principal]]/Table1[[#This Row],[Parcela]]</f>
        <v>0.74785230316954887</v>
      </c>
      <c r="AC66" s="55" t="str">
        <f>IF(AND(Table1[[#This Row],[Dias em Atraso]]&gt;0,Table1[[#This Row],[Status do Evento]]="pending",Table1[[#This Row],[Saldo Devedor Atualizado]]&lt;&gt;0),"PDD","")</f>
        <v/>
      </c>
      <c r="AD66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6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6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6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6" s="59">
        <f>IFERROR(Table1[[#This Row],[Valor Presente Liquido]]/ABS(Table1[[#This Row],[Saldo Devedor Atualizado]])-1,Table1[[#This Row],[Variação eventos %]])</f>
        <v>-1.7136303137863629E-2</v>
      </c>
      <c r="AI66" s="22">
        <f t="array" ref="AI66">MAX(IF(C:C=Table1[[#This Row],[Número Contrato]],I:I))</f>
        <v>44325</v>
      </c>
    </row>
    <row r="67" spans="1:35" x14ac:dyDescent="0.25">
      <c r="A67" s="2"/>
      <c r="B67" s="2">
        <v>1159</v>
      </c>
      <c r="C67" s="2" t="s">
        <v>6</v>
      </c>
      <c r="D67" s="2" t="s">
        <v>28</v>
      </c>
      <c r="E67" s="2" t="s">
        <v>29</v>
      </c>
      <c r="F67" s="12">
        <v>1.0249999999999999</v>
      </c>
      <c r="G67" s="2" t="s">
        <v>50</v>
      </c>
      <c r="H67" s="2" t="str">
        <f t="shared" ref="H67:H87" si="17">IF(G67="disbursement","realized",IF(R67&lt;&gt;"","realized","pending"))</f>
        <v>realized</v>
      </c>
      <c r="I67" s="3">
        <v>43983</v>
      </c>
      <c r="J67" s="13">
        <v>-49947.44</v>
      </c>
      <c r="K67" s="14"/>
      <c r="L67" s="14"/>
      <c r="M67" s="14"/>
      <c r="N67" s="14"/>
      <c r="O67" s="16"/>
      <c r="P67" s="16"/>
      <c r="Q67" s="3">
        <f t="shared" ref="Q67:Q87" si="18">IF(G67="Amortization",IF(H67="realized",R67,$B$1),I67)</f>
        <v>43983</v>
      </c>
      <c r="R67" s="3"/>
      <c r="S67" s="15" t="str">
        <f t="shared" ref="S67:S87" si="19">IF(A67="C",Q67-EDATE(Q67,-1),IF(G67="Amortization",Q67-Q66,""))</f>
        <v/>
      </c>
      <c r="T67" s="15">
        <f>IF(AND(Table1[[#This Row],[Tipo de Evento]]="Amortization",Table1[[#This Row],[Status do Evento]]="realized"),Table1[[#This Row],[Data Realizada]]-Table1[[#This Row],[Agenda]],$B$1-Table1[[#This Row],[Agenda]])</f>
        <v>-32</v>
      </c>
      <c r="U67" s="16"/>
      <c r="V67" s="16" t="str">
        <f t="shared" ref="V67:V87" si="20">IF(G67="disbursement","",(-U67)*(F67^(S67/30)-1))</f>
        <v/>
      </c>
      <c r="W67" s="16" t="str">
        <f t="shared" si="14"/>
        <v/>
      </c>
      <c r="X67" s="52"/>
      <c r="Y67" s="17" t="str">
        <f t="shared" si="15"/>
        <v/>
      </c>
      <c r="Z67" s="20"/>
      <c r="AA67" s="24"/>
      <c r="AB67" s="23"/>
      <c r="AC67" s="55" t="str">
        <f>IF(AND(Table1[[#This Row],[Dias em Atraso]]&gt;0,Table1[[#This Row],[Status do Evento]]="pending",Table1[[#This Row],[Saldo Devedor Atualizado]]&lt;&gt;0),"PDD","")</f>
        <v/>
      </c>
      <c r="AD67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7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7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7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7" s="59" t="str">
        <f>IFERROR(Table1[[#This Row],[Valor Presente Liquido]]/ABS(Table1[[#This Row],[Saldo Devedor Atualizado]])-1,Table1[[#This Row],[Variação eventos %]])</f>
        <v/>
      </c>
      <c r="AI67" s="22">
        <f t="array" ref="AI67">MAX(IF(C:C=Table1[[#This Row],[Número Contrato]],I:I))</f>
        <v>44342</v>
      </c>
    </row>
    <row r="68" spans="1:35" x14ac:dyDescent="0.25">
      <c r="A68" s="2"/>
      <c r="B68" s="2">
        <v>1159</v>
      </c>
      <c r="C68" s="2" t="s">
        <v>6</v>
      </c>
      <c r="D68" s="2" t="s">
        <v>28</v>
      </c>
      <c r="E68" s="2" t="s">
        <v>29</v>
      </c>
      <c r="F68" s="12">
        <v>1.0249999999999999</v>
      </c>
      <c r="G68" s="2" t="s">
        <v>51</v>
      </c>
      <c r="H68" s="2" t="str">
        <f t="shared" si="17"/>
        <v>pending</v>
      </c>
      <c r="I68" s="3">
        <v>44342</v>
      </c>
      <c r="J68" s="13"/>
      <c r="K68" s="14">
        <v>67118.490000000005</v>
      </c>
      <c r="L68" s="14">
        <v>49947.44</v>
      </c>
      <c r="M68" s="14">
        <v>17171.05</v>
      </c>
      <c r="N68" s="14">
        <v>49947.44</v>
      </c>
      <c r="O68" s="16">
        <v>17171.046754310799</v>
      </c>
      <c r="P68" s="16">
        <v>67118.490000000005</v>
      </c>
      <c r="Q68" s="3">
        <f t="shared" si="18"/>
        <v>43951</v>
      </c>
      <c r="R68" s="3"/>
      <c r="S68" s="15">
        <f t="shared" si="19"/>
        <v>-32</v>
      </c>
      <c r="T68" s="15">
        <f>IF(AND(Table1[[#This Row],[Tipo de Evento]]="Amortization",Table1[[#This Row],[Status do Evento]]="realized"),Table1[[#This Row],[Data Realizada]]-Table1[[#This Row],[Agenda]],$B$1-Table1[[#This Row],[Agenda]])</f>
        <v>-391</v>
      </c>
      <c r="U68" s="16">
        <f>IF(G67="disbursement",J67,IFERROR(U67+IF(H67="realized",L67,""),0))</f>
        <v>-49947.44</v>
      </c>
      <c r="V68" s="16">
        <f t="shared" si="20"/>
        <v>-1298.3810212887756</v>
      </c>
      <c r="W68" s="16">
        <f t="shared" ref="W68:W87" si="21">IF(G68="disbursement","",U68-V68)</f>
        <v>-48649.058978711226</v>
      </c>
      <c r="X68" s="52"/>
      <c r="Y68" s="17">
        <f t="shared" ref="Y68:Y87" si="22">IFERROR(IF(G68="disbursement","",(W68/U68)-1),"")</f>
        <v>-2.5994946313340095E-2</v>
      </c>
      <c r="Z68" s="20">
        <f>SUM($U$68,-SUM($V$68:V68))/$U$68-1</f>
        <v>-2.5994946313340095E-2</v>
      </c>
      <c r="AA68" s="24">
        <f t="shared" si="7"/>
        <v>8.2342591547712729E-4</v>
      </c>
      <c r="AB68" s="23">
        <f>Table1[[#This Row],[Principal]]/Table1[[#This Row],[Parcela]]</f>
        <v>0.74416811224447987</v>
      </c>
      <c r="AC68" s="55" t="str">
        <f>IF(AND(Table1[[#This Row],[Dias em Atraso]]&gt;0,Table1[[#This Row],[Status do Evento]]="pending",Table1[[#This Row],[Saldo Devedor Atualizado]]&lt;&gt;0),"PDD","")</f>
        <v/>
      </c>
      <c r="AD68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8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8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8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8" s="59">
        <f>IFERROR(Table1[[#This Row],[Valor Presente Liquido]]/ABS(Table1[[#This Row],[Saldo Devedor Atualizado]])-1,Table1[[#This Row],[Variação eventos %]])</f>
        <v>-2.5994946313340095E-2</v>
      </c>
      <c r="AI68" s="22">
        <f t="array" ref="AI68">MAX(IF(C:C=Table1[[#This Row],[Número Contrato]],I:I))</f>
        <v>44342</v>
      </c>
    </row>
    <row r="69" spans="1:35" x14ac:dyDescent="0.25">
      <c r="A69" s="2"/>
      <c r="B69" s="2">
        <v>1161</v>
      </c>
      <c r="C69" s="2" t="s">
        <v>5</v>
      </c>
      <c r="D69" s="2" t="s">
        <v>26</v>
      </c>
      <c r="E69" s="2" t="s">
        <v>27</v>
      </c>
      <c r="F69" s="12">
        <v>1.02</v>
      </c>
      <c r="G69" s="2" t="s">
        <v>50</v>
      </c>
      <c r="H69" s="2" t="str">
        <f t="shared" si="17"/>
        <v>realized</v>
      </c>
      <c r="I69" s="3">
        <v>43990</v>
      </c>
      <c r="J69" s="13">
        <v>-40423.03</v>
      </c>
      <c r="K69" s="14"/>
      <c r="L69" s="14"/>
      <c r="M69" s="14"/>
      <c r="N69" s="14"/>
      <c r="O69" s="16"/>
      <c r="P69" s="16"/>
      <c r="Q69" s="3">
        <f t="shared" si="18"/>
        <v>43990</v>
      </c>
      <c r="R69" s="3"/>
      <c r="S69" s="15" t="str">
        <f t="shared" si="19"/>
        <v/>
      </c>
      <c r="T69" s="15">
        <f>IF(AND(Table1[[#This Row],[Tipo de Evento]]="Amortization",Table1[[#This Row],[Status do Evento]]="realized"),Table1[[#This Row],[Data Realizada]]-Table1[[#This Row],[Agenda]],$B$1-Table1[[#This Row],[Agenda]])</f>
        <v>-39</v>
      </c>
      <c r="U69" s="16"/>
      <c r="V69" s="16" t="str">
        <f t="shared" si="20"/>
        <v/>
      </c>
      <c r="W69" s="16" t="str">
        <f t="shared" si="21"/>
        <v/>
      </c>
      <c r="X69" s="52"/>
      <c r="Y69" s="17" t="str">
        <f t="shared" si="22"/>
        <v/>
      </c>
      <c r="Z69" s="20"/>
      <c r="AA69" s="24"/>
      <c r="AB69" s="23"/>
      <c r="AC69" s="55" t="str">
        <f>IF(AND(Table1[[#This Row],[Dias em Atraso]]&gt;0,Table1[[#This Row],[Status do Evento]]="pending",Table1[[#This Row],[Saldo Devedor Atualizado]]&lt;&gt;0),"PDD","")</f>
        <v/>
      </c>
      <c r="AD69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69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69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69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69" s="59" t="str">
        <f>IFERROR(Table1[[#This Row],[Valor Presente Liquido]]/ABS(Table1[[#This Row],[Saldo Devedor Atualizado]])-1,Table1[[#This Row],[Variação eventos %]])</f>
        <v/>
      </c>
      <c r="AI69" s="22">
        <f t="array" ref="AI69">MAX(IF(C:C=Table1[[#This Row],[Número Contrato]],I:I))</f>
        <v>44346</v>
      </c>
    </row>
    <row r="70" spans="1:35" x14ac:dyDescent="0.25">
      <c r="A70" s="2"/>
      <c r="B70" s="2">
        <v>1161</v>
      </c>
      <c r="C70" s="2" t="s">
        <v>5</v>
      </c>
      <c r="D70" s="2" t="s">
        <v>26</v>
      </c>
      <c r="E70" s="2" t="s">
        <v>27</v>
      </c>
      <c r="F70" s="12">
        <v>1.02</v>
      </c>
      <c r="G70" s="2" t="s">
        <v>51</v>
      </c>
      <c r="H70" s="2" t="str">
        <f t="shared" si="17"/>
        <v>pending</v>
      </c>
      <c r="I70" s="3">
        <v>44346</v>
      </c>
      <c r="J70" s="13"/>
      <c r="K70" s="14">
        <v>51130.99</v>
      </c>
      <c r="L70" s="14">
        <v>40423.03</v>
      </c>
      <c r="M70" s="14">
        <v>10707.96</v>
      </c>
      <c r="N70" s="14">
        <v>40423.03</v>
      </c>
      <c r="O70" s="16">
        <v>10707.963987683601</v>
      </c>
      <c r="P70" s="16">
        <v>51130.99</v>
      </c>
      <c r="Q70" s="3">
        <f t="shared" si="18"/>
        <v>43951</v>
      </c>
      <c r="R70" s="3"/>
      <c r="S70" s="15">
        <f t="shared" si="19"/>
        <v>-39</v>
      </c>
      <c r="T70" s="15">
        <f>IF(AND(Table1[[#This Row],[Tipo de Evento]]="Amortization",Table1[[#This Row],[Status do Evento]]="realized"),Table1[[#This Row],[Data Realizada]]-Table1[[#This Row],[Agenda]],$B$1-Table1[[#This Row],[Agenda]])</f>
        <v>-395</v>
      </c>
      <c r="U70" s="16">
        <f>IF(G69="disbursement",J69,IFERROR(U69+IF(H69="realized",L69,""),0))</f>
        <v>-40423.03</v>
      </c>
      <c r="V70" s="16">
        <f t="shared" si="20"/>
        <v>-1027.3464170375278</v>
      </c>
      <c r="W70" s="16">
        <f t="shared" si="21"/>
        <v>-39395.683582962469</v>
      </c>
      <c r="X70" s="52"/>
      <c r="Y70" s="17">
        <f t="shared" si="22"/>
        <v>-2.5414879019151515E-2</v>
      </c>
      <c r="Z70" s="20">
        <f>SUM($U$70,-SUM($V$70:V70))/$U$70-1</f>
        <v>-2.5414879019151515E-2</v>
      </c>
      <c r="AA70" s="24">
        <f>(F70^(1/30)-1)</f>
        <v>6.6030548228668273E-4</v>
      </c>
      <c r="AB70" s="23">
        <f>Table1[[#This Row],[Principal]]/Table1[[#This Row],[Parcela]]</f>
        <v>0.79057788632686365</v>
      </c>
      <c r="AC70" s="55" t="str">
        <f>IF(AND(Table1[[#This Row],[Dias em Atraso]]&gt;0,Table1[[#This Row],[Status do Evento]]="pending",Table1[[#This Row],[Saldo Devedor Atualizado]]&lt;&gt;0),"PDD","")</f>
        <v/>
      </c>
      <c r="AD70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0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0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0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0" s="59">
        <f>IFERROR(Table1[[#This Row],[Valor Presente Liquido]]/ABS(Table1[[#This Row],[Saldo Devedor Atualizado]])-1,Table1[[#This Row],[Variação eventos %]])</f>
        <v>-2.5414879019151515E-2</v>
      </c>
      <c r="AI70" s="22">
        <f t="array" ref="AI70">MAX(IF(C:C=Table1[[#This Row],[Número Contrato]],I:I))</f>
        <v>44346</v>
      </c>
    </row>
    <row r="71" spans="1:35" x14ac:dyDescent="0.25">
      <c r="A71" s="2"/>
      <c r="B71" s="2">
        <v>1169</v>
      </c>
      <c r="C71" s="2" t="s">
        <v>4</v>
      </c>
      <c r="D71" s="2" t="s">
        <v>24</v>
      </c>
      <c r="E71" s="2" t="s">
        <v>25</v>
      </c>
      <c r="F71" s="12">
        <v>1.024</v>
      </c>
      <c r="G71" s="2" t="s">
        <v>50</v>
      </c>
      <c r="H71" s="2" t="str">
        <f t="shared" si="17"/>
        <v>realized</v>
      </c>
      <c r="I71" s="3">
        <v>43994</v>
      </c>
      <c r="J71" s="13">
        <v>-40744.36</v>
      </c>
      <c r="K71" s="14"/>
      <c r="L71" s="14"/>
      <c r="M71" s="14"/>
      <c r="N71" s="14"/>
      <c r="O71" s="16"/>
      <c r="P71" s="16"/>
      <c r="Q71" s="3">
        <f t="shared" si="18"/>
        <v>43994</v>
      </c>
      <c r="R71" s="3"/>
      <c r="S71" s="15" t="str">
        <f t="shared" si="19"/>
        <v/>
      </c>
      <c r="T71" s="15">
        <f>IF(AND(Table1[[#This Row],[Tipo de Evento]]="Amortization",Table1[[#This Row],[Status do Evento]]="realized"),Table1[[#This Row],[Data Realizada]]-Table1[[#This Row],[Agenda]],$B$1-Table1[[#This Row],[Agenda]])</f>
        <v>-43</v>
      </c>
      <c r="U71" s="16"/>
      <c r="V71" s="16" t="str">
        <f t="shared" si="20"/>
        <v/>
      </c>
      <c r="W71" s="16" t="str">
        <f t="shared" si="21"/>
        <v/>
      </c>
      <c r="X71" s="52"/>
      <c r="Y71" s="17" t="str">
        <f t="shared" si="22"/>
        <v/>
      </c>
      <c r="Z71" s="20"/>
      <c r="AA71" s="24"/>
      <c r="AB71" s="23"/>
      <c r="AC71" s="55" t="str">
        <f>IF(AND(Table1[[#This Row],[Dias em Atraso]]&gt;0,Table1[[#This Row],[Status do Evento]]="pending",Table1[[#This Row],[Saldo Devedor Atualizado]]&lt;&gt;0),"PDD","")</f>
        <v/>
      </c>
      <c r="AD71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1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1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1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1" s="59" t="str">
        <f>IFERROR(Table1[[#This Row],[Valor Presente Liquido]]/ABS(Table1[[#This Row],[Saldo Devedor Atualizado]])-1,Table1[[#This Row],[Variação eventos %]])</f>
        <v/>
      </c>
      <c r="AI71" s="22">
        <f t="array" ref="AI71">MAX(IF(C:C=Table1[[#This Row],[Número Contrato]],I:I))</f>
        <v>44345</v>
      </c>
    </row>
    <row r="72" spans="1:35" x14ac:dyDescent="0.25">
      <c r="A72" s="2"/>
      <c r="B72" s="2">
        <v>1169</v>
      </c>
      <c r="C72" s="2" t="s">
        <v>4</v>
      </c>
      <c r="D72" s="2" t="s">
        <v>24</v>
      </c>
      <c r="E72" s="2" t="s">
        <v>25</v>
      </c>
      <c r="F72" s="12">
        <v>1.024</v>
      </c>
      <c r="G72" s="2" t="s">
        <v>51</v>
      </c>
      <c r="H72" s="2" t="str">
        <f t="shared" si="17"/>
        <v>pending</v>
      </c>
      <c r="I72" s="3">
        <v>44345</v>
      </c>
      <c r="J72" s="13"/>
      <c r="K72" s="14">
        <v>53774.57</v>
      </c>
      <c r="L72" s="14">
        <v>40744.36</v>
      </c>
      <c r="M72" s="14">
        <v>13030.21</v>
      </c>
      <c r="N72" s="14">
        <v>40744.36</v>
      </c>
      <c r="O72" s="16">
        <v>13030.215795911899</v>
      </c>
      <c r="P72" s="16">
        <v>53774.57</v>
      </c>
      <c r="Q72" s="3">
        <f t="shared" si="18"/>
        <v>43951</v>
      </c>
      <c r="R72" s="3"/>
      <c r="S72" s="15">
        <f t="shared" si="19"/>
        <v>-43</v>
      </c>
      <c r="T72" s="15">
        <f>IF(AND(Table1[[#This Row],[Tipo de Evento]]="Amortization",Table1[[#This Row],[Status do Evento]]="realized"),Table1[[#This Row],[Data Realizada]]-Table1[[#This Row],[Agenda]],$B$1-Table1[[#This Row],[Agenda]])</f>
        <v>-394</v>
      </c>
      <c r="U72" s="16">
        <f>IF(G71="disbursement",J71,IFERROR(U71+IF(H71="realized",L71,""),0))</f>
        <v>-40744.36</v>
      </c>
      <c r="V72" s="16">
        <f t="shared" si="20"/>
        <v>-1361.7740731758013</v>
      </c>
      <c r="W72" s="16">
        <f t="shared" si="21"/>
        <v>-39382.585926824198</v>
      </c>
      <c r="X72" s="52"/>
      <c r="Y72" s="17">
        <f t="shared" si="22"/>
        <v>-3.3422394490324581E-2</v>
      </c>
      <c r="Z72" s="20">
        <f>SUM($U$72,-SUM($V$72:V72))/$U$72-1</f>
        <v>-3.3422394490324581E-2</v>
      </c>
      <c r="AA72" s="24">
        <f>(F72^(1/30)-1)</f>
        <v>7.9086345495804622E-4</v>
      </c>
      <c r="AB72" s="23">
        <f>Table1[[#This Row],[Principal]]/Table1[[#This Row],[Parcela]]</f>
        <v>0.75768825301624909</v>
      </c>
      <c r="AC72" s="55" t="str">
        <f>IF(AND(Table1[[#This Row],[Dias em Atraso]]&gt;0,Table1[[#This Row],[Status do Evento]]="pending",Table1[[#This Row],[Saldo Devedor Atualizado]]&lt;&gt;0),"PDD","")</f>
        <v/>
      </c>
      <c r="AD72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2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2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2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2" s="59">
        <f>IFERROR(Table1[[#This Row],[Valor Presente Liquido]]/ABS(Table1[[#This Row],[Saldo Devedor Atualizado]])-1,Table1[[#This Row],[Variação eventos %]])</f>
        <v>-3.3422394490324581E-2</v>
      </c>
      <c r="AI72" s="22">
        <f t="array" ref="AI72">MAX(IF(C:C=Table1[[#This Row],[Número Contrato]],I:I))</f>
        <v>44345</v>
      </c>
    </row>
    <row r="73" spans="1:35" x14ac:dyDescent="0.25">
      <c r="A73" s="2"/>
      <c r="B73" s="2">
        <v>1172</v>
      </c>
      <c r="C73" s="2" t="s">
        <v>3</v>
      </c>
      <c r="D73" s="2" t="s">
        <v>22</v>
      </c>
      <c r="E73" s="2" t="s">
        <v>23</v>
      </c>
      <c r="F73" s="12">
        <v>1.022</v>
      </c>
      <c r="G73" s="2" t="s">
        <v>50</v>
      </c>
      <c r="H73" s="2" t="str">
        <f t="shared" si="17"/>
        <v>realized</v>
      </c>
      <c r="I73" s="3">
        <v>44006</v>
      </c>
      <c r="J73" s="13">
        <v>-25960.3</v>
      </c>
      <c r="K73" s="14"/>
      <c r="L73" s="14"/>
      <c r="M73" s="14"/>
      <c r="N73" s="14"/>
      <c r="O73" s="16"/>
      <c r="P73" s="16"/>
      <c r="Q73" s="3">
        <f t="shared" si="18"/>
        <v>44006</v>
      </c>
      <c r="R73" s="3"/>
      <c r="S73" s="15" t="str">
        <f t="shared" si="19"/>
        <v/>
      </c>
      <c r="T73" s="15">
        <f>IF(AND(Table1[[#This Row],[Tipo de Evento]]="Amortization",Table1[[#This Row],[Status do Evento]]="realized"),Table1[[#This Row],[Data Realizada]]-Table1[[#This Row],[Agenda]],$B$1-Table1[[#This Row],[Agenda]])</f>
        <v>-55</v>
      </c>
      <c r="U73" s="16"/>
      <c r="V73" s="16" t="str">
        <f t="shared" si="20"/>
        <v/>
      </c>
      <c r="W73" s="16" t="str">
        <f t="shared" si="21"/>
        <v/>
      </c>
      <c r="X73" s="52"/>
      <c r="Y73" s="17" t="str">
        <f t="shared" si="22"/>
        <v/>
      </c>
      <c r="Z73" s="20"/>
      <c r="AA73" s="24"/>
      <c r="AB73" s="23"/>
      <c r="AC73" s="55" t="str">
        <f>IF(AND(Table1[[#This Row],[Dias em Atraso]]&gt;0,Table1[[#This Row],[Status do Evento]]="pending",Table1[[#This Row],[Saldo Devedor Atualizado]]&lt;&gt;0),"PDD","")</f>
        <v/>
      </c>
      <c r="AD73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3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3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3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3" s="59" t="str">
        <f>IFERROR(Table1[[#This Row],[Valor Presente Liquido]]/ABS(Table1[[#This Row],[Saldo Devedor Atualizado]])-1,Table1[[#This Row],[Variação eventos %]])</f>
        <v/>
      </c>
      <c r="AI73" s="22">
        <f t="array" ref="AI73">MAX(IF(C:C=Table1[[#This Row],[Número Contrato]],I:I))</f>
        <v>44367</v>
      </c>
    </row>
    <row r="74" spans="1:35" x14ac:dyDescent="0.25">
      <c r="A74" s="2"/>
      <c r="B74" s="2">
        <v>1172</v>
      </c>
      <c r="C74" s="2" t="s">
        <v>3</v>
      </c>
      <c r="D74" s="2" t="s">
        <v>22</v>
      </c>
      <c r="E74" s="2" t="s">
        <v>23</v>
      </c>
      <c r="F74" s="12">
        <v>1.022</v>
      </c>
      <c r="G74" s="2" t="s">
        <v>51</v>
      </c>
      <c r="H74" s="2" t="str">
        <f t="shared" si="17"/>
        <v>pending</v>
      </c>
      <c r="I74" s="3">
        <v>44367</v>
      </c>
      <c r="J74" s="13"/>
      <c r="K74" s="14">
        <v>33731.49</v>
      </c>
      <c r="L74" s="14">
        <v>25960.3</v>
      </c>
      <c r="M74" s="14">
        <v>7771.19</v>
      </c>
      <c r="N74" s="14">
        <v>25960.3</v>
      </c>
      <c r="O74" s="16">
        <v>7771.1869649625196</v>
      </c>
      <c r="P74" s="16">
        <v>33731.49</v>
      </c>
      <c r="Q74" s="3">
        <f t="shared" si="18"/>
        <v>43951</v>
      </c>
      <c r="R74" s="3"/>
      <c r="S74" s="15">
        <f t="shared" si="19"/>
        <v>-55</v>
      </c>
      <c r="T74" s="15">
        <f>IF(AND(Table1[[#This Row],[Tipo de Evento]]="Amortization",Table1[[#This Row],[Status do Evento]]="realized"),Table1[[#This Row],[Data Realizada]]-Table1[[#This Row],[Agenda]],$B$1-Table1[[#This Row],[Agenda]])</f>
        <v>-416</v>
      </c>
      <c r="U74" s="16">
        <f>IF(G73="disbursement",J73,IFERROR(U73+IF(H73="realized",L73,""),0))</f>
        <v>-25960.3</v>
      </c>
      <c r="V74" s="16">
        <f t="shared" si="20"/>
        <v>-1015.3254830411796</v>
      </c>
      <c r="W74" s="16">
        <f t="shared" si="21"/>
        <v>-24944.97451695882</v>
      </c>
      <c r="X74" s="52"/>
      <c r="Y74" s="17">
        <f t="shared" si="22"/>
        <v>-3.9110699146049144E-2</v>
      </c>
      <c r="Z74" s="20">
        <f>SUM($U$74,-SUM($V$74:V74))/$U$74-1</f>
        <v>-3.9110699146049144E-2</v>
      </c>
      <c r="AA74" s="24">
        <f>(F74^(1/30)-1)</f>
        <v>7.256462133005126E-4</v>
      </c>
      <c r="AB74" s="23">
        <f>Table1[[#This Row],[Principal]]/Table1[[#This Row],[Parcela]]</f>
        <v>0.76961616578455327</v>
      </c>
      <c r="AC74" s="55" t="str">
        <f>IF(AND(Table1[[#This Row],[Dias em Atraso]]&gt;0,Table1[[#This Row],[Status do Evento]]="pending",Table1[[#This Row],[Saldo Devedor Atualizado]]&lt;&gt;0),"PDD","")</f>
        <v/>
      </c>
      <c r="AD74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4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4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4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4" s="59">
        <f>IFERROR(Table1[[#This Row],[Valor Presente Liquido]]/ABS(Table1[[#This Row],[Saldo Devedor Atualizado]])-1,Table1[[#This Row],[Variação eventos %]])</f>
        <v>-3.9110699146049144E-2</v>
      </c>
      <c r="AI74" s="22">
        <f t="array" ref="AI74">MAX(IF(C:C=Table1[[#This Row],[Número Contrato]],I:I))</f>
        <v>44367</v>
      </c>
    </row>
    <row r="75" spans="1:35" x14ac:dyDescent="0.25">
      <c r="A75" s="2"/>
      <c r="B75" s="2">
        <v>1184</v>
      </c>
      <c r="C75" s="2" t="s">
        <v>2</v>
      </c>
      <c r="D75" s="2" t="s">
        <v>20</v>
      </c>
      <c r="E75" s="2" t="s">
        <v>21</v>
      </c>
      <c r="F75" s="12">
        <v>1.0149999999999999</v>
      </c>
      <c r="G75" s="2" t="s">
        <v>50</v>
      </c>
      <c r="H75" s="2" t="str">
        <f t="shared" si="17"/>
        <v>realized</v>
      </c>
      <c r="I75" s="3">
        <v>44019</v>
      </c>
      <c r="J75" s="13">
        <v>-103039.67</v>
      </c>
      <c r="K75" s="14"/>
      <c r="L75" s="14"/>
      <c r="M75" s="14"/>
      <c r="N75" s="14"/>
      <c r="O75" s="16"/>
      <c r="P75" s="16"/>
      <c r="Q75" s="3">
        <f t="shared" si="18"/>
        <v>44019</v>
      </c>
      <c r="R75" s="3"/>
      <c r="S75" s="15" t="str">
        <f t="shared" si="19"/>
        <v/>
      </c>
      <c r="T75" s="15">
        <f>IF(AND(Table1[[#This Row],[Tipo de Evento]]="Amortization",Table1[[#This Row],[Status do Evento]]="realized"),Table1[[#This Row],[Data Realizada]]-Table1[[#This Row],[Agenda]],$B$1-Table1[[#This Row],[Agenda]])</f>
        <v>-68</v>
      </c>
      <c r="U75" s="16"/>
      <c r="V75" s="16" t="str">
        <f t="shared" si="20"/>
        <v/>
      </c>
      <c r="W75" s="16" t="str">
        <f t="shared" si="21"/>
        <v/>
      </c>
      <c r="X75" s="52"/>
      <c r="Y75" s="17" t="str">
        <f t="shared" si="22"/>
        <v/>
      </c>
      <c r="Z75" s="20"/>
      <c r="AA75" s="24"/>
      <c r="AB75" s="23"/>
      <c r="AC75" s="55" t="str">
        <f>IF(AND(Table1[[#This Row],[Dias em Atraso]]&gt;0,Table1[[#This Row],[Status do Evento]]="pending",Table1[[#This Row],[Saldo Devedor Atualizado]]&lt;&gt;0),"PDD","")</f>
        <v/>
      </c>
      <c r="AD75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5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5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5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5" s="59" t="str">
        <f>IFERROR(Table1[[#This Row],[Valor Presente Liquido]]/ABS(Table1[[#This Row],[Saldo Devedor Atualizado]])-1,Table1[[#This Row],[Variação eventos %]])</f>
        <v/>
      </c>
      <c r="AI75" s="22">
        <f t="array" ref="AI75">MAX(IF(C:C=Table1[[#This Row],[Número Contrato]],I:I))</f>
        <v>44367</v>
      </c>
    </row>
    <row r="76" spans="1:35" x14ac:dyDescent="0.25">
      <c r="A76" s="2"/>
      <c r="B76" s="2">
        <v>1184</v>
      </c>
      <c r="C76" s="2" t="s">
        <v>2</v>
      </c>
      <c r="D76" s="2" t="s">
        <v>20</v>
      </c>
      <c r="E76" s="2" t="s">
        <v>21</v>
      </c>
      <c r="F76" s="12">
        <v>1.0149999999999999</v>
      </c>
      <c r="G76" s="2" t="s">
        <v>51</v>
      </c>
      <c r="H76" s="2" t="str">
        <f>IF(G76="disbursement","realized",IF(R76&lt;&gt;"","realized","pending"))</f>
        <v>pending</v>
      </c>
      <c r="I76" s="3">
        <v>44032</v>
      </c>
      <c r="J76" s="13"/>
      <c r="K76" s="16">
        <v>666.93</v>
      </c>
      <c r="L76" s="16">
        <v>0.01</v>
      </c>
      <c r="M76" s="16">
        <v>666.93</v>
      </c>
      <c r="N76" s="14">
        <v>103039.67</v>
      </c>
      <c r="O76" s="16">
        <v>666.93</v>
      </c>
      <c r="P76" s="16">
        <v>103706.59999999999</v>
      </c>
      <c r="Q76" s="3">
        <f>IF(G76="Amortization",IF(H76="realized",R76,$B$1),I76)</f>
        <v>43951</v>
      </c>
      <c r="R76" s="3"/>
      <c r="S76" s="15">
        <f>IF(A76="C",Q76-EDATE(Q76,-1),IF(G76="Amortization",Q76-Q75,""))</f>
        <v>-68</v>
      </c>
      <c r="T76" s="15">
        <f>IF(AND(Table1[[#This Row],[Tipo de Evento]]="Amortization",Table1[[#This Row],[Status do Evento]]="realized"),Table1[[#This Row],[Data Realizada]]-Table1[[#This Row],[Agenda]],$B$1-Table1[[#This Row],[Agenda]])</f>
        <v>-81</v>
      </c>
      <c r="U76" s="16">
        <f t="shared" ref="U76:U87" si="23">IF(G75="disbursement",J75,IFERROR(U75+IF(H75="realized",L75,""),0))</f>
        <v>-103039.67</v>
      </c>
      <c r="V76" s="16">
        <f>IF(G76="disbursement","",(-U76)*(F76^(S76/30)-1))</f>
        <v>-3419.3123223625325</v>
      </c>
      <c r="W76" s="16">
        <f>IF(G76="disbursement","",U76-V76)</f>
        <v>-99620.357677637468</v>
      </c>
      <c r="X76" s="52"/>
      <c r="Y76" s="17">
        <f>IFERROR(IF(G76="disbursement","",(W76/U76)-1),"")</f>
        <v>-3.3184426176467108E-2</v>
      </c>
      <c r="Z76" s="20">
        <f>SUM($U$76,-SUM($V$76:V76))/$U$76-1</f>
        <v>-3.3184426176467108E-2</v>
      </c>
      <c r="AA76" s="43">
        <f>(F76^(1/30)-1)</f>
        <v>4.9641025393465377E-4</v>
      </c>
      <c r="AB76" s="23">
        <f>IFERROR(Table1[[#This Row],[Principal]]/Table1[[#This Row],[Parcela]],1E-21)</f>
        <v>1.4994077339450918E-5</v>
      </c>
      <c r="AC76" s="55" t="str">
        <f>IF(AND(Table1[[#This Row],[Dias em Atraso]]&gt;0,Table1[[#This Row],[Status do Evento]]="pending",Table1[[#This Row],[Saldo Devedor Atualizado]]&lt;&gt;0),"PDD","")</f>
        <v/>
      </c>
      <c r="AD76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6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6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6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6" s="59">
        <f>IFERROR(Table1[[#This Row],[Valor Presente Liquido]]/ABS(Table1[[#This Row],[Saldo Devedor Atualizado]])-1,Table1[[#This Row],[Variação eventos %]])</f>
        <v>-3.3184426176467108E-2</v>
      </c>
      <c r="AI76" s="22">
        <f t="array" ref="AI76">MAX(IF(C:C=Table1[[#This Row],[Número Contrato]],I:I))</f>
        <v>44367</v>
      </c>
    </row>
    <row r="77" spans="1:35" x14ac:dyDescent="0.25">
      <c r="A77" s="2"/>
      <c r="B77" s="2">
        <v>1184</v>
      </c>
      <c r="C77" s="2" t="s">
        <v>2</v>
      </c>
      <c r="D77" s="2" t="s">
        <v>20</v>
      </c>
      <c r="E77" s="2" t="s">
        <v>21</v>
      </c>
      <c r="F77" s="12">
        <v>1.0149999999999999</v>
      </c>
      <c r="G77" s="2" t="s">
        <v>51</v>
      </c>
      <c r="H77" s="2" t="str">
        <f>IF(G77="disbursement","realized",IF(R77&lt;&gt;"","realized","pending"))</f>
        <v>pending</v>
      </c>
      <c r="I77" s="3">
        <v>44063</v>
      </c>
      <c r="J77" s="13"/>
      <c r="K77" s="16">
        <v>1597.52</v>
      </c>
      <c r="L77" s="16">
        <v>0.01</v>
      </c>
      <c r="M77" s="16">
        <v>1597.52</v>
      </c>
      <c r="N77" s="14">
        <v>103039.67</v>
      </c>
      <c r="O77" s="16">
        <v>1597.52</v>
      </c>
      <c r="P77" s="16">
        <v>104637.19</v>
      </c>
      <c r="Q77" s="3">
        <f>IF(G77="Amortization",IF(H77="realized",R77,$B$1),I77)</f>
        <v>43951</v>
      </c>
      <c r="R77" s="3"/>
      <c r="S77" s="15">
        <f t="shared" si="19"/>
        <v>0</v>
      </c>
      <c r="T77" s="15">
        <f>IF(AND(Table1[[#This Row],[Tipo de Evento]]="Amortization",Table1[[#This Row],[Status do Evento]]="realized"),Table1[[#This Row],[Data Realizada]]-Table1[[#This Row],[Agenda]],$B$1-Table1[[#This Row],[Agenda]])</f>
        <v>-112</v>
      </c>
      <c r="U77" s="16">
        <f t="shared" si="23"/>
        <v>0</v>
      </c>
      <c r="V77" s="16">
        <f>IF(G77="disbursement","",(-U77)*(F77^(S77/30)-1))</f>
        <v>0</v>
      </c>
      <c r="W77" s="16">
        <f>IF(G77="disbursement","",U77-V77)</f>
        <v>0</v>
      </c>
      <c r="X77" s="52"/>
      <c r="Y77" s="17" t="str">
        <f>IFERROR(IF(G77="disbursement","",(W77/U77)-1),"")</f>
        <v/>
      </c>
      <c r="Z77" s="20">
        <f>SUM($U$76,-SUM($V$76:V77))/$U$76-1</f>
        <v>-3.3184426176467108E-2</v>
      </c>
      <c r="AA77" s="43">
        <f t="shared" ref="AA77:AA87" si="24">(F77^(1/30)-1)</f>
        <v>4.9641025393465377E-4</v>
      </c>
      <c r="AB77" s="23">
        <f>IFERROR(Table1[[#This Row],[Principal]]/Table1[[#This Row],[Parcela]],1)</f>
        <v>6.2597025389353498E-6</v>
      </c>
      <c r="AC77" s="55" t="str">
        <f>IF(AND(Table1[[#This Row],[Dias em Atraso]]&gt;0,Table1[[#This Row],[Status do Evento]]="pending",Table1[[#This Row],[Saldo Devedor Atualizado]]&lt;&gt;0),"PDD","")</f>
        <v/>
      </c>
      <c r="AD77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7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7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7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7" s="59" t="str">
        <f>IFERROR(Table1[[#This Row],[Valor Presente Liquido]]/ABS(Table1[[#This Row],[Saldo Devedor Atualizado]])-1,Table1[[#This Row],[Variação eventos %]])</f>
        <v/>
      </c>
      <c r="AI77" s="22">
        <f t="array" ref="AI77">MAX(IF(C:C=Table1[[#This Row],[Número Contrato]],I:I))</f>
        <v>44367</v>
      </c>
    </row>
    <row r="78" spans="1:35" x14ac:dyDescent="0.25">
      <c r="A78" s="2"/>
      <c r="B78" s="2">
        <v>1184</v>
      </c>
      <c r="C78" s="2" t="s">
        <v>2</v>
      </c>
      <c r="D78" s="2" t="s">
        <v>20</v>
      </c>
      <c r="E78" s="2" t="s">
        <v>21</v>
      </c>
      <c r="F78" s="12">
        <v>1.0149999999999999</v>
      </c>
      <c r="G78" s="2" t="s">
        <v>51</v>
      </c>
      <c r="H78" s="2" t="str">
        <f t="shared" si="17"/>
        <v>pending</v>
      </c>
      <c r="I78" s="3">
        <v>44094</v>
      </c>
      <c r="J78" s="13"/>
      <c r="K78" s="14">
        <v>11186.7</v>
      </c>
      <c r="L78" s="14">
        <v>9589.18</v>
      </c>
      <c r="M78" s="14">
        <v>1597.52</v>
      </c>
      <c r="N78" s="14">
        <v>103039.67</v>
      </c>
      <c r="O78" s="16">
        <v>1597.52</v>
      </c>
      <c r="P78" s="16">
        <v>104637.19</v>
      </c>
      <c r="Q78" s="3">
        <f t="shared" si="18"/>
        <v>43951</v>
      </c>
      <c r="R78" s="3"/>
      <c r="S78" s="15">
        <f t="shared" si="19"/>
        <v>0</v>
      </c>
      <c r="T78" s="15">
        <f>IF(AND(Table1[[#This Row],[Tipo de Evento]]="Amortization",Table1[[#This Row],[Status do Evento]]="realized"),Table1[[#This Row],[Data Realizada]]-Table1[[#This Row],[Agenda]],$B$1-Table1[[#This Row],[Agenda]])</f>
        <v>-143</v>
      </c>
      <c r="U78" s="16">
        <f t="shared" si="23"/>
        <v>0</v>
      </c>
      <c r="V78" s="16">
        <f t="shared" si="20"/>
        <v>0</v>
      </c>
      <c r="W78" s="16">
        <f t="shared" si="21"/>
        <v>0</v>
      </c>
      <c r="X78" s="52"/>
      <c r="Y78" s="17" t="str">
        <f t="shared" si="22"/>
        <v/>
      </c>
      <c r="Z78" s="20">
        <f>SUM($U$76,-SUM($V$76:V78))/$U$76-1</f>
        <v>-3.3184426176467108E-2</v>
      </c>
      <c r="AA78" s="43">
        <f t="shared" si="24"/>
        <v>4.9641025393465377E-4</v>
      </c>
      <c r="AB78" s="23">
        <f>IFERROR(Table1[[#This Row],[Principal]]/Table1[[#This Row],[Parcela]],1)</f>
        <v>0.85719470442579127</v>
      </c>
      <c r="AC78" s="55" t="str">
        <f>IF(AND(Table1[[#This Row],[Dias em Atraso]]&gt;0,Table1[[#This Row],[Status do Evento]]="pending",Table1[[#This Row],[Saldo Devedor Atualizado]]&lt;&gt;0),"PDD","")</f>
        <v/>
      </c>
      <c r="AD78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8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8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8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8" s="59" t="str">
        <f>IFERROR(Table1[[#This Row],[Valor Presente Liquido]]/ABS(Table1[[#This Row],[Saldo Devedor Atualizado]])-1,Table1[[#This Row],[Variação eventos %]])</f>
        <v/>
      </c>
      <c r="AI78" s="22">
        <f t="array" ref="AI78">MAX(IF(C:C=Table1[[#This Row],[Número Contrato]],I:I))</f>
        <v>44367</v>
      </c>
    </row>
    <row r="79" spans="1:35" x14ac:dyDescent="0.25">
      <c r="A79" s="2"/>
      <c r="B79" s="2">
        <v>1184</v>
      </c>
      <c r="C79" s="2" t="s">
        <v>2</v>
      </c>
      <c r="D79" s="2" t="s">
        <v>20</v>
      </c>
      <c r="E79" s="2" t="s">
        <v>21</v>
      </c>
      <c r="F79" s="12">
        <v>1.0149999999999999</v>
      </c>
      <c r="G79" s="2" t="s">
        <v>51</v>
      </c>
      <c r="H79" s="2" t="str">
        <f t="shared" si="17"/>
        <v>pending</v>
      </c>
      <c r="I79" s="3">
        <v>44124</v>
      </c>
      <c r="J79" s="13"/>
      <c r="K79" s="14">
        <v>11186.7</v>
      </c>
      <c r="L79" s="14">
        <v>9784.94</v>
      </c>
      <c r="M79" s="14">
        <v>1401.76</v>
      </c>
      <c r="N79" s="14">
        <v>93450.49</v>
      </c>
      <c r="O79" s="16">
        <v>1401.7573500000301</v>
      </c>
      <c r="P79" s="16">
        <v>94852.25</v>
      </c>
      <c r="Q79" s="3">
        <f t="shared" si="18"/>
        <v>43951</v>
      </c>
      <c r="R79" s="3"/>
      <c r="S79" s="15">
        <f>IF(A79="C",Q79-EDATE(Q79,-1),IF(G79="Amortization",Q79-Q78,""))</f>
        <v>0</v>
      </c>
      <c r="T79" s="15">
        <f>IF(AND(Table1[[#This Row],[Tipo de Evento]]="Amortization",Table1[[#This Row],[Status do Evento]]="realized"),Table1[[#This Row],[Data Realizada]]-Table1[[#This Row],[Agenda]],$B$1-Table1[[#This Row],[Agenda]])</f>
        <v>-173</v>
      </c>
      <c r="U79" s="16">
        <f t="shared" si="23"/>
        <v>0</v>
      </c>
      <c r="V79" s="16">
        <f t="shared" si="20"/>
        <v>0</v>
      </c>
      <c r="W79" s="16">
        <f t="shared" si="21"/>
        <v>0</v>
      </c>
      <c r="X79" s="52"/>
      <c r="Y79" s="17" t="str">
        <f t="shared" si="22"/>
        <v/>
      </c>
      <c r="Z79" s="20">
        <f>SUM($U$76,-SUM($V$76:V79))/$U$76-1</f>
        <v>-3.3184426176467108E-2</v>
      </c>
      <c r="AA79" s="43">
        <f t="shared" si="24"/>
        <v>4.9641025393465377E-4</v>
      </c>
      <c r="AB79" s="23">
        <f>IFERROR(Table1[[#This Row],[Principal]]/Table1[[#This Row],[Parcela]],1)</f>
        <v>0.87469405633475461</v>
      </c>
      <c r="AC79" s="55" t="str">
        <f>IF(AND(Table1[[#This Row],[Dias em Atraso]]&gt;0,Table1[[#This Row],[Status do Evento]]="pending",Table1[[#This Row],[Saldo Devedor Atualizado]]&lt;&gt;0),"PDD","")</f>
        <v/>
      </c>
      <c r="AD79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79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79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79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79" s="59" t="str">
        <f>IFERROR(Table1[[#This Row],[Valor Presente Liquido]]/ABS(Table1[[#This Row],[Saldo Devedor Atualizado]])-1,Table1[[#This Row],[Variação eventos %]])</f>
        <v/>
      </c>
      <c r="AI79" s="22">
        <f t="array" ref="AI79">MAX(IF(C:C=Table1[[#This Row],[Número Contrato]],I:I))</f>
        <v>44367</v>
      </c>
    </row>
    <row r="80" spans="1:35" x14ac:dyDescent="0.25">
      <c r="A80" s="2"/>
      <c r="B80" s="2">
        <v>1184</v>
      </c>
      <c r="C80" s="2" t="s">
        <v>2</v>
      </c>
      <c r="D80" s="2" t="s">
        <v>20</v>
      </c>
      <c r="E80" s="2" t="s">
        <v>21</v>
      </c>
      <c r="F80" s="12">
        <v>1.0149999999999999</v>
      </c>
      <c r="G80" s="2" t="s">
        <v>51</v>
      </c>
      <c r="H80" s="2" t="str">
        <f t="shared" si="17"/>
        <v>pending</v>
      </c>
      <c r="I80" s="3">
        <v>44155</v>
      </c>
      <c r="J80" s="13"/>
      <c r="K80" s="14">
        <v>11186.7</v>
      </c>
      <c r="L80" s="14">
        <v>9889.56</v>
      </c>
      <c r="M80" s="14">
        <v>1297.1400000000001</v>
      </c>
      <c r="N80" s="14">
        <v>83665.55</v>
      </c>
      <c r="O80" s="16">
        <v>1297.1386734749201</v>
      </c>
      <c r="P80" s="16">
        <v>84962.69</v>
      </c>
      <c r="Q80" s="3">
        <f t="shared" si="18"/>
        <v>43951</v>
      </c>
      <c r="R80" s="3"/>
      <c r="S80" s="15">
        <f t="shared" si="19"/>
        <v>0</v>
      </c>
      <c r="T80" s="15">
        <f>IF(AND(Table1[[#This Row],[Tipo de Evento]]="Amortization",Table1[[#This Row],[Status do Evento]]="realized"),Table1[[#This Row],[Data Realizada]]-Table1[[#This Row],[Agenda]],$B$1-Table1[[#This Row],[Agenda]])</f>
        <v>-204</v>
      </c>
      <c r="U80" s="16">
        <f t="shared" si="23"/>
        <v>0</v>
      </c>
      <c r="V80" s="16">
        <f t="shared" si="20"/>
        <v>0</v>
      </c>
      <c r="W80" s="16">
        <f t="shared" si="21"/>
        <v>0</v>
      </c>
      <c r="X80" s="52"/>
      <c r="Y80" s="17" t="str">
        <f t="shared" si="22"/>
        <v/>
      </c>
      <c r="Z80" s="20">
        <f>SUM($U$76,-SUM($V$76:V80))/$U$76-1</f>
        <v>-3.3184426176467108E-2</v>
      </c>
      <c r="AA80" s="43">
        <f t="shared" si="24"/>
        <v>4.9641025393465377E-4</v>
      </c>
      <c r="AB80" s="23">
        <f>IFERROR(Table1[[#This Row],[Principal]]/Table1[[#This Row],[Parcela]],1)</f>
        <v>0.8840462334736785</v>
      </c>
      <c r="AC80" s="55" t="str">
        <f>IF(AND(Table1[[#This Row],[Dias em Atraso]]&gt;0,Table1[[#This Row],[Status do Evento]]="pending",Table1[[#This Row],[Saldo Devedor Atualizado]]&lt;&gt;0),"PDD","")</f>
        <v/>
      </c>
      <c r="AD80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80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80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80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80" s="59" t="str">
        <f>IFERROR(Table1[[#This Row],[Valor Presente Liquido]]/ABS(Table1[[#This Row],[Saldo Devedor Atualizado]])-1,Table1[[#This Row],[Variação eventos %]])</f>
        <v/>
      </c>
      <c r="AI80" s="22">
        <f t="array" ref="AI80">MAX(IF(C:C=Table1[[#This Row],[Número Contrato]],I:I))</f>
        <v>44367</v>
      </c>
    </row>
    <row r="81" spans="1:35" x14ac:dyDescent="0.25">
      <c r="A81" s="2"/>
      <c r="B81" s="2">
        <v>1184</v>
      </c>
      <c r="C81" s="2" t="s">
        <v>2</v>
      </c>
      <c r="D81" s="2" t="s">
        <v>20</v>
      </c>
      <c r="E81" s="2" t="s">
        <v>21</v>
      </c>
      <c r="F81" s="12">
        <v>1.0149999999999999</v>
      </c>
      <c r="G81" s="2" t="s">
        <v>51</v>
      </c>
      <c r="H81" s="2" t="str">
        <f t="shared" si="17"/>
        <v>pending</v>
      </c>
      <c r="I81" s="3">
        <v>44185</v>
      </c>
      <c r="J81" s="13"/>
      <c r="K81" s="14">
        <v>11186.7</v>
      </c>
      <c r="L81" s="14">
        <v>10080.06</v>
      </c>
      <c r="M81" s="14">
        <v>1106.6400000000001</v>
      </c>
      <c r="N81" s="14">
        <v>73775.990000000005</v>
      </c>
      <c r="O81" s="16">
        <v>1106.63985000003</v>
      </c>
      <c r="P81" s="16">
        <v>74882.63</v>
      </c>
      <c r="Q81" s="3">
        <f t="shared" si="18"/>
        <v>43951</v>
      </c>
      <c r="R81" s="3"/>
      <c r="S81" s="15">
        <f t="shared" si="19"/>
        <v>0</v>
      </c>
      <c r="T81" s="15">
        <f>IF(AND(Table1[[#This Row],[Tipo de Evento]]="Amortization",Table1[[#This Row],[Status do Evento]]="realized"),Table1[[#This Row],[Data Realizada]]-Table1[[#This Row],[Agenda]],$B$1-Table1[[#This Row],[Agenda]])</f>
        <v>-234</v>
      </c>
      <c r="U81" s="16">
        <f t="shared" si="23"/>
        <v>0</v>
      </c>
      <c r="V81" s="16">
        <f t="shared" si="20"/>
        <v>0</v>
      </c>
      <c r="W81" s="16">
        <f t="shared" si="21"/>
        <v>0</v>
      </c>
      <c r="X81" s="52"/>
      <c r="Y81" s="17" t="str">
        <f t="shared" si="22"/>
        <v/>
      </c>
      <c r="Z81" s="20">
        <f>SUM($U$76,-SUM($V$76:V81))/$U$76-1</f>
        <v>-3.3184426176467108E-2</v>
      </c>
      <c r="AA81" s="43">
        <f t="shared" si="24"/>
        <v>4.9641025393465377E-4</v>
      </c>
      <c r="AB81" s="23">
        <f>IFERROR(Table1[[#This Row],[Principal]]/Table1[[#This Row],[Parcela]],1)</f>
        <v>0.90107538416154886</v>
      </c>
      <c r="AC81" s="55" t="str">
        <f>IF(AND(Table1[[#This Row],[Dias em Atraso]]&gt;0,Table1[[#This Row],[Status do Evento]]="pending",Table1[[#This Row],[Saldo Devedor Atualizado]]&lt;&gt;0),"PDD","")</f>
        <v/>
      </c>
      <c r="AD81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81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81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81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81" s="59" t="str">
        <f>IFERROR(Table1[[#This Row],[Valor Presente Liquido]]/ABS(Table1[[#This Row],[Saldo Devedor Atualizado]])-1,Table1[[#This Row],[Variação eventos %]])</f>
        <v/>
      </c>
      <c r="AI81" s="22">
        <f t="array" ref="AI81">MAX(IF(C:C=Table1[[#This Row],[Número Contrato]],I:I))</f>
        <v>44367</v>
      </c>
    </row>
    <row r="82" spans="1:35" x14ac:dyDescent="0.25">
      <c r="A82" s="2"/>
      <c r="B82" s="2">
        <v>1184</v>
      </c>
      <c r="C82" s="2" t="s">
        <v>2</v>
      </c>
      <c r="D82" s="2" t="s">
        <v>20</v>
      </c>
      <c r="E82" s="2" t="s">
        <v>21</v>
      </c>
      <c r="F82" s="12">
        <v>1.0149999999999999</v>
      </c>
      <c r="G82" s="2" t="s">
        <v>51</v>
      </c>
      <c r="H82" s="2" t="str">
        <f t="shared" si="17"/>
        <v>pending</v>
      </c>
      <c r="I82" s="3">
        <v>44216</v>
      </c>
      <c r="J82" s="13"/>
      <c r="K82" s="14">
        <v>11186.7</v>
      </c>
      <c r="L82" s="14">
        <v>10199.16</v>
      </c>
      <c r="M82" s="14">
        <v>987.54000000000099</v>
      </c>
      <c r="N82" s="14">
        <v>63695.93</v>
      </c>
      <c r="O82" s="16">
        <v>987.53255247770505</v>
      </c>
      <c r="P82" s="16">
        <v>64683.47</v>
      </c>
      <c r="Q82" s="3">
        <f t="shared" si="18"/>
        <v>43951</v>
      </c>
      <c r="R82" s="3"/>
      <c r="S82" s="15">
        <f t="shared" si="19"/>
        <v>0</v>
      </c>
      <c r="T82" s="15">
        <f>IF(AND(Table1[[#This Row],[Tipo de Evento]]="Amortization",Table1[[#This Row],[Status do Evento]]="realized"),Table1[[#This Row],[Data Realizada]]-Table1[[#This Row],[Agenda]],$B$1-Table1[[#This Row],[Agenda]])</f>
        <v>-265</v>
      </c>
      <c r="U82" s="16">
        <f t="shared" si="23"/>
        <v>0</v>
      </c>
      <c r="V82" s="16">
        <f t="shared" si="20"/>
        <v>0</v>
      </c>
      <c r="W82" s="16">
        <f t="shared" si="21"/>
        <v>0</v>
      </c>
      <c r="X82" s="52"/>
      <c r="Y82" s="17" t="str">
        <f t="shared" si="22"/>
        <v/>
      </c>
      <c r="Z82" s="20">
        <f>SUM($U$76,-SUM($V$76:V82))/$U$76-1</f>
        <v>-3.3184426176467108E-2</v>
      </c>
      <c r="AA82" s="43">
        <f t="shared" si="24"/>
        <v>4.9641025393465377E-4</v>
      </c>
      <c r="AB82" s="23">
        <f>IFERROR(Table1[[#This Row],[Principal]]/Table1[[#This Row],[Parcela]],1)</f>
        <v>0.91172195553648527</v>
      </c>
      <c r="AC82" s="55" t="str">
        <f>IF(AND(Table1[[#This Row],[Dias em Atraso]]&gt;0,Table1[[#This Row],[Status do Evento]]="pending",Table1[[#This Row],[Saldo Devedor Atualizado]]&lt;&gt;0),"PDD","")</f>
        <v/>
      </c>
      <c r="AD82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82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82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82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82" s="59" t="str">
        <f>IFERROR(Table1[[#This Row],[Valor Presente Liquido]]/ABS(Table1[[#This Row],[Saldo Devedor Atualizado]])-1,Table1[[#This Row],[Variação eventos %]])</f>
        <v/>
      </c>
      <c r="AI82" s="22">
        <f t="array" ref="AI82">MAX(IF(C:C=Table1[[#This Row],[Número Contrato]],I:I))</f>
        <v>44367</v>
      </c>
    </row>
    <row r="83" spans="1:35" x14ac:dyDescent="0.25">
      <c r="A83" s="2"/>
      <c r="B83" s="2">
        <v>1184</v>
      </c>
      <c r="C83" s="2" t="s">
        <v>2</v>
      </c>
      <c r="D83" s="2" t="s">
        <v>20</v>
      </c>
      <c r="E83" s="2" t="s">
        <v>21</v>
      </c>
      <c r="F83" s="12">
        <v>1.0149999999999999</v>
      </c>
      <c r="G83" s="2" t="s">
        <v>51</v>
      </c>
      <c r="H83" s="2" t="str">
        <f t="shared" si="17"/>
        <v>pending</v>
      </c>
      <c r="I83" s="3">
        <v>44247</v>
      </c>
      <c r="J83" s="13"/>
      <c r="K83" s="14">
        <v>11186.7</v>
      </c>
      <c r="L83" s="14">
        <v>10357.290000000001</v>
      </c>
      <c r="M83" s="14">
        <v>829.41</v>
      </c>
      <c r="N83" s="14">
        <v>53496.77</v>
      </c>
      <c r="O83" s="16">
        <v>829.40624035810004</v>
      </c>
      <c r="P83" s="16">
        <v>54326.18</v>
      </c>
      <c r="Q83" s="3">
        <f t="shared" si="18"/>
        <v>43951</v>
      </c>
      <c r="R83" s="3"/>
      <c r="S83" s="15">
        <f t="shared" si="19"/>
        <v>0</v>
      </c>
      <c r="T83" s="15">
        <f>IF(AND(Table1[[#This Row],[Tipo de Evento]]="Amortization",Table1[[#This Row],[Status do Evento]]="realized"),Table1[[#This Row],[Data Realizada]]-Table1[[#This Row],[Agenda]],$B$1-Table1[[#This Row],[Agenda]])</f>
        <v>-296</v>
      </c>
      <c r="U83" s="16">
        <f t="shared" si="23"/>
        <v>0</v>
      </c>
      <c r="V83" s="16">
        <f t="shared" si="20"/>
        <v>0</v>
      </c>
      <c r="W83" s="16">
        <f t="shared" si="21"/>
        <v>0</v>
      </c>
      <c r="X83" s="52"/>
      <c r="Y83" s="17" t="str">
        <f t="shared" si="22"/>
        <v/>
      </c>
      <c r="Z83" s="20">
        <f>SUM($U$76,-SUM($V$76:V83))/$U$76-1</f>
        <v>-3.3184426176467108E-2</v>
      </c>
      <c r="AA83" s="43">
        <f t="shared" si="24"/>
        <v>4.9641025393465377E-4</v>
      </c>
      <c r="AB83" s="23">
        <f>IFERROR(Table1[[#This Row],[Principal]]/Table1[[#This Row],[Parcela]],1)</f>
        <v>0.92585749148542462</v>
      </c>
      <c r="AC83" s="55" t="str">
        <f>IF(AND(Table1[[#This Row],[Dias em Atraso]]&gt;0,Table1[[#This Row],[Status do Evento]]="pending",Table1[[#This Row],[Saldo Devedor Atualizado]]&lt;&gt;0),"PDD","")</f>
        <v/>
      </c>
      <c r="AD83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83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83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83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83" s="59" t="str">
        <f>IFERROR(Table1[[#This Row],[Valor Presente Liquido]]/ABS(Table1[[#This Row],[Saldo Devedor Atualizado]])-1,Table1[[#This Row],[Variação eventos %]])</f>
        <v/>
      </c>
      <c r="AI83" s="22">
        <f t="array" ref="AI83">MAX(IF(C:C=Table1[[#This Row],[Número Contrato]],I:I))</f>
        <v>44367</v>
      </c>
    </row>
    <row r="84" spans="1:35" x14ac:dyDescent="0.25">
      <c r="A84" s="2"/>
      <c r="B84" s="2">
        <v>1184</v>
      </c>
      <c r="C84" s="2" t="s">
        <v>2</v>
      </c>
      <c r="D84" s="2" t="s">
        <v>20</v>
      </c>
      <c r="E84" s="2" t="s">
        <v>21</v>
      </c>
      <c r="F84" s="12">
        <v>1.0149999999999999</v>
      </c>
      <c r="G84" s="2" t="s">
        <v>51</v>
      </c>
      <c r="H84" s="2" t="str">
        <f t="shared" si="17"/>
        <v>pending</v>
      </c>
      <c r="I84" s="3">
        <v>44275</v>
      </c>
      <c r="J84" s="13"/>
      <c r="K84" s="14">
        <v>11186.7</v>
      </c>
      <c r="L84" s="14">
        <v>10583.04</v>
      </c>
      <c r="M84" s="14">
        <v>603.66</v>
      </c>
      <c r="N84" s="14">
        <v>43139.48</v>
      </c>
      <c r="O84" s="16">
        <v>603.65234181258904</v>
      </c>
      <c r="P84" s="16">
        <v>43743.14</v>
      </c>
      <c r="Q84" s="3">
        <f t="shared" si="18"/>
        <v>43951</v>
      </c>
      <c r="R84" s="3"/>
      <c r="S84" s="15">
        <f t="shared" si="19"/>
        <v>0</v>
      </c>
      <c r="T84" s="15">
        <f>IF(AND(Table1[[#This Row],[Tipo de Evento]]="Amortization",Table1[[#This Row],[Status do Evento]]="realized"),Table1[[#This Row],[Data Realizada]]-Table1[[#This Row],[Agenda]],$B$1-Table1[[#This Row],[Agenda]])</f>
        <v>-324</v>
      </c>
      <c r="U84" s="16">
        <f t="shared" si="23"/>
        <v>0</v>
      </c>
      <c r="V84" s="16">
        <f t="shared" si="20"/>
        <v>0</v>
      </c>
      <c r="W84" s="16">
        <f t="shared" si="21"/>
        <v>0</v>
      </c>
      <c r="X84" s="52"/>
      <c r="Y84" s="17" t="str">
        <f t="shared" si="22"/>
        <v/>
      </c>
      <c r="Z84" s="20">
        <f>SUM($U$76,-SUM($V$76:V84))/$U$76-1</f>
        <v>-3.3184426176467108E-2</v>
      </c>
      <c r="AA84" s="43">
        <f t="shared" si="24"/>
        <v>4.9641025393465377E-4</v>
      </c>
      <c r="AB84" s="23">
        <f>IFERROR(Table1[[#This Row],[Principal]]/Table1[[#This Row],[Parcela]],1)</f>
        <v>0.94603770548955457</v>
      </c>
      <c r="AC84" s="55" t="str">
        <f>IF(AND(Table1[[#This Row],[Dias em Atraso]]&gt;0,Table1[[#This Row],[Status do Evento]]="pending",Table1[[#This Row],[Saldo Devedor Atualizado]]&lt;&gt;0),"PDD","")</f>
        <v/>
      </c>
      <c r="AD84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84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84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84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84" s="59" t="str">
        <f>IFERROR(Table1[[#This Row],[Valor Presente Liquido]]/ABS(Table1[[#This Row],[Saldo Devedor Atualizado]])-1,Table1[[#This Row],[Variação eventos %]])</f>
        <v/>
      </c>
      <c r="AI84" s="22">
        <f t="array" ref="AI84">MAX(IF(C:C=Table1[[#This Row],[Número Contrato]],I:I))</f>
        <v>44367</v>
      </c>
    </row>
    <row r="85" spans="1:35" x14ac:dyDescent="0.25">
      <c r="A85" s="2"/>
      <c r="B85" s="2">
        <v>1184</v>
      </c>
      <c r="C85" s="2" t="s">
        <v>2</v>
      </c>
      <c r="D85" s="2" t="s">
        <v>20</v>
      </c>
      <c r="E85" s="2" t="s">
        <v>21</v>
      </c>
      <c r="F85" s="12">
        <v>1.0149999999999999</v>
      </c>
      <c r="G85" s="2" t="s">
        <v>51</v>
      </c>
      <c r="H85" s="2" t="str">
        <f t="shared" si="17"/>
        <v>pending</v>
      </c>
      <c r="I85" s="3">
        <v>44306</v>
      </c>
      <c r="J85" s="13"/>
      <c r="K85" s="14">
        <v>11186.7</v>
      </c>
      <c r="L85" s="14">
        <v>10681.95</v>
      </c>
      <c r="M85" s="14">
        <v>504.75</v>
      </c>
      <c r="N85" s="14">
        <v>32556.44</v>
      </c>
      <c r="O85" s="16">
        <v>504.750370907329</v>
      </c>
      <c r="P85" s="16">
        <v>33061.19</v>
      </c>
      <c r="Q85" s="3">
        <f t="shared" si="18"/>
        <v>43951</v>
      </c>
      <c r="R85" s="3"/>
      <c r="S85" s="15">
        <f t="shared" si="19"/>
        <v>0</v>
      </c>
      <c r="T85" s="15">
        <f>IF(AND(Table1[[#This Row],[Tipo de Evento]]="Amortization",Table1[[#This Row],[Status do Evento]]="realized"),Table1[[#This Row],[Data Realizada]]-Table1[[#This Row],[Agenda]],$B$1-Table1[[#This Row],[Agenda]])</f>
        <v>-355</v>
      </c>
      <c r="U85" s="16">
        <f t="shared" si="23"/>
        <v>0</v>
      </c>
      <c r="V85" s="16">
        <f t="shared" si="20"/>
        <v>0</v>
      </c>
      <c r="W85" s="16">
        <f t="shared" si="21"/>
        <v>0</v>
      </c>
      <c r="X85" s="52"/>
      <c r="Y85" s="17" t="str">
        <f t="shared" si="22"/>
        <v/>
      </c>
      <c r="Z85" s="20">
        <f>SUM($U$76,-SUM($V$76:V85))/$U$76-1</f>
        <v>-3.3184426176467108E-2</v>
      </c>
      <c r="AA85" s="43">
        <f t="shared" si="24"/>
        <v>4.9641025393465377E-4</v>
      </c>
      <c r="AB85" s="23">
        <f>IFERROR(Table1[[#This Row],[Principal]]/Table1[[#This Row],[Parcela]],1)</f>
        <v>0.95487945506717797</v>
      </c>
      <c r="AC85" s="55" t="str">
        <f>IF(AND(Table1[[#This Row],[Dias em Atraso]]&gt;0,Table1[[#This Row],[Status do Evento]]="pending",Table1[[#This Row],[Saldo Devedor Atualizado]]&lt;&gt;0),"PDD","")</f>
        <v/>
      </c>
      <c r="AD85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85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85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85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85" s="59" t="str">
        <f>IFERROR(Table1[[#This Row],[Valor Presente Liquido]]/ABS(Table1[[#This Row],[Saldo Devedor Atualizado]])-1,Table1[[#This Row],[Variação eventos %]])</f>
        <v/>
      </c>
      <c r="AI85" s="22">
        <f t="array" ref="AI85">MAX(IF(C:C=Table1[[#This Row],[Número Contrato]],I:I))</f>
        <v>44367</v>
      </c>
    </row>
    <row r="86" spans="1:35" x14ac:dyDescent="0.25">
      <c r="A86" s="2"/>
      <c r="B86" s="2">
        <v>1184</v>
      </c>
      <c r="C86" s="2" t="s">
        <v>2</v>
      </c>
      <c r="D86" s="2" t="s">
        <v>20</v>
      </c>
      <c r="E86" s="2" t="s">
        <v>21</v>
      </c>
      <c r="F86" s="12">
        <v>1.0149999999999999</v>
      </c>
      <c r="G86" s="2" t="s">
        <v>51</v>
      </c>
      <c r="H86" s="2" t="str">
        <f t="shared" si="17"/>
        <v>pending</v>
      </c>
      <c r="I86" s="3">
        <v>44336</v>
      </c>
      <c r="J86" s="13"/>
      <c r="K86" s="14">
        <v>11186.7</v>
      </c>
      <c r="L86" s="14">
        <v>10858.58</v>
      </c>
      <c r="M86" s="14">
        <v>328.12000000000103</v>
      </c>
      <c r="N86" s="14">
        <v>21874.49</v>
      </c>
      <c r="O86" s="16">
        <v>328.11735000000698</v>
      </c>
      <c r="P86" s="16">
        <v>22202.61</v>
      </c>
      <c r="Q86" s="3">
        <f t="shared" si="18"/>
        <v>43951</v>
      </c>
      <c r="R86" s="3"/>
      <c r="S86" s="15">
        <f t="shared" si="19"/>
        <v>0</v>
      </c>
      <c r="T86" s="15">
        <f>IF(AND(Table1[[#This Row],[Tipo de Evento]]="Amortization",Table1[[#This Row],[Status do Evento]]="realized"),Table1[[#This Row],[Data Realizada]]-Table1[[#This Row],[Agenda]],$B$1-Table1[[#This Row],[Agenda]])</f>
        <v>-385</v>
      </c>
      <c r="U86" s="16">
        <f t="shared" si="23"/>
        <v>0</v>
      </c>
      <c r="V86" s="16">
        <f t="shared" si="20"/>
        <v>0</v>
      </c>
      <c r="W86" s="16">
        <f t="shared" si="21"/>
        <v>0</v>
      </c>
      <c r="X86" s="52"/>
      <c r="Y86" s="17" t="str">
        <f t="shared" si="22"/>
        <v/>
      </c>
      <c r="Z86" s="20">
        <f>SUM($U$76,-SUM($V$76:V86))/$U$76-1</f>
        <v>-3.3184426176467108E-2</v>
      </c>
      <c r="AA86" s="43">
        <f t="shared" si="24"/>
        <v>4.9641025393465377E-4</v>
      </c>
      <c r="AB86" s="23">
        <f>IFERROR(Table1[[#This Row],[Principal]]/Table1[[#This Row],[Parcela]],1)</f>
        <v>0.97066874055798391</v>
      </c>
      <c r="AC86" s="55" t="str">
        <f>IF(AND(Table1[[#This Row],[Dias em Atraso]]&gt;0,Table1[[#This Row],[Status do Evento]]="pending",Table1[[#This Row],[Saldo Devedor Atualizado]]&lt;&gt;0),"PDD","")</f>
        <v/>
      </c>
      <c r="AD86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86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86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86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86" s="59" t="str">
        <f>IFERROR(Table1[[#This Row],[Valor Presente Liquido]]/ABS(Table1[[#This Row],[Saldo Devedor Atualizado]])-1,Table1[[#This Row],[Variação eventos %]])</f>
        <v/>
      </c>
      <c r="AI86" s="22">
        <f t="array" ref="AI86">MAX(IF(C:C=Table1[[#This Row],[Número Contrato]],I:I))</f>
        <v>44367</v>
      </c>
    </row>
    <row r="87" spans="1:35" x14ac:dyDescent="0.25">
      <c r="A87" s="2"/>
      <c r="B87" s="2">
        <v>1184</v>
      </c>
      <c r="C87" s="2" t="s">
        <v>2</v>
      </c>
      <c r="D87" s="2" t="s">
        <v>20</v>
      </c>
      <c r="E87" s="2" t="s">
        <v>21</v>
      </c>
      <c r="F87" s="12">
        <v>1.0149999999999999</v>
      </c>
      <c r="G87" s="2" t="s">
        <v>51</v>
      </c>
      <c r="H87" s="2" t="str">
        <f t="shared" si="17"/>
        <v>pending</v>
      </c>
      <c r="I87" s="3">
        <v>44367</v>
      </c>
      <c r="J87" s="14"/>
      <c r="K87" s="14">
        <v>11186.7</v>
      </c>
      <c r="L87" s="14">
        <v>11015.91</v>
      </c>
      <c r="M87" s="14">
        <v>170.79000000000099</v>
      </c>
      <c r="N87" s="14">
        <v>11015.91</v>
      </c>
      <c r="O87" s="16">
        <v>170.78908684063001</v>
      </c>
      <c r="P87" s="16">
        <v>11186.7</v>
      </c>
      <c r="Q87" s="3">
        <f t="shared" si="18"/>
        <v>43951</v>
      </c>
      <c r="R87" s="3"/>
      <c r="S87" s="15">
        <f t="shared" si="19"/>
        <v>0</v>
      </c>
      <c r="T87" s="15">
        <f>IF(AND(Table1[[#This Row],[Tipo de Evento]]="Amortization",Table1[[#This Row],[Status do Evento]]="realized"),Table1[[#This Row],[Data Realizada]]-Table1[[#This Row],[Agenda]],$B$1-Table1[[#This Row],[Agenda]])</f>
        <v>-416</v>
      </c>
      <c r="U87" s="16">
        <f t="shared" si="23"/>
        <v>0</v>
      </c>
      <c r="V87" s="16">
        <f t="shared" si="20"/>
        <v>0</v>
      </c>
      <c r="W87" s="16">
        <f t="shared" si="21"/>
        <v>0</v>
      </c>
      <c r="X87" s="52"/>
      <c r="Y87" s="17" t="str">
        <f t="shared" si="22"/>
        <v/>
      </c>
      <c r="Z87" s="20">
        <f>SUM($U$76,-SUM($V$76:V87))/$U$76-1</f>
        <v>-3.3184426176467108E-2</v>
      </c>
      <c r="AA87" s="43">
        <f t="shared" si="24"/>
        <v>4.9641025393465377E-4</v>
      </c>
      <c r="AB87" s="23">
        <f>IFERROR(Table1[[#This Row],[Principal]]/Table1[[#This Row],[Parcela]],1)</f>
        <v>0.98473276301322099</v>
      </c>
      <c r="AC87" s="55" t="str">
        <f>IF(AND(Table1[[#This Row],[Dias em Atraso]]&gt;0,Table1[[#This Row],[Status do Evento]]="pending",Table1[[#This Row],[Saldo Devedor Atualizado]]&lt;&gt;0),"PDD","")</f>
        <v/>
      </c>
      <c r="AD87" s="55" t="str">
        <f>IF(Table1[[#This Row],[PDD Flag]]="","",IF(Table1[[#This Row],[Dias em Atraso]]=1,"A",IF(AND(Table1[[#This Row],[Dias em Atraso]]&gt;=2,Table1[[#This Row],[Dias em Atraso]]&lt;=30),"B",IF(AND(Table1[[#This Row],[Dias em Atraso]]&gt;=31,Table1[[#This Row],[Dias em Atraso]]&lt;=60),"C",IF(AND(Table1[[#This Row],[Dias em Atraso]]&gt;=61,Table1[[#This Row],[Dias em Atraso]]&lt;=90),"D",IF(AND(Table1[[#This Row],[Dias em Atraso]]&gt;=91,Table1[[#This Row],[Dias em Atraso]]&lt;=120),"E",IF(Table1[[#This Row],[Dias em Atraso]]&gt;120,"F","")))))))</f>
        <v/>
      </c>
      <c r="AE87" s="58" t="str">
        <f>IF(Table1[[#This Row],[PDD Nota]]="","",IF(Table1[PDD Nota]="A",0,IF(Table1[PDD Nota]="B",0.05,IF(Table1[PDD Nota]="C",0.1,IF(Table1[PDD Nota]="D",0.35,IF(Table1[PDD Nota]="E",0.7,IF(Table1[PDD Nota]="F",1,"")))))))</f>
        <v/>
      </c>
      <c r="AF87" s="13" t="str">
        <f>IFERROR(IF($B$1&gt;Table1[[#This Row],[Data Vencimento - Última Pacela]],Table1[[#This Row],[Saldo Devedor Atualizado Data Vencimento]]*Table1[[#This Row],[PDD Fator]],Table1[[#This Row],[PDD Fator]]*Table1[[#This Row],[Saldo Devedor Atualizado]]),"")</f>
        <v/>
      </c>
      <c r="AG87" s="13" t="str">
        <f>IFERROR(IF($B$1&gt;Table1[[#This Row],[Data Vencimento - Última Pacela]],Table1[[#This Row],[Saldo Devedor Atualizado Data Vencimento]]-Table1[[#This Row],[Provisão]],Table1[[#This Row],[Saldo Devedor Atualizado]]-Table1[[#This Row],[Provisão]]),"")</f>
        <v/>
      </c>
      <c r="AH87" s="59" t="str">
        <f>IFERROR(Table1[[#This Row],[Valor Presente Liquido]]/ABS(Table1[[#This Row],[Saldo Devedor Atualizado]])-1,Table1[[#This Row],[Variação eventos %]])</f>
        <v/>
      </c>
      <c r="AI87" s="22">
        <f t="array" ref="AI87">MAX(IF(C:C=Table1[[#This Row],[Número Contrato]],I:I))</f>
        <v>44367</v>
      </c>
    </row>
    <row r="88" spans="1:35" x14ac:dyDescent="0.25">
      <c r="A88" s="2"/>
      <c r="B88" s="2"/>
      <c r="C88" s="2"/>
      <c r="D88" s="2"/>
      <c r="E88" s="2"/>
      <c r="F88" s="12"/>
      <c r="G88" s="2"/>
      <c r="H88" s="2"/>
      <c r="I88" s="3"/>
      <c r="J88" s="14">
        <f>SUM(J3:J87)</f>
        <v>-1061008.4500000002</v>
      </c>
      <c r="K88" s="14">
        <f>SUM(K4:K87)</f>
        <v>1289556.69</v>
      </c>
      <c r="L88" s="14"/>
      <c r="M88" s="14"/>
      <c r="N88" s="14"/>
      <c r="O88" s="68"/>
      <c r="P88" s="68"/>
      <c r="Q88" s="3"/>
      <c r="R88" s="3"/>
      <c r="S88" s="15"/>
      <c r="T88" s="15"/>
      <c r="U88" s="68"/>
      <c r="V88" s="68"/>
      <c r="W88" s="68"/>
      <c r="X88" s="69"/>
      <c r="Y88" s="70"/>
      <c r="Z88" s="70"/>
      <c r="AA88" s="71"/>
      <c r="AB88" s="72"/>
      <c r="AC88" s="73"/>
      <c r="AD88" s="73"/>
      <c r="AE88" s="74"/>
      <c r="AF88" s="68"/>
      <c r="AG88" s="68"/>
      <c r="AH88" s="75"/>
      <c r="AI88"/>
    </row>
    <row r="89" spans="1:35" x14ac:dyDescent="0.25">
      <c r="K89" s="60">
        <f>-Table1[[#Totals],[Parcela]]/Table1[[#Totals],[Valor Desembolsado]]-1</f>
        <v>0.21540661622440394</v>
      </c>
    </row>
    <row r="90" spans="1:35" x14ac:dyDescent="0.25">
      <c r="K90" s="7"/>
    </row>
    <row r="91" spans="1:35" x14ac:dyDescent="0.25">
      <c r="K91" s="7"/>
    </row>
  </sheetData>
  <conditionalFormatting sqref="I1:AB1048576">
    <cfRule type="cellIs" dxfId="129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01E9-F271-4567-9B35-1E24313703ED}">
  <dimension ref="A1:AI269"/>
  <sheetViews>
    <sheetView tabSelected="1" zoomScale="130" zoomScaleNormal="130" workbookViewId="0">
      <selection activeCell="A11" sqref="A11"/>
    </sheetView>
  </sheetViews>
  <sheetFormatPr defaultRowHeight="15" x14ac:dyDescent="0.25"/>
  <cols>
    <col min="1" max="1" width="13.42578125" style="2" customWidth="1"/>
    <col min="2" max="2" width="15.140625" style="2" bestFit="1" customWidth="1"/>
    <col min="3" max="3" width="14.7109375" style="2" customWidth="1"/>
    <col min="4" max="4" width="16.28515625" bestFit="1" customWidth="1"/>
    <col min="5" max="5" width="11.5703125" customWidth="1"/>
    <col min="6" max="6" width="13.7109375" customWidth="1"/>
    <col min="7" max="7" width="21.5703125" bestFit="1" customWidth="1"/>
    <col min="8" max="8" width="13.5703125" bestFit="1" customWidth="1"/>
    <col min="9" max="10" width="13.5703125" customWidth="1"/>
    <col min="11" max="11" width="13.5703125" hidden="1" customWidth="1"/>
    <col min="12" max="13" width="13.5703125" customWidth="1"/>
    <col min="14" max="14" width="16.140625" bestFit="1" customWidth="1"/>
    <col min="15" max="15" width="14.5703125" style="83" bestFit="1" customWidth="1"/>
    <col min="16" max="16" width="15" customWidth="1"/>
    <col min="17" max="17" width="15.42578125" style="65" customWidth="1"/>
    <col min="18" max="18" width="13.5703125" style="2" customWidth="1"/>
    <col min="19" max="19" width="16.5703125" style="2" customWidth="1"/>
    <col min="20" max="20" width="19.5703125" style="2" customWidth="1"/>
    <col min="21" max="21" width="13.5703125" style="2" customWidth="1"/>
    <col min="22" max="22" width="15.5703125" style="1" bestFit="1" customWidth="1"/>
    <col min="23" max="24" width="14.7109375" customWidth="1"/>
    <col min="25" max="25" width="14.5703125" bestFit="1" customWidth="1"/>
    <col min="26" max="26" width="14" customWidth="1"/>
    <col min="27" max="27" width="14.5703125" bestFit="1" customWidth="1"/>
    <col min="28" max="33" width="13.85546875" style="2" customWidth="1"/>
    <col min="34" max="34" width="14.5703125" style="2" bestFit="1" customWidth="1"/>
    <col min="35" max="35" width="12.85546875" style="2" bestFit="1" customWidth="1"/>
    <col min="36" max="16384" width="9.140625" style="2"/>
  </cols>
  <sheetData>
    <row r="1" spans="1:35" ht="49.5" customHeight="1" x14ac:dyDescent="0.25">
      <c r="A1" s="9" t="s">
        <v>56</v>
      </c>
      <c r="B1" s="9" t="s">
        <v>57</v>
      </c>
      <c r="C1" s="9" t="s">
        <v>58</v>
      </c>
      <c r="D1" s="47" t="s">
        <v>59</v>
      </c>
      <c r="E1" s="38" t="s">
        <v>60</v>
      </c>
      <c r="F1" s="41" t="s">
        <v>73</v>
      </c>
      <c r="G1" s="38" t="s">
        <v>61</v>
      </c>
      <c r="H1" s="37" t="s">
        <v>72</v>
      </c>
      <c r="I1" s="29" t="s">
        <v>82</v>
      </c>
      <c r="J1" s="29" t="s">
        <v>77</v>
      </c>
      <c r="K1" s="29" t="s">
        <v>74</v>
      </c>
      <c r="L1" s="29" t="s">
        <v>78</v>
      </c>
      <c r="M1" s="29" t="s">
        <v>81</v>
      </c>
      <c r="N1" s="29" t="s">
        <v>79</v>
      </c>
      <c r="O1" s="82" t="s">
        <v>80</v>
      </c>
      <c r="P1" s="29" t="s">
        <v>83</v>
      </c>
      <c r="Q1" s="63" t="s">
        <v>65</v>
      </c>
      <c r="R1" s="9" t="s">
        <v>76</v>
      </c>
      <c r="S1" s="9" t="s">
        <v>85</v>
      </c>
      <c r="T1" s="9" t="s">
        <v>88</v>
      </c>
      <c r="U1" s="42" t="s">
        <v>84</v>
      </c>
      <c r="V1" s="77" t="s">
        <v>98</v>
      </c>
      <c r="W1" s="29"/>
      <c r="X1" s="29"/>
      <c r="Y1" s="29"/>
      <c r="Z1" s="29"/>
      <c r="AA1" s="29"/>
      <c r="AB1" s="9"/>
      <c r="AC1" s="9"/>
      <c r="AD1" s="9"/>
      <c r="AE1" s="31"/>
    </row>
    <row r="2" spans="1:35" customFormat="1" x14ac:dyDescent="0.25">
      <c r="A2" s="3">
        <v>43943</v>
      </c>
      <c r="B2" s="2" t="s">
        <v>38</v>
      </c>
      <c r="C2" s="2" t="s">
        <v>63</v>
      </c>
      <c r="D2" s="34">
        <v>111972.43</v>
      </c>
      <c r="E2" s="33" t="s">
        <v>17</v>
      </c>
      <c r="F2" s="33"/>
      <c r="G2" s="39" t="s">
        <v>50</v>
      </c>
      <c r="H2" s="25" t="str">
        <f t="array" ref="H2">IFERROR(INDEX(Agenda!AA:AA,MATCH(1,('Lançamentos- Credito Débito'!E2=Agenda!C:C)*('Lançamentos- Credito Débito'!F2=Agenda!I:I),0)),"")</f>
        <v/>
      </c>
      <c r="I2" t="str">
        <f>IF(OR(G2="Amortization",G2="Fim de Mês"),A2-A1,"")</f>
        <v/>
      </c>
      <c r="J2" s="35" t="str">
        <f>IFERROR((1+H2)^I2-1,"")</f>
        <v/>
      </c>
      <c r="K2" s="40" t="e">
        <f t="array" ref="K2">INDEX(Agenda!AB:AB,MATCH(1,('Lançamentos- Credito Débito'!E2=Agenda!C:C)*('Lançamentos- Credito Débito'!F2=Agenda!I:I),0))</f>
        <v>#N/A</v>
      </c>
      <c r="L2" s="36" t="str">
        <f>IF(OR(G2="Amortization",G2="Fim de Mês"),K2*D2,"")</f>
        <v/>
      </c>
      <c r="M2" s="36" t="str">
        <f>IF(J2="","",D2*(1-K2))</f>
        <v/>
      </c>
      <c r="N2" s="1" t="str">
        <f>IF(E2=E1,O1,"")</f>
        <v/>
      </c>
      <c r="O2" s="81">
        <f t="array" ref="O2">IF(OR(G2="Amortization",G2="Fim de Mês"),(1+J2)*N2-D2,-INDEX(Agenda!J:J,MATCH(1,('Lançamentos- Credito Débito'!E2=Agenda!C:C)*('Lançamentos- Credito Débito'!G2=Agenda!G:G),0)))</f>
        <v>111972.43</v>
      </c>
      <c r="P2" s="44" t="str">
        <f>IF(J2="","",N2*J2)</f>
        <v/>
      </c>
      <c r="Q2" s="64" t="str">
        <f>IF(N2="","",N2+P2)</f>
        <v/>
      </c>
      <c r="R2" s="14" t="str">
        <f t="array" ref="R2">IF(F2="","",INDEX(Agenda!L:L,MATCH(1,('Lançamentos- Credito Débito'!E2=Agenda!C:C)*('Lançamentos- Credito Débito'!F2=Agenda!I:I),0)))</f>
        <v/>
      </c>
      <c r="S2" s="14" t="str">
        <f>IF(AND(F2=F1,J2&lt;&gt;""),S1+L2,L2)</f>
        <v/>
      </c>
      <c r="T2" s="14" t="str">
        <f>IF(R2="","",R2-S2)</f>
        <v/>
      </c>
      <c r="U2" s="62" t="str">
        <f>IF(S2="","",T2/K2)</f>
        <v/>
      </c>
      <c r="V2" s="78" t="str">
        <f>IFERROR(IF(F2=F1,V1,IF(F1&lt;&gt;"",U2+U1,0)),S2)</f>
        <v/>
      </c>
      <c r="AB2" s="14"/>
    </row>
    <row r="3" spans="1:35" x14ac:dyDescent="0.25">
      <c r="A3" s="3">
        <v>43951</v>
      </c>
      <c r="B3" s="2" t="s">
        <v>63</v>
      </c>
      <c r="C3" s="2" t="s">
        <v>38</v>
      </c>
      <c r="D3" s="34">
        <v>10395.07</v>
      </c>
      <c r="E3" s="33" t="s">
        <v>17</v>
      </c>
      <c r="F3" s="45">
        <v>43951</v>
      </c>
      <c r="G3" s="33" t="s">
        <v>51</v>
      </c>
      <c r="H3" s="25">
        <f t="array" ref="H3">IFERROR(INDEX(Agenda!AA:AA,MATCH(1,('Lançamentos- Credito Débito'!E3=Agenda!C:C)*('Lançamentos- Credito Débito'!F3=Agenda!I:I),0)),"")</f>
        <v>6.2758865942558195E-4</v>
      </c>
      <c r="I3">
        <f t="shared" ref="I3:I66" si="0">IF(OR(G3="Amortization",G3="Fim de Mês"),A3-A2,"")</f>
        <v>8</v>
      </c>
      <c r="J3" s="35">
        <f t="shared" ref="J3:J66" si="1">IFERROR((1+H3)^I3-1,"")</f>
        <v>5.0317514194420099E-3</v>
      </c>
      <c r="K3" s="40">
        <f t="array" ref="K3">INDEX(Agenda!AB:AB,MATCH(1,('Lançamentos- Credito Débito'!E3=Agenda!C:C)*('Lançamentos- Credito Débito'!F3=Agenda!I:I),0))</f>
        <v>0.94579930678677493</v>
      </c>
      <c r="L3" s="36">
        <f t="shared" ref="L3:L66" si="2">IF(OR(G3="Amortization",G3="Fim de Mês"),K3*D3,"")</f>
        <v>9831.65</v>
      </c>
      <c r="M3" s="36">
        <f t="shared" ref="M3:M66" si="3">IF(J3="","",D3*(1-K3))</f>
        <v>563.4199999999995</v>
      </c>
      <c r="N3" s="1">
        <f t="shared" ref="N3:N66" si="4">IF(E3=E2,O2,"")</f>
        <v>111972.43</v>
      </c>
      <c r="O3" s="81">
        <f t="array" ref="O3">IF(OR(G3="Amortization",G3="Fim de Mês"),(1+J3)*N3-D3,-INDEX(Agenda!J:J,MATCH(1,('Lançamentos- Credito Débito'!E3=Agenda!C:C)*('Lançamentos- Credito Débito'!G3=Agenda!G:G),0)))</f>
        <v>102140.77743359088</v>
      </c>
      <c r="P3" s="44">
        <f t="shared" ref="P3:P66" si="5">IF(J3="","",N3*J3)</f>
        <v>563.41743359087104</v>
      </c>
      <c r="Q3" s="64">
        <f t="shared" ref="Q3:Q66" si="6">IF(N3="","",N3+P3)</f>
        <v>112535.84743359087</v>
      </c>
      <c r="R3" s="14">
        <f t="array" ref="R3">IF(F3="","",INDEX(Agenda!L:L,MATCH(1,('Lançamentos- Credito Débito'!E3=Agenda!C:C)*('Lançamentos- Credito Débito'!F3=Agenda!I:I),0)))</f>
        <v>9831.65</v>
      </c>
      <c r="S3" s="14">
        <f t="shared" ref="S3:S66" si="7">IF(AND(F3=F2,J3&lt;&gt;""),S2+L3,L3)</f>
        <v>9831.65</v>
      </c>
      <c r="T3" s="14">
        <f t="shared" ref="T3:T66" si="8">IF(R3="","",R3-S3)</f>
        <v>0</v>
      </c>
      <c r="U3" s="62">
        <f t="shared" ref="U3:U66" si="9">IF(S3="","",T3/K3)</f>
        <v>0</v>
      </c>
      <c r="V3" s="78">
        <f t="shared" ref="V3:V66" si="10">IFERROR(IF(F3=F2,V2,IF(F2&lt;&gt;"",U3+U2,0)),S3)</f>
        <v>0</v>
      </c>
      <c r="W3" s="26"/>
      <c r="X3" s="26"/>
      <c r="Y3" s="26"/>
      <c r="Z3" s="26"/>
      <c r="AA3" s="26"/>
      <c r="AB3" s="14"/>
      <c r="AC3" s="14"/>
      <c r="AD3" s="14"/>
      <c r="AE3" s="16"/>
      <c r="AF3" s="14"/>
      <c r="AG3" s="32"/>
      <c r="AH3" s="14"/>
      <c r="AI3" s="14"/>
    </row>
    <row r="4" spans="1:35" x14ac:dyDescent="0.25">
      <c r="A4" s="45">
        <v>43981</v>
      </c>
      <c r="B4" s="2" t="s">
        <v>63</v>
      </c>
      <c r="C4" s="2" t="s">
        <v>38</v>
      </c>
      <c r="D4" s="34">
        <v>10395.07</v>
      </c>
      <c r="E4" s="33" t="s">
        <v>17</v>
      </c>
      <c r="F4" s="45">
        <v>43981</v>
      </c>
      <c r="G4" s="33" t="s">
        <v>51</v>
      </c>
      <c r="H4" s="25">
        <f t="array" ref="H4">IFERROR(INDEX(Agenda!AA:AA,MATCH(1,('Lançamentos- Credito Débito'!E4=Agenda!C:C)*('Lançamentos- Credito Débito'!F4=Agenda!I:I),0)),"")</f>
        <v>6.2758865942558195E-4</v>
      </c>
      <c r="I4">
        <f t="shared" si="0"/>
        <v>30</v>
      </c>
      <c r="J4" s="35">
        <f t="shared" si="1"/>
        <v>1.9000000000003459E-2</v>
      </c>
      <c r="K4" s="40">
        <f t="array" ref="K4">INDEX(Agenda!AB:AB,MATCH(1,('Lançamentos- Credito Débito'!E4=Agenda!C:C)*('Lançamentos- Credito Débito'!F4=Agenda!I:I),0))</f>
        <v>0.81330765449390907</v>
      </c>
      <c r="L4" s="36">
        <f t="shared" si="2"/>
        <v>8454.39</v>
      </c>
      <c r="M4" s="36">
        <f t="shared" si="3"/>
        <v>1940.6800000000005</v>
      </c>
      <c r="N4" s="1">
        <f t="shared" si="4"/>
        <v>102140.77743359088</v>
      </c>
      <c r="O4" s="81">
        <f t="array" ref="O4">IF(OR(G4="Amortization",G4="Fim de Mês"),(1+J4)*N4-D4,-INDEX(Agenda!J:J,MATCH(1,('Lançamentos- Credito Débito'!E4=Agenda!C:C)*('Lançamentos- Credito Débito'!G4=Agenda!G:G),0)))</f>
        <v>93686.382204829453</v>
      </c>
      <c r="P4" s="44">
        <f t="shared" si="5"/>
        <v>1940.67477123858</v>
      </c>
      <c r="Q4" s="64">
        <f t="shared" si="6"/>
        <v>104081.45220482946</v>
      </c>
      <c r="R4" s="14">
        <f t="array" ref="R4">IF(F4="","",INDEX(Agenda!L:L,MATCH(1,('Lançamentos- Credito Débito'!E4=Agenda!C:C)*('Lançamentos- Credito Débito'!F4=Agenda!I:I),0)))</f>
        <v>8454.39</v>
      </c>
      <c r="S4" s="14">
        <f t="shared" si="7"/>
        <v>8454.39</v>
      </c>
      <c r="T4" s="14">
        <f t="shared" si="8"/>
        <v>0</v>
      </c>
      <c r="U4" s="62">
        <f t="shared" si="9"/>
        <v>0</v>
      </c>
      <c r="V4" s="78">
        <f t="shared" si="10"/>
        <v>0</v>
      </c>
      <c r="W4" s="26"/>
      <c r="X4" s="26"/>
      <c r="Y4" s="26"/>
      <c r="Z4" s="26"/>
      <c r="AA4" s="26"/>
      <c r="AB4" s="14"/>
      <c r="AC4" s="14"/>
      <c r="AD4" s="14"/>
      <c r="AE4" s="16"/>
      <c r="AF4" s="14"/>
      <c r="AG4" s="32"/>
      <c r="AH4" s="14"/>
      <c r="AI4" s="14"/>
    </row>
    <row r="5" spans="1:35" x14ac:dyDescent="0.25">
      <c r="A5" s="45">
        <v>43982</v>
      </c>
      <c r="B5" s="2" t="s">
        <v>63</v>
      </c>
      <c r="C5" s="2" t="s">
        <v>38</v>
      </c>
      <c r="D5" s="34">
        <v>0</v>
      </c>
      <c r="E5" s="33" t="s">
        <v>17</v>
      </c>
      <c r="F5" s="45">
        <v>43981</v>
      </c>
      <c r="G5" s="33" t="s">
        <v>86</v>
      </c>
      <c r="H5" s="25">
        <f t="array" ref="H5">IFERROR(INDEX(Agenda!AA:AA,MATCH(1,('Lançamentos- Credito Débito'!E5=Agenda!C:C)*('Lançamentos- Credito Débito'!F5=Agenda!I:I),0)),"")</f>
        <v>6.2758865942558195E-4</v>
      </c>
      <c r="I5">
        <f t="shared" si="0"/>
        <v>1</v>
      </c>
      <c r="J5" s="35">
        <f t="shared" si="1"/>
        <v>6.2758865942558195E-4</v>
      </c>
      <c r="K5" s="40">
        <f t="array" ref="K5">INDEX(Agenda!AB:AB,MATCH(1,('Lançamentos- Credito Débito'!E5=Agenda!C:C)*('Lançamentos- Credito Débito'!F5=Agenda!I:I),0))</f>
        <v>0.81330765449390907</v>
      </c>
      <c r="L5" s="36">
        <f t="shared" si="2"/>
        <v>0</v>
      </c>
      <c r="M5" s="36">
        <f t="shared" si="3"/>
        <v>0</v>
      </c>
      <c r="N5" s="1">
        <f t="shared" si="4"/>
        <v>93686.382204829453</v>
      </c>
      <c r="O5" s="81">
        <f t="array" ref="O5">IF(OR(G5="Amortization",G5="Fim de Mês"),(1+J5)*N5-D5,-INDEX(Agenda!J:J,MATCH(1,('Lançamentos- Credito Débito'!E5=Agenda!C:C)*('Lançamentos- Credito Débito'!G5=Agenda!G:G),0)))</f>
        <v>93745.178715843809</v>
      </c>
      <c r="P5" s="44">
        <f t="shared" si="5"/>
        <v>58.796511014361613</v>
      </c>
      <c r="Q5" s="64">
        <f t="shared" si="6"/>
        <v>93745.178715843809</v>
      </c>
      <c r="R5" s="14">
        <f t="array" ref="R5">IF(F5="","",INDEX(Agenda!L:L,MATCH(1,('Lançamentos- Credito Débito'!E5=Agenda!C:C)*('Lançamentos- Credito Débito'!F5=Agenda!I:I),0)))</f>
        <v>8454.39</v>
      </c>
      <c r="S5" s="14">
        <f t="shared" si="7"/>
        <v>8454.39</v>
      </c>
      <c r="T5" s="14">
        <f t="shared" si="8"/>
        <v>0</v>
      </c>
      <c r="U5" s="62">
        <f t="shared" si="9"/>
        <v>0</v>
      </c>
      <c r="V5" s="78">
        <f t="shared" si="10"/>
        <v>0</v>
      </c>
      <c r="W5" s="26"/>
      <c r="X5" s="26"/>
      <c r="Y5" s="26"/>
      <c r="Z5" s="26"/>
      <c r="AA5" s="26"/>
      <c r="AB5" s="14"/>
      <c r="AC5" s="14"/>
      <c r="AD5" s="14"/>
      <c r="AE5" s="16"/>
      <c r="AF5" s="14"/>
      <c r="AG5" s="32"/>
      <c r="AH5" s="14"/>
      <c r="AI5" s="14"/>
    </row>
    <row r="6" spans="1:35" x14ac:dyDescent="0.25">
      <c r="A6" s="3">
        <v>44012</v>
      </c>
      <c r="B6" s="2" t="s">
        <v>63</v>
      </c>
      <c r="C6" s="2" t="s">
        <v>38</v>
      </c>
      <c r="D6" s="34">
        <v>10395.07</v>
      </c>
      <c r="E6" s="33" t="s">
        <v>17</v>
      </c>
      <c r="F6" s="45">
        <v>44012</v>
      </c>
      <c r="G6" s="33" t="s">
        <v>51</v>
      </c>
      <c r="H6" s="25">
        <f t="array" ref="H6">IFERROR(INDEX(Agenda!AA:AA,MATCH(1,('Lançamentos- Credito Débito'!E6=Agenda!C:C)*('Lançamentos- Credito Débito'!F6=Agenda!I:I),0)),"")</f>
        <v>6.2758865942558195E-4</v>
      </c>
      <c r="I6">
        <f t="shared" si="0"/>
        <v>30</v>
      </c>
      <c r="J6" s="35">
        <f t="shared" si="1"/>
        <v>1.9000000000003459E-2</v>
      </c>
      <c r="K6" s="40">
        <f t="array" ref="K6">INDEX(Agenda!AB:AB,MATCH(1,('Lançamentos- Credito Débito'!E6=Agenda!C:C)*('Lançamentos- Credito Débito'!F6=Agenda!I:I),0))</f>
        <v>0.82299686293598795</v>
      </c>
      <c r="L6" s="36">
        <f t="shared" si="2"/>
        <v>8555.11</v>
      </c>
      <c r="M6" s="36">
        <f t="shared" si="3"/>
        <v>1839.9599999999996</v>
      </c>
      <c r="N6" s="1">
        <f t="shared" si="4"/>
        <v>93745.178715843809</v>
      </c>
      <c r="O6" s="81">
        <f t="array" ref="O6">IF(OR(G6="Amortization",G6="Fim de Mês"),(1+J6)*N6-D6,-INDEX(Agenda!J:J,MATCH(1,('Lançamentos- Credito Débito'!E6=Agenda!C:C)*('Lançamentos- Credito Débito'!G6=Agenda!G:G),0)))</f>
        <v>85131.267111445166</v>
      </c>
      <c r="P6" s="44">
        <f t="shared" si="5"/>
        <v>1781.1583956013567</v>
      </c>
      <c r="Q6" s="64">
        <f t="shared" si="6"/>
        <v>95526.337111445173</v>
      </c>
      <c r="R6" s="14">
        <f t="array" ref="R6">IF(F6="","",INDEX(Agenda!L:L,MATCH(1,('Lançamentos- Credito Débito'!E6=Agenda!C:C)*('Lançamentos- Credito Débito'!F6=Agenda!I:I),0)))</f>
        <v>8555.11</v>
      </c>
      <c r="S6" s="14">
        <f t="shared" si="7"/>
        <v>8555.11</v>
      </c>
      <c r="T6" s="14">
        <f t="shared" si="8"/>
        <v>0</v>
      </c>
      <c r="U6" s="62">
        <f t="shared" si="9"/>
        <v>0</v>
      </c>
      <c r="V6" s="78">
        <f t="shared" si="10"/>
        <v>0</v>
      </c>
      <c r="W6" s="26"/>
      <c r="X6" s="26"/>
      <c r="Y6" s="26"/>
      <c r="Z6" s="26"/>
      <c r="AA6" s="26"/>
      <c r="AB6" s="14"/>
      <c r="AC6" s="14"/>
      <c r="AD6" s="14"/>
      <c r="AE6" s="16"/>
      <c r="AF6" s="14"/>
      <c r="AG6" s="32"/>
      <c r="AH6" s="14"/>
      <c r="AI6" s="14"/>
    </row>
    <row r="7" spans="1:35" x14ac:dyDescent="0.25">
      <c r="A7" s="3">
        <v>44042</v>
      </c>
      <c r="B7" s="2" t="s">
        <v>63</v>
      </c>
      <c r="C7" s="2" t="s">
        <v>38</v>
      </c>
      <c r="D7" s="34">
        <v>10395.07</v>
      </c>
      <c r="E7" s="33" t="s">
        <v>17</v>
      </c>
      <c r="F7" s="45">
        <v>44042</v>
      </c>
      <c r="G7" s="33" t="s">
        <v>51</v>
      </c>
      <c r="H7" s="25">
        <f t="array" ref="H7">IFERROR(INDEX(Agenda!AA:AA,MATCH(1,('Lançamentos- Credito Débito'!E7=Agenda!C:C)*('Lançamentos- Credito Débito'!F7=Agenda!I:I),0)),"")</f>
        <v>6.2758865942558195E-4</v>
      </c>
      <c r="I7">
        <f t="shared" si="0"/>
        <v>30</v>
      </c>
      <c r="J7" s="35">
        <f t="shared" si="1"/>
        <v>1.9000000000003459E-2</v>
      </c>
      <c r="K7" s="40">
        <f t="array" ref="K7">INDEX(Agenda!AB:AB,MATCH(1,('Lançamentos- Credito Débito'!E7=Agenda!C:C)*('Lançamentos- Credito Débito'!F7=Agenda!I:I),0))</f>
        <v>0.84439739222535293</v>
      </c>
      <c r="L7" s="36">
        <f t="shared" si="2"/>
        <v>8777.57</v>
      </c>
      <c r="M7" s="36">
        <f t="shared" si="3"/>
        <v>1617.5000000000005</v>
      </c>
      <c r="N7" s="1">
        <f t="shared" si="4"/>
        <v>85131.267111445166</v>
      </c>
      <c r="O7" s="81">
        <f t="array" ref="O7">IF(OR(G7="Amortization",G7="Fim de Mês"),(1+J7)*N7-D7,-INDEX(Agenda!J:J,MATCH(1,('Lançamentos- Credito Débito'!E7=Agenda!C:C)*('Lançamentos- Credito Débito'!G7=Agenda!G:G),0)))</f>
        <v>76353.691186562908</v>
      </c>
      <c r="P7" s="44">
        <f t="shared" si="5"/>
        <v>1617.4940751177526</v>
      </c>
      <c r="Q7" s="64">
        <f t="shared" si="6"/>
        <v>86748.761186562915</v>
      </c>
      <c r="R7" s="14">
        <f t="array" ref="R7">IF(F7="","",INDEX(Agenda!L:L,MATCH(1,('Lançamentos- Credito Débito'!E7=Agenda!C:C)*('Lançamentos- Credito Débito'!F7=Agenda!I:I),0)))</f>
        <v>8777.57</v>
      </c>
      <c r="S7" s="14">
        <f t="shared" si="7"/>
        <v>8777.57</v>
      </c>
      <c r="T7" s="14">
        <f t="shared" si="8"/>
        <v>0</v>
      </c>
      <c r="U7" s="62">
        <f t="shared" si="9"/>
        <v>0</v>
      </c>
      <c r="V7" s="78">
        <f t="shared" si="10"/>
        <v>0</v>
      </c>
      <c r="W7" s="26"/>
      <c r="X7" s="26"/>
      <c r="Y7" s="26"/>
      <c r="Z7" s="26"/>
      <c r="AA7" s="26"/>
      <c r="AB7" s="14"/>
      <c r="AC7" s="14"/>
      <c r="AD7" s="14"/>
      <c r="AE7" s="16"/>
      <c r="AF7" s="14"/>
      <c r="AG7" s="32"/>
      <c r="AH7" s="14"/>
      <c r="AI7" s="14"/>
    </row>
    <row r="8" spans="1:35" x14ac:dyDescent="0.25">
      <c r="A8" s="3">
        <v>44043</v>
      </c>
      <c r="B8" s="2" t="s">
        <v>63</v>
      </c>
      <c r="C8" s="2" t="s">
        <v>38</v>
      </c>
      <c r="D8" s="34">
        <v>0</v>
      </c>
      <c r="E8" s="33" t="s">
        <v>17</v>
      </c>
      <c r="F8" s="45">
        <v>44042</v>
      </c>
      <c r="G8" s="33" t="s">
        <v>86</v>
      </c>
      <c r="H8" s="25">
        <f t="array" ref="H8">IFERROR(INDEX(Agenda!AA:AA,MATCH(1,('Lançamentos- Credito Débito'!E8=Agenda!C:C)*('Lançamentos- Credito Débito'!F8=Agenda!I:I),0)),"")</f>
        <v>6.2758865942558195E-4</v>
      </c>
      <c r="I8">
        <f t="shared" si="0"/>
        <v>1</v>
      </c>
      <c r="J8" s="35">
        <f t="shared" si="1"/>
        <v>6.2758865942558195E-4</v>
      </c>
      <c r="K8" s="40">
        <f t="array" ref="K8">INDEX(Agenda!AB:AB,MATCH(1,('Lançamentos- Credito Débito'!E8=Agenda!C:C)*('Lançamentos- Credito Débito'!F8=Agenda!I:I),0))</f>
        <v>0.84439739222535293</v>
      </c>
      <c r="L8" s="36">
        <f t="shared" si="2"/>
        <v>0</v>
      </c>
      <c r="M8" s="36">
        <f t="shared" si="3"/>
        <v>0</v>
      </c>
      <c r="N8" s="1">
        <f t="shared" si="4"/>
        <v>76353.691186562908</v>
      </c>
      <c r="O8" s="81">
        <f t="array" ref="O8">IF(OR(G8="Amortization",G8="Fim de Mês"),(1+J8)*N8-D8,-INDEX(Agenda!J:J,MATCH(1,('Lançamentos- Credito Débito'!E8=Agenda!C:C)*('Lançamentos- Credito Débito'!G8=Agenda!G:G),0)))</f>
        <v>76401.609897256873</v>
      </c>
      <c r="P8" s="44">
        <f t="shared" si="5"/>
        <v>47.918710693969885</v>
      </c>
      <c r="Q8" s="64">
        <f t="shared" si="6"/>
        <v>76401.609897256873</v>
      </c>
      <c r="R8" s="14">
        <f t="array" ref="R8">IF(F8="","",INDEX(Agenda!L:L,MATCH(1,('Lançamentos- Credito Débito'!E8=Agenda!C:C)*('Lançamentos- Credito Débito'!F8=Agenda!I:I),0)))</f>
        <v>8777.57</v>
      </c>
      <c r="S8" s="14">
        <f t="shared" si="7"/>
        <v>8777.57</v>
      </c>
      <c r="T8" s="14">
        <f t="shared" si="8"/>
        <v>0</v>
      </c>
      <c r="U8" s="62">
        <f t="shared" si="9"/>
        <v>0</v>
      </c>
      <c r="V8" s="78">
        <f t="shared" si="10"/>
        <v>0</v>
      </c>
      <c r="W8" s="26"/>
      <c r="X8" s="26"/>
      <c r="Y8" s="26"/>
      <c r="Z8" s="26"/>
      <c r="AA8" s="26"/>
      <c r="AB8" s="14"/>
      <c r="AC8" s="14"/>
      <c r="AD8" s="14"/>
      <c r="AE8" s="16"/>
      <c r="AF8" s="14"/>
      <c r="AG8" s="32"/>
      <c r="AH8" s="14"/>
      <c r="AI8" s="14"/>
    </row>
    <row r="9" spans="1:35" x14ac:dyDescent="0.25">
      <c r="A9" s="3">
        <v>44073</v>
      </c>
      <c r="B9" s="2" t="s">
        <v>63</v>
      </c>
      <c r="C9" s="2" t="s">
        <v>38</v>
      </c>
      <c r="D9" s="34">
        <v>10395.07</v>
      </c>
      <c r="E9" s="33" t="s">
        <v>17</v>
      </c>
      <c r="F9" s="3">
        <v>44073</v>
      </c>
      <c r="G9" s="33" t="s">
        <v>51</v>
      </c>
      <c r="H9" s="25">
        <f t="array" ref="H9">IFERROR(INDEX(Agenda!AA:AA,MATCH(1,('Lançamentos- Credito Débito'!E9=Agenda!C:C)*('Lançamentos- Credito Débito'!F9=Agenda!I:I),0)),"")</f>
        <v>6.2758865942558195E-4</v>
      </c>
      <c r="I9">
        <f t="shared" si="0"/>
        <v>30</v>
      </c>
      <c r="J9" s="35">
        <f t="shared" si="1"/>
        <v>1.9000000000003459E-2</v>
      </c>
      <c r="K9" s="40">
        <f t="array" ref="K9">INDEX(Agenda!AB:AB,MATCH(1,('Lançamentos- Credito Débito'!E9=Agenda!C:C)*('Lançamentos- Credito Débito'!F9=Agenda!I:I),0))</f>
        <v>0.85574411716323229</v>
      </c>
      <c r="L9" s="36">
        <f t="shared" si="2"/>
        <v>8895.52</v>
      </c>
      <c r="M9" s="36">
        <f t="shared" si="3"/>
        <v>1499.5499999999988</v>
      </c>
      <c r="N9" s="1">
        <f t="shared" si="4"/>
        <v>76401.609897256873</v>
      </c>
      <c r="O9" s="81">
        <f t="array" ref="O9">IF(OR(G9="Amortization",G9="Fim de Mês"),(1+J9)*N9-D9,-INDEX(Agenda!J:J,MATCH(1,('Lançamentos- Credito Débito'!E9=Agenda!C:C)*('Lançamentos- Credito Débito'!G9=Agenda!G:G),0)))</f>
        <v>67458.170485305018</v>
      </c>
      <c r="P9" s="44">
        <f t="shared" si="5"/>
        <v>1451.6305880481448</v>
      </c>
      <c r="Q9" s="64">
        <f t="shared" si="6"/>
        <v>77853.24048530501</v>
      </c>
      <c r="R9" s="14">
        <f t="array" ref="R9">IF(F9="","",INDEX(Agenda!L:L,MATCH(1,('Lançamentos- Credito Débito'!E9=Agenda!C:C)*('Lançamentos- Credito Débito'!F9=Agenda!I:I),0)))</f>
        <v>8895.52</v>
      </c>
      <c r="S9" s="14">
        <f t="shared" si="7"/>
        <v>8895.52</v>
      </c>
      <c r="T9" s="14">
        <f t="shared" si="8"/>
        <v>0</v>
      </c>
      <c r="U9" s="62">
        <f t="shared" si="9"/>
        <v>0</v>
      </c>
      <c r="V9" s="78">
        <f t="shared" si="10"/>
        <v>0</v>
      </c>
      <c r="W9" s="26"/>
      <c r="X9" s="26"/>
      <c r="Y9" s="26"/>
      <c r="Z9" s="26"/>
      <c r="AA9" s="26"/>
      <c r="AB9" s="14"/>
      <c r="AC9" s="14"/>
      <c r="AD9" s="14"/>
      <c r="AE9" s="16"/>
      <c r="AF9" s="14"/>
      <c r="AG9" s="32"/>
      <c r="AH9" s="14"/>
      <c r="AI9" s="14"/>
    </row>
    <row r="10" spans="1:35" x14ac:dyDescent="0.25">
      <c r="A10" s="3">
        <v>44074</v>
      </c>
      <c r="B10" s="2" t="s">
        <v>63</v>
      </c>
      <c r="C10" s="2" t="s">
        <v>38</v>
      </c>
      <c r="D10" s="34">
        <v>0</v>
      </c>
      <c r="E10" s="33" t="s">
        <v>17</v>
      </c>
      <c r="F10" s="3">
        <v>44073</v>
      </c>
      <c r="G10" s="33" t="s">
        <v>86</v>
      </c>
      <c r="H10" s="25">
        <f t="array" ref="H10">IFERROR(INDEX(Agenda!AA:AA,MATCH(1,('Lançamentos- Credito Débito'!E10=Agenda!C:C)*('Lançamentos- Credito Débito'!F10=Agenda!I:I),0)),"")</f>
        <v>6.2758865942558195E-4</v>
      </c>
      <c r="I10">
        <f t="shared" si="0"/>
        <v>1</v>
      </c>
      <c r="J10" s="35">
        <f t="shared" si="1"/>
        <v>6.2758865942558195E-4</v>
      </c>
      <c r="K10" s="40">
        <f t="array" ref="K10">INDEX(Agenda!AB:AB,MATCH(1,('Lançamentos- Credito Débito'!E10=Agenda!C:C)*('Lançamentos- Credito Débito'!F10=Agenda!I:I),0))</f>
        <v>0.85574411716323229</v>
      </c>
      <c r="L10" s="36">
        <f t="shared" si="2"/>
        <v>0</v>
      </c>
      <c r="M10" s="36">
        <f t="shared" si="3"/>
        <v>0</v>
      </c>
      <c r="N10" s="1">
        <f t="shared" si="4"/>
        <v>67458.170485305018</v>
      </c>
      <c r="O10" s="81">
        <f t="array" ref="O10">IF(OR(G10="Amortization",G10="Fim de Mês"),(1+J10)*N10-D10,-INDEX(Agenda!J:J,MATCH(1,('Lançamentos- Credito Débito'!E10=Agenda!C:C)*('Lançamentos- Credito Débito'!G10=Agenda!G:G),0)))</f>
        <v>67500.506468087187</v>
      </c>
      <c r="P10" s="44">
        <f t="shared" si="5"/>
        <v>42.335982782174938</v>
      </c>
      <c r="Q10" s="64">
        <f t="shared" si="6"/>
        <v>67500.506468087187</v>
      </c>
      <c r="R10" s="14">
        <f t="array" ref="R10">IF(F10="","",INDEX(Agenda!L:L,MATCH(1,('Lançamentos- Credito Débito'!E10=Agenda!C:C)*('Lançamentos- Credito Débito'!F10=Agenda!I:I),0)))</f>
        <v>8895.52</v>
      </c>
      <c r="S10" s="14">
        <f t="shared" si="7"/>
        <v>8895.52</v>
      </c>
      <c r="T10" s="14">
        <f t="shared" si="8"/>
        <v>0</v>
      </c>
      <c r="U10" s="62">
        <f t="shared" si="9"/>
        <v>0</v>
      </c>
      <c r="V10" s="78">
        <f t="shared" si="10"/>
        <v>0</v>
      </c>
      <c r="W10" s="26"/>
      <c r="X10" s="26"/>
      <c r="Y10" s="26"/>
      <c r="Z10" s="26"/>
      <c r="AA10" s="26"/>
      <c r="AB10" s="14"/>
      <c r="AC10" s="14"/>
      <c r="AD10" s="14"/>
      <c r="AE10" s="16"/>
      <c r="AF10" s="14"/>
      <c r="AG10" s="32"/>
      <c r="AH10" s="14"/>
      <c r="AI10" s="14"/>
    </row>
    <row r="11" spans="1:35" x14ac:dyDescent="0.25">
      <c r="A11" s="3">
        <v>44109</v>
      </c>
      <c r="B11" s="2" t="s">
        <v>63</v>
      </c>
      <c r="C11" s="2" t="s">
        <v>38</v>
      </c>
      <c r="D11" s="34">
        <v>10395.07</v>
      </c>
      <c r="E11" s="33" t="s">
        <v>17</v>
      </c>
      <c r="F11" s="3">
        <v>44104</v>
      </c>
      <c r="G11" s="33" t="s">
        <v>51</v>
      </c>
      <c r="H11" s="25">
        <f t="array" ref="H11">IFERROR(INDEX(Agenda!AA:AA,MATCH(1,('Lançamentos- Credito Débito'!E11=Agenda!C:C)*('Lançamentos- Credito Débito'!F11=Agenda!I:I),0)),"")</f>
        <v>6.2758865942558195E-4</v>
      </c>
      <c r="I11">
        <f t="shared" si="0"/>
        <v>35</v>
      </c>
      <c r="J11" s="35">
        <f t="shared" si="1"/>
        <v>2.220158024948482E-2</v>
      </c>
      <c r="K11" s="40">
        <f t="array" ref="K11">INDEX(Agenda!AB:AB,MATCH(1,('Lançamentos- Credito Débito'!E11=Agenda!C:C)*('Lançamentos- Credito Débito'!F11=Agenda!I:I),0))</f>
        <v>0.87255016079737791</v>
      </c>
      <c r="L11" s="36">
        <f t="shared" si="2"/>
        <v>9070.2199999999993</v>
      </c>
      <c r="M11" s="36">
        <f t="shared" si="3"/>
        <v>1324.8500000000008</v>
      </c>
      <c r="N11" s="1">
        <f t="shared" si="4"/>
        <v>67500.506468087187</v>
      </c>
      <c r="O11" s="81">
        <f t="array" ref="O11">IF(OR(G11="Amortization",G11="Fim de Mês"),(1+J11)*N11-D11,-INDEX(Agenda!J:J,MATCH(1,('Lançamentos- Credito Débito'!E11=Agenda!C:C)*('Lançamentos- Credito Débito'!G11=Agenda!G:G),0)))</f>
        <v>58604.054379319299</v>
      </c>
      <c r="P11" s="44">
        <f t="shared" si="5"/>
        <v>1498.617911232107</v>
      </c>
      <c r="Q11" s="64">
        <f t="shared" si="6"/>
        <v>68999.124379319299</v>
      </c>
      <c r="R11" s="14">
        <f t="array" ref="R11">IF(F11="","",INDEX(Agenda!L:L,MATCH(1,('Lançamentos- Credito Débito'!E11=Agenda!C:C)*('Lançamentos- Credito Débito'!F11=Agenda!I:I),0)))</f>
        <v>9070.2199999999993</v>
      </c>
      <c r="S11" s="14">
        <f t="shared" si="7"/>
        <v>9070.2199999999993</v>
      </c>
      <c r="T11" s="14">
        <f t="shared" si="8"/>
        <v>0</v>
      </c>
      <c r="U11" s="62">
        <f t="shared" si="9"/>
        <v>0</v>
      </c>
      <c r="V11" s="78">
        <f t="shared" si="10"/>
        <v>0</v>
      </c>
      <c r="W11" s="26"/>
      <c r="X11" s="26"/>
      <c r="Y11" s="26"/>
      <c r="Z11" s="26"/>
      <c r="AA11" s="26"/>
      <c r="AB11" s="14"/>
      <c r="AC11" s="14"/>
      <c r="AD11" s="14"/>
      <c r="AE11" s="16"/>
      <c r="AF11" s="14"/>
      <c r="AG11" s="32"/>
      <c r="AH11" s="14"/>
      <c r="AI11" s="14"/>
    </row>
    <row r="12" spans="1:35" x14ac:dyDescent="0.25">
      <c r="A12" s="3">
        <v>44134</v>
      </c>
      <c r="B12" s="2" t="s">
        <v>63</v>
      </c>
      <c r="C12" s="2" t="s">
        <v>38</v>
      </c>
      <c r="D12" s="34">
        <v>10395.07</v>
      </c>
      <c r="E12" s="33" t="s">
        <v>17</v>
      </c>
      <c r="F12" s="3">
        <v>44134</v>
      </c>
      <c r="G12" s="33" t="s">
        <v>51</v>
      </c>
      <c r="H12" s="25">
        <f t="array" ref="H12">IFERROR(INDEX(Agenda!AA:AA,MATCH(1,('Lançamentos- Credito Débito'!E12=Agenda!C:C)*('Lançamentos- Credito Débito'!F12=Agenda!I:I),0)),"")</f>
        <v>6.2758865942558195E-4</v>
      </c>
      <c r="I12">
        <f t="shared" si="0"/>
        <v>25</v>
      </c>
      <c r="J12" s="35">
        <f t="shared" si="1"/>
        <v>1.580844724049224E-2</v>
      </c>
      <c r="K12" s="40">
        <f t="array" ref="K12">INDEX(Agenda!AB:AB,MATCH(1,('Lançamentos- Credito Débito'!E12=Agenda!C:C)*('Lançamentos- Credito Débito'!F12=Agenda!I:I),0))</f>
        <v>0.89327921793696441</v>
      </c>
      <c r="L12" s="36">
        <f t="shared" si="2"/>
        <v>9285.7000000000007</v>
      </c>
      <c r="M12" s="36">
        <f t="shared" si="3"/>
        <v>1109.3699999999994</v>
      </c>
      <c r="N12" s="1">
        <f t="shared" si="4"/>
        <v>58604.054379319299</v>
      </c>
      <c r="O12" s="81">
        <f t="array" ref="O12">IF(OR(G12="Amortization",G12="Fim de Mês"),(1+J12)*N12-D12,-INDEX(Agenda!J:J,MATCH(1,('Lançamentos- Credito Débito'!E12=Agenda!C:C)*('Lançamentos- Credito Débito'!G12=Agenda!G:G),0)))</f>
        <v>49135.423481053709</v>
      </c>
      <c r="P12" s="44">
        <f t="shared" si="5"/>
        <v>926.43910173440736</v>
      </c>
      <c r="Q12" s="64">
        <f t="shared" si="6"/>
        <v>59530.493481053709</v>
      </c>
      <c r="R12" s="14">
        <f t="array" ref="R12">IF(F12="","",INDEX(Agenda!L:L,MATCH(1,('Lançamentos- Credito Débito'!E12=Agenda!C:C)*('Lançamentos- Credito Débito'!F12=Agenda!I:I),0)))</f>
        <v>9285.7000000000007</v>
      </c>
      <c r="S12" s="14">
        <f t="shared" si="7"/>
        <v>9285.7000000000007</v>
      </c>
      <c r="T12" s="14">
        <f t="shared" si="8"/>
        <v>0</v>
      </c>
      <c r="U12" s="62">
        <f t="shared" si="9"/>
        <v>0</v>
      </c>
      <c r="V12" s="78">
        <f t="shared" si="10"/>
        <v>0</v>
      </c>
      <c r="W12" s="26"/>
      <c r="X12" s="26"/>
      <c r="Y12" s="26"/>
      <c r="Z12" s="26"/>
      <c r="AA12" s="26"/>
      <c r="AB12" s="14"/>
      <c r="AC12" s="14"/>
      <c r="AD12" s="14"/>
      <c r="AE12" s="16"/>
      <c r="AF12" s="14"/>
      <c r="AG12" s="32"/>
      <c r="AH12" s="14"/>
      <c r="AI12" s="14"/>
    </row>
    <row r="13" spans="1:35" x14ac:dyDescent="0.25">
      <c r="A13" s="3">
        <v>44135</v>
      </c>
      <c r="B13" s="2" t="s">
        <v>63</v>
      </c>
      <c r="C13" s="2" t="s">
        <v>38</v>
      </c>
      <c r="D13" s="34">
        <v>0</v>
      </c>
      <c r="E13" s="33" t="s">
        <v>17</v>
      </c>
      <c r="F13" s="3">
        <v>44134</v>
      </c>
      <c r="G13" s="33" t="s">
        <v>86</v>
      </c>
      <c r="H13" s="25">
        <f t="array" ref="H13">IFERROR(INDEX(Agenda!AA:AA,MATCH(1,('Lançamentos- Credito Débito'!E13=Agenda!C:C)*('Lançamentos- Credito Débito'!F13=Agenda!I:I),0)),"")</f>
        <v>6.2758865942558195E-4</v>
      </c>
      <c r="I13">
        <f t="shared" si="0"/>
        <v>1</v>
      </c>
      <c r="J13" s="35">
        <f t="shared" si="1"/>
        <v>6.2758865942558195E-4</v>
      </c>
      <c r="K13" s="40">
        <f t="array" ref="K13">INDEX(Agenda!AB:AB,MATCH(1,('Lançamentos- Credito Débito'!E13=Agenda!C:C)*('Lançamentos- Credito Débito'!F13=Agenda!I:I),0))</f>
        <v>0.89327921793696441</v>
      </c>
      <c r="L13" s="36">
        <f t="shared" si="2"/>
        <v>0</v>
      </c>
      <c r="M13" s="36">
        <f t="shared" si="3"/>
        <v>0</v>
      </c>
      <c r="N13" s="1">
        <f t="shared" si="4"/>
        <v>49135.423481053709</v>
      </c>
      <c r="O13" s="81">
        <f t="array" ref="O13">IF(OR(G13="Amortization",G13="Fim de Mês"),(1+J13)*N13-D13,-INDEX(Agenda!J:J,MATCH(1,('Lançamentos- Credito Débito'!E13=Agenda!C:C)*('Lançamentos- Credito Débito'!G13=Agenda!G:G),0)))</f>
        <v>49166.260315606494</v>
      </c>
      <c r="P13" s="44">
        <f t="shared" si="5"/>
        <v>30.836834552782758</v>
      </c>
      <c r="Q13" s="64">
        <f t="shared" si="6"/>
        <v>49166.260315606494</v>
      </c>
      <c r="R13" s="14">
        <f t="array" ref="R13">IF(F13="","",INDEX(Agenda!L:L,MATCH(1,('Lançamentos- Credito Débito'!E13=Agenda!C:C)*('Lançamentos- Credito Débito'!F13=Agenda!I:I),0)))</f>
        <v>9285.7000000000007</v>
      </c>
      <c r="S13" s="14">
        <f t="shared" si="7"/>
        <v>9285.7000000000007</v>
      </c>
      <c r="T13" s="14">
        <f t="shared" si="8"/>
        <v>0</v>
      </c>
      <c r="U13" s="62">
        <f t="shared" si="9"/>
        <v>0</v>
      </c>
      <c r="V13" s="78">
        <f t="shared" si="10"/>
        <v>0</v>
      </c>
      <c r="W13" s="26"/>
      <c r="X13" s="26"/>
      <c r="Y13" s="26"/>
      <c r="Z13" s="26"/>
      <c r="AA13" s="26"/>
      <c r="AB13" s="14"/>
      <c r="AC13" s="14"/>
      <c r="AD13" s="14"/>
      <c r="AE13" s="16"/>
      <c r="AF13" s="14"/>
      <c r="AG13" s="32"/>
      <c r="AH13" s="14"/>
      <c r="AI13" s="14"/>
    </row>
    <row r="14" spans="1:35" x14ac:dyDescent="0.25">
      <c r="A14" s="3">
        <v>44165</v>
      </c>
      <c r="B14" s="2" t="s">
        <v>63</v>
      </c>
      <c r="C14" s="2" t="s">
        <v>38</v>
      </c>
      <c r="D14" s="34">
        <v>10395.07</v>
      </c>
      <c r="E14" s="33" t="s">
        <v>17</v>
      </c>
      <c r="F14" s="3">
        <v>44165</v>
      </c>
      <c r="G14" s="33" t="s">
        <v>51</v>
      </c>
      <c r="H14" s="25">
        <f t="array" ref="H14">IFERROR(INDEX(Agenda!AA:AA,MATCH(1,('Lançamentos- Credito Débito'!E14=Agenda!C:C)*('Lançamentos- Credito Débito'!F14=Agenda!I:I),0)),"")</f>
        <v>6.2758865942558195E-4</v>
      </c>
      <c r="I14">
        <f t="shared" si="0"/>
        <v>30</v>
      </c>
      <c r="J14" s="35">
        <f t="shared" si="1"/>
        <v>1.9000000000003459E-2</v>
      </c>
      <c r="K14" s="40">
        <f t="array" ref="K14">INDEX(Agenda!AB:AB,MATCH(1,('Lançamentos- Credito Débito'!E14=Agenda!C:C)*('Lançamentos- Credito Débito'!F14=Agenda!I:I),0))</f>
        <v>0.90723006194282474</v>
      </c>
      <c r="L14" s="36">
        <f t="shared" si="2"/>
        <v>9430.7199999999993</v>
      </c>
      <c r="M14" s="36">
        <f t="shared" si="3"/>
        <v>964.35000000000082</v>
      </c>
      <c r="N14" s="1">
        <f t="shared" si="4"/>
        <v>49166.260315606494</v>
      </c>
      <c r="O14" s="81">
        <f t="array" ref="O14">IF(OR(G14="Amortization",G14="Fim de Mês"),(1+J14)*N14-D14,-INDEX(Agenda!J:J,MATCH(1,('Lançamentos- Credito Débito'!E14=Agenda!C:C)*('Lançamentos- Credito Débito'!G14=Agenda!G:G),0)))</f>
        <v>39705.349261603187</v>
      </c>
      <c r="P14" s="44">
        <f t="shared" si="5"/>
        <v>934.15894599669343</v>
      </c>
      <c r="Q14" s="64">
        <f t="shared" si="6"/>
        <v>50100.419261603187</v>
      </c>
      <c r="R14" s="14">
        <f t="array" ref="R14">IF(F14="","",INDEX(Agenda!L:L,MATCH(1,('Lançamentos- Credito Débito'!E14=Agenda!C:C)*('Lançamentos- Credito Débito'!F14=Agenda!I:I),0)))</f>
        <v>9430.7199999999993</v>
      </c>
      <c r="S14" s="14">
        <f t="shared" si="7"/>
        <v>9430.7199999999993</v>
      </c>
      <c r="T14" s="14">
        <f t="shared" si="8"/>
        <v>0</v>
      </c>
      <c r="U14" s="62">
        <f t="shared" si="9"/>
        <v>0</v>
      </c>
      <c r="V14" s="78">
        <f t="shared" si="10"/>
        <v>0</v>
      </c>
      <c r="W14" s="26"/>
      <c r="X14" s="26"/>
      <c r="Y14" s="26"/>
      <c r="Z14" s="26"/>
      <c r="AA14" s="26"/>
      <c r="AB14" s="14"/>
      <c r="AC14" s="14"/>
      <c r="AD14" s="14"/>
      <c r="AE14" s="16"/>
      <c r="AF14" s="14"/>
      <c r="AG14" s="32"/>
      <c r="AH14" s="14"/>
      <c r="AI14" s="14"/>
    </row>
    <row r="15" spans="1:35" x14ac:dyDescent="0.25">
      <c r="A15" s="3">
        <v>44195</v>
      </c>
      <c r="B15" s="2" t="s">
        <v>63</v>
      </c>
      <c r="C15" s="2" t="s">
        <v>38</v>
      </c>
      <c r="D15" s="34">
        <v>10395.07</v>
      </c>
      <c r="E15" s="33" t="s">
        <v>17</v>
      </c>
      <c r="F15" s="3">
        <v>44195</v>
      </c>
      <c r="G15" s="33" t="s">
        <v>51</v>
      </c>
      <c r="H15" s="25">
        <f t="array" ref="H15">IFERROR(INDEX(Agenda!AA:AA,MATCH(1,('Lançamentos- Credito Débito'!E15=Agenda!C:C)*('Lançamentos- Credito Débito'!F15=Agenda!I:I),0)),"")</f>
        <v>6.2758865942558195E-4</v>
      </c>
      <c r="I15">
        <f t="shared" si="0"/>
        <v>30</v>
      </c>
      <c r="J15" s="35">
        <f t="shared" si="1"/>
        <v>1.9000000000003459E-2</v>
      </c>
      <c r="K15" s="40">
        <f t="array" ref="K15">INDEX(Agenda!AB:AB,MATCH(1,('Lançamentos- Credito Débito'!E15=Agenda!C:C)*('Lançamentos- Credito Débito'!F15=Agenda!I:I),0))</f>
        <v>0.92748870377977255</v>
      </c>
      <c r="L15" s="36">
        <f t="shared" si="2"/>
        <v>9641.31</v>
      </c>
      <c r="M15" s="36">
        <f t="shared" si="3"/>
        <v>753.75999999999976</v>
      </c>
      <c r="N15" s="1">
        <f t="shared" si="4"/>
        <v>39705.349261603187</v>
      </c>
      <c r="O15" s="81">
        <f t="array" ref="O15">IF(OR(G15="Amortization",G15="Fim de Mês"),(1+J15)*N15-D15,-INDEX(Agenda!J:J,MATCH(1,('Lançamentos- Credito Débito'!E15=Agenda!C:C)*('Lançamentos- Credito Débito'!G15=Agenda!G:G),0)))</f>
        <v>30064.680897573788</v>
      </c>
      <c r="P15" s="44">
        <f t="shared" si="5"/>
        <v>754.40163597059791</v>
      </c>
      <c r="Q15" s="64">
        <f t="shared" si="6"/>
        <v>40459.750897573787</v>
      </c>
      <c r="R15" s="14">
        <f t="array" ref="R15">IF(F15="","",INDEX(Agenda!L:L,MATCH(1,('Lançamentos- Credito Débito'!E15=Agenda!C:C)*('Lançamentos- Credito Débito'!F15=Agenda!I:I),0)))</f>
        <v>9641.31</v>
      </c>
      <c r="S15" s="14">
        <f t="shared" si="7"/>
        <v>9641.31</v>
      </c>
      <c r="T15" s="14">
        <f t="shared" si="8"/>
        <v>0</v>
      </c>
      <c r="U15" s="62">
        <f t="shared" si="9"/>
        <v>0</v>
      </c>
      <c r="V15" s="78">
        <f t="shared" si="10"/>
        <v>0</v>
      </c>
      <c r="W15" s="26"/>
      <c r="X15" s="26"/>
      <c r="Y15" s="26"/>
      <c r="Z15" s="26"/>
      <c r="AA15" s="26"/>
      <c r="AB15" s="14"/>
      <c r="AC15" s="14"/>
      <c r="AD15" s="14"/>
      <c r="AE15" s="16"/>
      <c r="AF15" s="14"/>
      <c r="AG15" s="32"/>
      <c r="AH15" s="14"/>
      <c r="AI15" s="14"/>
    </row>
    <row r="16" spans="1:35" x14ac:dyDescent="0.25">
      <c r="A16" s="3">
        <v>44196</v>
      </c>
      <c r="B16" s="2" t="s">
        <v>63</v>
      </c>
      <c r="C16" s="2" t="s">
        <v>38</v>
      </c>
      <c r="D16" s="34">
        <v>0</v>
      </c>
      <c r="E16" s="33" t="s">
        <v>17</v>
      </c>
      <c r="F16" s="3">
        <v>44195</v>
      </c>
      <c r="G16" s="33" t="s">
        <v>86</v>
      </c>
      <c r="H16" s="25">
        <f t="array" ref="H16">IFERROR(INDEX(Agenda!AA:AA,MATCH(1,('Lançamentos- Credito Débito'!E16=Agenda!C:C)*('Lançamentos- Credito Débito'!F16=Agenda!I:I),0)),"")</f>
        <v>6.2758865942558195E-4</v>
      </c>
      <c r="I16">
        <f t="shared" si="0"/>
        <v>1</v>
      </c>
      <c r="J16" s="35">
        <f t="shared" si="1"/>
        <v>6.2758865942558195E-4</v>
      </c>
      <c r="K16" s="40">
        <f t="array" ref="K16">INDEX(Agenda!AB:AB,MATCH(1,('Lançamentos- Credito Débito'!E16=Agenda!C:C)*('Lançamentos- Credito Débito'!F16=Agenda!I:I),0))</f>
        <v>0.92748870377977255</v>
      </c>
      <c r="L16" s="36">
        <f t="shared" si="2"/>
        <v>0</v>
      </c>
      <c r="M16" s="36">
        <f t="shared" si="3"/>
        <v>0</v>
      </c>
      <c r="N16" s="1">
        <f t="shared" si="4"/>
        <v>30064.680897573788</v>
      </c>
      <c r="O16" s="81">
        <f t="array" ref="O16">IF(OR(G16="Amortization",G16="Fim de Mês"),(1+J16)*N16-D16,-INDEX(Agenda!J:J,MATCH(1,('Lançamentos- Credito Débito'!E16=Agenda!C:C)*('Lançamentos- Credito Débito'!G16=Agenda!G:G),0)))</f>
        <v>30083.549150354353</v>
      </c>
      <c r="P16" s="44">
        <f t="shared" si="5"/>
        <v>18.868252780566234</v>
      </c>
      <c r="Q16" s="64">
        <f t="shared" si="6"/>
        <v>30083.549150354353</v>
      </c>
      <c r="R16" s="14">
        <f t="array" ref="R16">IF(F16="","",INDEX(Agenda!L:L,MATCH(1,('Lançamentos- Credito Débito'!E16=Agenda!C:C)*('Lançamentos- Credito Débito'!F16=Agenda!I:I),0)))</f>
        <v>9641.31</v>
      </c>
      <c r="S16" s="14">
        <f t="shared" si="7"/>
        <v>9641.31</v>
      </c>
      <c r="T16" s="14">
        <f t="shared" si="8"/>
        <v>0</v>
      </c>
      <c r="U16" s="62">
        <f t="shared" si="9"/>
        <v>0</v>
      </c>
      <c r="V16" s="78">
        <f t="shared" si="10"/>
        <v>0</v>
      </c>
      <c r="W16" s="26"/>
      <c r="X16" s="26"/>
      <c r="Y16" s="26"/>
      <c r="Z16" s="26"/>
      <c r="AA16" s="26"/>
      <c r="AB16" s="14"/>
      <c r="AC16" s="14"/>
      <c r="AD16" s="14"/>
      <c r="AE16" s="16"/>
      <c r="AF16" s="14"/>
      <c r="AG16" s="32"/>
      <c r="AH16" s="14"/>
      <c r="AI16" s="14"/>
    </row>
    <row r="17" spans="1:35" x14ac:dyDescent="0.25">
      <c r="A17" s="3">
        <v>44226</v>
      </c>
      <c r="B17" s="2" t="s">
        <v>63</v>
      </c>
      <c r="C17" s="2" t="s">
        <v>38</v>
      </c>
      <c r="D17" s="34">
        <v>10395.07</v>
      </c>
      <c r="E17" s="33" t="s">
        <v>17</v>
      </c>
      <c r="F17" s="3">
        <v>44226</v>
      </c>
      <c r="G17" s="33" t="s">
        <v>51</v>
      </c>
      <c r="H17" s="25">
        <f t="array" ref="H17">IFERROR(INDEX(Agenda!AA:AA,MATCH(1,('Lançamentos- Credito Débito'!E17=Agenda!C:C)*('Lançamentos- Credito Débito'!F17=Agenda!I:I),0)),"")</f>
        <v>6.2758865942558195E-4</v>
      </c>
      <c r="I17">
        <f t="shared" si="0"/>
        <v>30</v>
      </c>
      <c r="J17" s="35">
        <f t="shared" si="1"/>
        <v>1.9000000000003459E-2</v>
      </c>
      <c r="K17" s="40">
        <f t="array" ref="K17">INDEX(Agenda!AB:AB,MATCH(1,('Lançamentos- Credito Débito'!E17=Agenda!C:C)*('Lançamentos- Credito Débito'!F17=Agenda!I:I),0))</f>
        <v>0.94326348932715232</v>
      </c>
      <c r="L17" s="36">
        <f t="shared" si="2"/>
        <v>9805.2900000000009</v>
      </c>
      <c r="M17" s="36">
        <f t="shared" si="3"/>
        <v>589.77999999999872</v>
      </c>
      <c r="N17" s="1">
        <f t="shared" si="4"/>
        <v>30083.549150354353</v>
      </c>
      <c r="O17" s="81">
        <f t="array" ref="O17">IF(OR(G17="Amortization",G17="Fim de Mês"),(1+J17)*N17-D17,-INDEX(Agenda!J:J,MATCH(1,('Lançamentos- Credito Débito'!E17=Agenda!C:C)*('Lançamentos- Credito Débito'!G17=Agenda!G:G),0)))</f>
        <v>20260.066584211188</v>
      </c>
      <c r="P17" s="44">
        <f t="shared" si="5"/>
        <v>571.5874338568367</v>
      </c>
      <c r="Q17" s="64">
        <f t="shared" si="6"/>
        <v>30655.136584211188</v>
      </c>
      <c r="R17" s="14">
        <f t="array" ref="R17">IF(F17="","",INDEX(Agenda!L:L,MATCH(1,('Lançamentos- Credito Débito'!E17=Agenda!C:C)*('Lançamentos- Credito Débito'!F17=Agenda!I:I),0)))</f>
        <v>9805.2900000000009</v>
      </c>
      <c r="S17" s="14">
        <f t="shared" si="7"/>
        <v>9805.2900000000009</v>
      </c>
      <c r="T17" s="14">
        <f t="shared" si="8"/>
        <v>0</v>
      </c>
      <c r="U17" s="62">
        <f t="shared" si="9"/>
        <v>0</v>
      </c>
      <c r="V17" s="78">
        <f t="shared" si="10"/>
        <v>0</v>
      </c>
      <c r="W17" s="26"/>
      <c r="X17" s="26"/>
      <c r="Y17" s="26"/>
      <c r="Z17" s="26"/>
      <c r="AA17" s="26"/>
      <c r="AB17" s="14"/>
      <c r="AC17" s="14"/>
      <c r="AD17" s="14"/>
      <c r="AE17" s="16"/>
      <c r="AF17" s="14"/>
      <c r="AG17" s="32"/>
      <c r="AH17" s="14"/>
      <c r="AI17" s="14"/>
    </row>
    <row r="18" spans="1:35" x14ac:dyDescent="0.25">
      <c r="A18" s="3">
        <v>44227</v>
      </c>
      <c r="B18" s="2" t="s">
        <v>63</v>
      </c>
      <c r="C18" s="2" t="s">
        <v>38</v>
      </c>
      <c r="D18" s="34">
        <v>0</v>
      </c>
      <c r="E18" s="33" t="s">
        <v>17</v>
      </c>
      <c r="F18" s="3">
        <v>44226</v>
      </c>
      <c r="G18" s="33" t="s">
        <v>86</v>
      </c>
      <c r="H18" s="25">
        <f t="array" ref="H18">IFERROR(INDEX(Agenda!AA:AA,MATCH(1,('Lançamentos- Credito Débito'!E18=Agenda!C:C)*('Lançamentos- Credito Débito'!F18=Agenda!I:I),0)),"")</f>
        <v>6.2758865942558195E-4</v>
      </c>
      <c r="I18">
        <f t="shared" si="0"/>
        <v>1</v>
      </c>
      <c r="J18" s="35">
        <f t="shared" si="1"/>
        <v>6.2758865942558195E-4</v>
      </c>
      <c r="K18" s="40">
        <f t="array" ref="K18">INDEX(Agenda!AB:AB,MATCH(1,('Lançamentos- Credito Débito'!E18=Agenda!C:C)*('Lançamentos- Credito Débito'!F18=Agenda!I:I),0))</f>
        <v>0.94326348932715232</v>
      </c>
      <c r="L18" s="36">
        <f t="shared" si="2"/>
        <v>0</v>
      </c>
      <c r="M18" s="36">
        <f t="shared" si="3"/>
        <v>0</v>
      </c>
      <c r="N18" s="1">
        <f t="shared" si="4"/>
        <v>20260.066584211188</v>
      </c>
      <c r="O18" s="81">
        <f t="array" ref="O18">IF(OR(G18="Amortization",G18="Fim de Mês"),(1+J18)*N18-D18,-INDEX(Agenda!J:J,MATCH(1,('Lançamentos- Credito Débito'!E18=Agenda!C:C)*('Lançamentos- Credito Débito'!G18=Agenda!G:G),0)))</f>
        <v>20272.781572238648</v>
      </c>
      <c r="P18" s="44">
        <f t="shared" si="5"/>
        <v>12.714988027458128</v>
      </c>
      <c r="Q18" s="64">
        <f t="shared" si="6"/>
        <v>20272.781572238648</v>
      </c>
      <c r="R18" s="14">
        <f t="array" ref="R18">IF(F18="","",INDEX(Agenda!L:L,MATCH(1,('Lançamentos- Credito Débito'!E18=Agenda!C:C)*('Lançamentos- Credito Débito'!F18=Agenda!I:I),0)))</f>
        <v>9805.2900000000009</v>
      </c>
      <c r="S18" s="14">
        <f t="shared" si="7"/>
        <v>9805.2900000000009</v>
      </c>
      <c r="T18" s="14">
        <f t="shared" si="8"/>
        <v>0</v>
      </c>
      <c r="U18" s="62">
        <f t="shared" si="9"/>
        <v>0</v>
      </c>
      <c r="V18" s="78">
        <f t="shared" si="10"/>
        <v>0</v>
      </c>
      <c r="W18" s="26"/>
      <c r="X18" s="26"/>
      <c r="Y18" s="26"/>
      <c r="Z18" s="26"/>
      <c r="AA18" s="26"/>
      <c r="AB18" s="14"/>
      <c r="AC18" s="14"/>
      <c r="AD18" s="14"/>
      <c r="AE18" s="16"/>
      <c r="AF18" s="14"/>
      <c r="AG18" s="32"/>
      <c r="AH18" s="14"/>
      <c r="AI18" s="14"/>
    </row>
    <row r="19" spans="1:35" x14ac:dyDescent="0.25">
      <c r="A19" s="3">
        <v>44255</v>
      </c>
      <c r="B19" s="2" t="s">
        <v>63</v>
      </c>
      <c r="C19" s="2" t="s">
        <v>38</v>
      </c>
      <c r="D19" s="34">
        <v>10395.07</v>
      </c>
      <c r="E19" s="33" t="s">
        <v>17</v>
      </c>
      <c r="F19" s="3">
        <v>44255</v>
      </c>
      <c r="G19" s="33" t="s">
        <v>51</v>
      </c>
      <c r="H19" s="25">
        <f t="array" ref="H19">IFERROR(INDEX(Agenda!AA:AA,MATCH(1,('Lançamentos- Credito Débito'!E19=Agenda!C:C)*('Lançamentos- Credito Débito'!F19=Agenda!I:I),0)),"")</f>
        <v>6.2758865942558195E-4</v>
      </c>
      <c r="I19">
        <f t="shared" si="0"/>
        <v>28</v>
      </c>
      <c r="J19" s="35">
        <f t="shared" si="1"/>
        <v>1.7722177358375779E-2</v>
      </c>
      <c r="K19" s="40">
        <f t="array" ref="K19">INDEX(Agenda!AB:AB,MATCH(1,('Lançamentos- Credito Débito'!E19=Agenda!C:C)*('Lançamentos- Credito Débito'!F19=Agenda!I:I),0))</f>
        <v>0.96427633483949604</v>
      </c>
      <c r="L19" s="36">
        <f t="shared" si="2"/>
        <v>10023.719999999999</v>
      </c>
      <c r="M19" s="36">
        <f t="shared" si="3"/>
        <v>371.34999999999985</v>
      </c>
      <c r="N19" s="1">
        <f t="shared" si="4"/>
        <v>20272.781572238648</v>
      </c>
      <c r="O19" s="81">
        <f t="array" ref="O19">IF(OR(G19="Amortization",G19="Fim de Mês"),(1+J19)*N19-D19,-INDEX(Agenda!J:J,MATCH(1,('Lançamentos- Credito Débito'!E19=Agenda!C:C)*('Lançamentos- Credito Débito'!G19=Agenda!G:G),0)))</f>
        <v>10236.989402809475</v>
      </c>
      <c r="P19" s="44">
        <f t="shared" si="5"/>
        <v>359.27783057082547</v>
      </c>
      <c r="Q19" s="64">
        <f t="shared" si="6"/>
        <v>20632.059402809475</v>
      </c>
      <c r="R19" s="14">
        <f t="array" ref="R19">IF(F19="","",INDEX(Agenda!L:L,MATCH(1,('Lançamentos- Credito Débito'!E19=Agenda!C:C)*('Lançamentos- Credito Débito'!F19=Agenda!I:I),0)))</f>
        <v>10023.719999999999</v>
      </c>
      <c r="S19" s="14">
        <f t="shared" si="7"/>
        <v>10023.719999999999</v>
      </c>
      <c r="T19" s="14">
        <f t="shared" si="8"/>
        <v>0</v>
      </c>
      <c r="U19" s="62">
        <f t="shared" si="9"/>
        <v>0</v>
      </c>
      <c r="V19" s="78">
        <f t="shared" si="10"/>
        <v>0</v>
      </c>
      <c r="W19" s="26"/>
      <c r="X19" s="26"/>
      <c r="Y19" s="26"/>
      <c r="Z19" s="26"/>
      <c r="AA19" s="26"/>
      <c r="AB19" s="14"/>
      <c r="AC19" s="14"/>
      <c r="AD19" s="14"/>
      <c r="AE19" s="16"/>
      <c r="AF19" s="14"/>
      <c r="AG19" s="32"/>
      <c r="AH19" s="14"/>
      <c r="AI19" s="14"/>
    </row>
    <row r="20" spans="1:35" x14ac:dyDescent="0.25">
      <c r="A20" s="3">
        <v>44285</v>
      </c>
      <c r="B20" s="2" t="s">
        <v>63</v>
      </c>
      <c r="C20" s="2" t="s">
        <v>38</v>
      </c>
      <c r="D20" s="34">
        <v>10395.07</v>
      </c>
      <c r="E20" s="33" t="s">
        <v>17</v>
      </c>
      <c r="F20" s="3">
        <v>44285</v>
      </c>
      <c r="G20" s="33" t="s">
        <v>51</v>
      </c>
      <c r="H20" s="25">
        <f t="array" ref="H20">IFERROR(INDEX(Agenda!AA:AA,MATCH(1,('Lançamentos- Credito Débito'!E20=Agenda!C:C)*('Lançamentos- Credito Débito'!F20=Agenda!I:I),0)),"")</f>
        <v>6.2758865942558195E-4</v>
      </c>
      <c r="I20">
        <f t="shared" si="0"/>
        <v>30</v>
      </c>
      <c r="J20" s="35">
        <f t="shared" si="1"/>
        <v>1.9000000000003459E-2</v>
      </c>
      <c r="K20" s="40">
        <f t="array" ref="K20">INDEX(Agenda!AB:AB,MATCH(1,('Lançamentos- Credito Débito'!E20=Agenda!C:C)*('Lançamentos- Credito Débito'!F20=Agenda!I:I),0))</f>
        <v>0.98135366091810827</v>
      </c>
      <c r="L20" s="36">
        <f t="shared" si="2"/>
        <v>10201.24</v>
      </c>
      <c r="M20" s="36">
        <f t="shared" si="3"/>
        <v>193.83000000000024</v>
      </c>
      <c r="N20" s="1">
        <f t="shared" si="4"/>
        <v>10236.989402809475</v>
      </c>
      <c r="O20" s="81">
        <f t="array" ref="O20">IF(OR(G20="Amortization",G20="Fim de Mês"),(1+J20)*N20-D20,-INDEX(Agenda!J:J,MATCH(1,('Lançamentos- Credito Débito'!E20=Agenda!C:C)*('Lançamentos- Credito Débito'!G20=Agenda!G:G),0)))</f>
        <v>36.422201462890371</v>
      </c>
      <c r="P20" s="44">
        <f t="shared" si="5"/>
        <v>194.50279865341543</v>
      </c>
      <c r="Q20" s="64">
        <f t="shared" si="6"/>
        <v>10431.49220146289</v>
      </c>
      <c r="R20" s="14">
        <f t="array" ref="R20">IF(F20="","",INDEX(Agenda!L:L,MATCH(1,('Lançamentos- Credito Débito'!E20=Agenda!C:C)*('Lançamentos- Credito Débito'!F20=Agenda!I:I),0)))</f>
        <v>10201.24</v>
      </c>
      <c r="S20" s="14">
        <f t="shared" si="7"/>
        <v>10201.24</v>
      </c>
      <c r="T20" s="14">
        <f t="shared" si="8"/>
        <v>0</v>
      </c>
      <c r="U20" s="62">
        <f t="shared" si="9"/>
        <v>0</v>
      </c>
      <c r="V20" s="78">
        <f t="shared" si="10"/>
        <v>0</v>
      </c>
      <c r="W20" s="26"/>
      <c r="X20" s="26"/>
      <c r="Y20" s="26"/>
      <c r="Z20" s="26"/>
      <c r="AA20" s="26"/>
      <c r="AB20" s="14"/>
      <c r="AC20" s="14"/>
      <c r="AD20" s="14"/>
      <c r="AE20" s="16"/>
      <c r="AF20" s="14"/>
      <c r="AG20" s="32"/>
      <c r="AH20" s="14"/>
      <c r="AI20" s="14"/>
    </row>
    <row r="21" spans="1:35" customFormat="1" x14ac:dyDescent="0.25">
      <c r="A21" s="3">
        <v>43936</v>
      </c>
      <c r="B21" s="2" t="s">
        <v>63</v>
      </c>
      <c r="C21" s="2" t="s">
        <v>62</v>
      </c>
      <c r="D21" s="34">
        <v>1200000</v>
      </c>
      <c r="E21" s="33" t="s">
        <v>63</v>
      </c>
      <c r="F21" s="33"/>
      <c r="G21" s="33" t="s">
        <v>64</v>
      </c>
      <c r="H21" s="25" t="str">
        <f t="array" ref="H21">IFERROR(INDEX(Agenda!AA:AA,MATCH(1,('Lançamentos- Credito Débito'!E21=Agenda!C:C)*('Lançamentos- Credito Débito'!F21=Agenda!I:I),0)),"")</f>
        <v/>
      </c>
      <c r="I21" t="str">
        <f t="shared" si="0"/>
        <v/>
      </c>
      <c r="J21" s="35" t="str">
        <f t="shared" si="1"/>
        <v/>
      </c>
      <c r="K21" s="40" t="e">
        <f t="array" ref="K21">INDEX(Agenda!AB:AB,MATCH(1,('Lançamentos- Credito Débito'!E21=Agenda!C:C)*('Lançamentos- Credito Débito'!F21=Agenda!I:I),0))</f>
        <v>#N/A</v>
      </c>
      <c r="L21" s="36" t="str">
        <f t="shared" si="2"/>
        <v/>
      </c>
      <c r="M21" s="36" t="str">
        <f t="shared" si="3"/>
        <v/>
      </c>
      <c r="N21" s="1" t="str">
        <f t="shared" si="4"/>
        <v/>
      </c>
      <c r="O21" s="81" t="e">
        <f t="array" ref="O21">IF(OR(G21="Amortization",G21="Fim de Mês"),(1+J21)*N21-D21,-INDEX(Agenda!J:J,MATCH(1,('Lançamentos- Credito Débito'!E21=Agenda!C:C)*('Lançamentos- Credito Débito'!G21=Agenda!G:G),0)))</f>
        <v>#N/A</v>
      </c>
      <c r="P21" s="44" t="str">
        <f t="shared" si="5"/>
        <v/>
      </c>
      <c r="Q21" s="64" t="str">
        <f t="shared" si="6"/>
        <v/>
      </c>
      <c r="R21" s="14" t="str">
        <f t="array" ref="R21">IF(F21="","",INDEX(Agenda!L:L,MATCH(1,('Lançamentos- Credito Débito'!E21=Agenda!C:C)*('Lançamentos- Credito Débito'!F21=Agenda!I:I),0)))</f>
        <v/>
      </c>
      <c r="S21" s="14" t="str">
        <f t="shared" si="7"/>
        <v/>
      </c>
      <c r="T21" s="14" t="str">
        <f t="shared" si="8"/>
        <v/>
      </c>
      <c r="U21" s="62" t="str">
        <f t="shared" si="9"/>
        <v/>
      </c>
      <c r="V21" s="78" t="str">
        <f t="shared" si="10"/>
        <v/>
      </c>
    </row>
    <row r="22" spans="1:35" customFormat="1" x14ac:dyDescent="0.25">
      <c r="A22" s="45">
        <v>43972</v>
      </c>
      <c r="B22" s="2" t="s">
        <v>30</v>
      </c>
      <c r="C22" s="33" t="s">
        <v>63</v>
      </c>
      <c r="D22" s="34">
        <v>19923.78</v>
      </c>
      <c r="E22" s="33" t="s">
        <v>7</v>
      </c>
      <c r="F22" s="33"/>
      <c r="G22" s="33" t="s">
        <v>50</v>
      </c>
      <c r="H22" s="25" t="str">
        <f t="array" ref="H22">IFERROR(INDEX(Agenda!AA:AA,MATCH(1,('Lançamentos- Credito Débito'!E22=Agenda!C:C)*('Lançamentos- Credito Débito'!F22=Agenda!I:I),0)),"")</f>
        <v/>
      </c>
      <c r="I22" t="str">
        <f t="shared" si="0"/>
        <v/>
      </c>
      <c r="J22" s="35" t="str">
        <f t="shared" si="1"/>
        <v/>
      </c>
      <c r="K22" s="40" t="e">
        <f t="array" ref="K22">INDEX(Agenda!AB:AB,MATCH(1,('Lançamentos- Credito Débito'!E22=Agenda!C:C)*('Lançamentos- Credito Débito'!F22=Agenda!I:I),0))</f>
        <v>#N/A</v>
      </c>
      <c r="L22" s="36" t="str">
        <f t="shared" si="2"/>
        <v/>
      </c>
      <c r="M22" s="36" t="str">
        <f t="shared" si="3"/>
        <v/>
      </c>
      <c r="N22" s="1" t="str">
        <f t="shared" si="4"/>
        <v/>
      </c>
      <c r="O22" s="81">
        <f t="array" ref="O22">IF(OR(G22="Amortization",G22="Fim de Mês"),(1+J22)*N22-D22,-INDEX(Agenda!J:J,MATCH(1,('Lançamentos- Credito Débito'!E22=Agenda!C:C)*('Lançamentos- Credito Débito'!G22=Agenda!G:G),0)))</f>
        <v>19923.78</v>
      </c>
      <c r="P22" s="44" t="str">
        <f t="shared" si="5"/>
        <v/>
      </c>
      <c r="Q22" s="64" t="str">
        <f t="shared" si="6"/>
        <v/>
      </c>
      <c r="R22" s="14" t="str">
        <f t="array" ref="R22">IF(F22="","",INDEX(Agenda!L:L,MATCH(1,('Lançamentos- Credito Débito'!E22=Agenda!C:C)*('Lançamentos- Credito Débito'!F22=Agenda!I:I),0)))</f>
        <v/>
      </c>
      <c r="S22" s="14" t="str">
        <f t="shared" si="7"/>
        <v/>
      </c>
      <c r="T22" s="14" t="str">
        <f t="shared" si="8"/>
        <v/>
      </c>
      <c r="U22" s="62" t="str">
        <f t="shared" si="9"/>
        <v/>
      </c>
      <c r="V22" s="78" t="str">
        <f t="shared" si="10"/>
        <v/>
      </c>
    </row>
    <row r="23" spans="1:35" customFormat="1" x14ac:dyDescent="0.25">
      <c r="A23" s="45">
        <v>43982</v>
      </c>
      <c r="B23" s="33" t="s">
        <v>63</v>
      </c>
      <c r="C23" s="2" t="s">
        <v>30</v>
      </c>
      <c r="D23" s="34">
        <v>0</v>
      </c>
      <c r="E23" s="33" t="s">
        <v>7</v>
      </c>
      <c r="F23" s="45">
        <v>44325</v>
      </c>
      <c r="G23" s="33" t="s">
        <v>86</v>
      </c>
      <c r="H23" s="25">
        <f t="array" ref="H23">IFERROR(INDEX(Agenda!AA:AA,MATCH(1,('Lançamentos- Credito Débito'!E23=Agenda!C:C)*('Lançamentos- Credito Débito'!F23=Agenda!I:I),0)),"")</f>
        <v>8.2342591547712729E-4</v>
      </c>
      <c r="I23">
        <f t="shared" si="0"/>
        <v>10</v>
      </c>
      <c r="J23" s="35">
        <f t="shared" si="1"/>
        <v>8.2648376090512787E-3</v>
      </c>
      <c r="K23" s="40">
        <f t="array" ref="K23">INDEX(Agenda!AB:AB,MATCH(1,('Lançamentos- Credito Débito'!E23=Agenda!C:C)*('Lançamentos- Credito Débito'!F23=Agenda!I:I),0))</f>
        <v>0.74785230316954887</v>
      </c>
      <c r="L23" s="36">
        <f t="shared" si="2"/>
        <v>0</v>
      </c>
      <c r="M23" s="36">
        <f t="shared" si="3"/>
        <v>0</v>
      </c>
      <c r="N23" s="1">
        <f t="shared" si="4"/>
        <v>19923.78</v>
      </c>
      <c r="O23" s="81">
        <f t="array" ref="O23">IF(OR(G23="Amortization",G23="Fim de Mês"),(1+J23)*N23-D23,-INDEX(Agenda!J:J,MATCH(1,('Lançamentos- Credito Débito'!E23=Agenda!C:C)*('Lançamentos- Credito Débito'!G23=Agenda!G:G),0)))</f>
        <v>20088.446806258464</v>
      </c>
      <c r="P23" s="44">
        <f t="shared" si="5"/>
        <v>164.66680625846368</v>
      </c>
      <c r="Q23" s="64">
        <f t="shared" si="6"/>
        <v>20088.446806258464</v>
      </c>
      <c r="R23" s="14">
        <f t="array" ref="R23">IF(F23="","",INDEX(Agenda!L:L,MATCH(1,('Lançamentos- Credito Débito'!E23=Agenda!C:C)*('Lançamentos- Credito Débito'!F23=Agenda!I:I),0)))</f>
        <v>19923.78</v>
      </c>
      <c r="S23" s="14">
        <f t="shared" si="7"/>
        <v>0</v>
      </c>
      <c r="T23" s="14">
        <f t="shared" si="8"/>
        <v>19923.78</v>
      </c>
      <c r="U23" s="62">
        <f t="shared" si="9"/>
        <v>26641.33</v>
      </c>
      <c r="V23" s="78">
        <f t="shared" si="10"/>
        <v>0</v>
      </c>
    </row>
    <row r="24" spans="1:35" customFormat="1" x14ac:dyDescent="0.25">
      <c r="A24" s="45">
        <v>44012</v>
      </c>
      <c r="B24" s="33" t="s">
        <v>63</v>
      </c>
      <c r="C24" s="2" t="s">
        <v>30</v>
      </c>
      <c r="D24" s="34">
        <v>0</v>
      </c>
      <c r="E24" s="33" t="s">
        <v>7</v>
      </c>
      <c r="F24" s="45">
        <v>44325</v>
      </c>
      <c r="G24" s="33" t="s">
        <v>86</v>
      </c>
      <c r="H24" s="25">
        <f t="array" ref="H24">IFERROR(INDEX(Agenda!AA:AA,MATCH(1,('Lançamentos- Credito Débito'!E24=Agenda!C:C)*('Lançamentos- Credito Débito'!F24=Agenda!I:I),0)),"")</f>
        <v>8.2342591547712729E-4</v>
      </c>
      <c r="I24">
        <f t="shared" si="0"/>
        <v>30</v>
      </c>
      <c r="J24" s="35">
        <f t="shared" si="1"/>
        <v>2.4999999999997025E-2</v>
      </c>
      <c r="K24" s="40">
        <f t="array" ref="K24">INDEX(Agenda!AB:AB,MATCH(1,('Lançamentos- Credito Débito'!E24=Agenda!C:C)*('Lançamentos- Credito Débito'!F24=Agenda!I:I),0))</f>
        <v>0.74785230316954887</v>
      </c>
      <c r="L24" s="36">
        <f t="shared" si="2"/>
        <v>0</v>
      </c>
      <c r="M24" s="36">
        <f t="shared" si="3"/>
        <v>0</v>
      </c>
      <c r="N24" s="1">
        <f t="shared" si="4"/>
        <v>20088.446806258464</v>
      </c>
      <c r="O24" s="81">
        <f t="array" ref="O24">IF(OR(G24="Amortization",G24="Fim de Mês"),(1+J24)*N24-D24,-INDEX(Agenda!J:J,MATCH(1,('Lançamentos- Credito Débito'!E24=Agenda!C:C)*('Lançamentos- Credito Débito'!G24=Agenda!G:G),0)))</f>
        <v>20590.657976414866</v>
      </c>
      <c r="P24" s="44">
        <f t="shared" si="5"/>
        <v>502.21117015640181</v>
      </c>
      <c r="Q24" s="64">
        <f t="shared" si="6"/>
        <v>20590.657976414866</v>
      </c>
      <c r="R24" s="14">
        <f t="array" ref="R24">IF(F24="","",INDEX(Agenda!L:L,MATCH(1,('Lançamentos- Credito Débito'!E24=Agenda!C:C)*('Lançamentos- Credito Débito'!F24=Agenda!I:I),0)))</f>
        <v>19923.78</v>
      </c>
      <c r="S24" s="14">
        <f t="shared" si="7"/>
        <v>0</v>
      </c>
      <c r="T24" s="14">
        <f t="shared" si="8"/>
        <v>19923.78</v>
      </c>
      <c r="U24" s="62">
        <f t="shared" si="9"/>
        <v>26641.33</v>
      </c>
      <c r="V24" s="78">
        <f t="shared" si="10"/>
        <v>0</v>
      </c>
    </row>
    <row r="25" spans="1:35" customFormat="1" x14ac:dyDescent="0.25">
      <c r="A25" s="45">
        <v>44043</v>
      </c>
      <c r="B25" s="33" t="s">
        <v>63</v>
      </c>
      <c r="C25" s="2" t="s">
        <v>30</v>
      </c>
      <c r="D25" s="34">
        <v>0</v>
      </c>
      <c r="E25" s="33" t="s">
        <v>7</v>
      </c>
      <c r="F25" s="45">
        <v>44325</v>
      </c>
      <c r="G25" s="33" t="s">
        <v>86</v>
      </c>
      <c r="H25" s="25">
        <f t="array" ref="H25">IFERROR(INDEX(Agenda!AA:AA,MATCH(1,('Lançamentos- Credito Débito'!E25=Agenda!C:C)*('Lançamentos- Credito Débito'!F25=Agenda!I:I),0)),"")</f>
        <v>8.2342591547712729E-4</v>
      </c>
      <c r="I25">
        <f t="shared" si="0"/>
        <v>31</v>
      </c>
      <c r="J25" s="35">
        <f t="shared" si="1"/>
        <v>2.5844011563361136E-2</v>
      </c>
      <c r="K25" s="40">
        <f t="array" ref="K25">INDEX(Agenda!AB:AB,MATCH(1,('Lançamentos- Credito Débito'!E25=Agenda!C:C)*('Lançamentos- Credito Débito'!F25=Agenda!I:I),0))</f>
        <v>0.74785230316954887</v>
      </c>
      <c r="L25" s="36">
        <f t="shared" si="2"/>
        <v>0</v>
      </c>
      <c r="M25" s="36">
        <f t="shared" si="3"/>
        <v>0</v>
      </c>
      <c r="N25" s="1">
        <f t="shared" si="4"/>
        <v>20590.657976414866</v>
      </c>
      <c r="O25" s="81">
        <f t="array" ref="O25">IF(OR(G25="Amortization",G25="Fim de Mês"),(1+J25)*N25-D25,-INDEX(Agenda!J:J,MATCH(1,('Lançamentos- Credito Débito'!E25=Agenda!C:C)*('Lançamentos- Credito Débito'!G25=Agenda!G:G),0)))</f>
        <v>21122.803179254548</v>
      </c>
      <c r="P25" s="44">
        <f t="shared" si="5"/>
        <v>532.14520283968</v>
      </c>
      <c r="Q25" s="64">
        <f t="shared" si="6"/>
        <v>21122.803179254548</v>
      </c>
      <c r="R25" s="14">
        <f t="array" ref="R25">IF(F25="","",INDEX(Agenda!L:L,MATCH(1,('Lançamentos- Credito Débito'!E25=Agenda!C:C)*('Lançamentos- Credito Débito'!F25=Agenda!I:I),0)))</f>
        <v>19923.78</v>
      </c>
      <c r="S25" s="14">
        <f t="shared" si="7"/>
        <v>0</v>
      </c>
      <c r="T25" s="14">
        <f t="shared" si="8"/>
        <v>19923.78</v>
      </c>
      <c r="U25" s="62">
        <f t="shared" si="9"/>
        <v>26641.33</v>
      </c>
      <c r="V25" s="78">
        <f t="shared" si="10"/>
        <v>0</v>
      </c>
    </row>
    <row r="26" spans="1:35" customFormat="1" x14ac:dyDescent="0.25">
      <c r="A26" s="45">
        <v>44074</v>
      </c>
      <c r="B26" s="33" t="s">
        <v>63</v>
      </c>
      <c r="C26" s="2" t="s">
        <v>30</v>
      </c>
      <c r="D26" s="34">
        <v>0</v>
      </c>
      <c r="E26" s="33" t="s">
        <v>7</v>
      </c>
      <c r="F26" s="45">
        <v>44325</v>
      </c>
      <c r="G26" s="33" t="s">
        <v>86</v>
      </c>
      <c r="H26" s="25">
        <f t="array" ref="H26">IFERROR(INDEX(Agenda!AA:AA,MATCH(1,('Lançamentos- Credito Débito'!E26=Agenda!C:C)*('Lançamentos- Credito Débito'!F26=Agenda!I:I),0)),"")</f>
        <v>8.2342591547712729E-4</v>
      </c>
      <c r="I26">
        <f t="shared" si="0"/>
        <v>31</v>
      </c>
      <c r="J26" s="35">
        <f t="shared" si="1"/>
        <v>2.5844011563361136E-2</v>
      </c>
      <c r="K26" s="40">
        <f t="array" ref="K26">INDEX(Agenda!AB:AB,MATCH(1,('Lançamentos- Credito Débito'!E26=Agenda!C:C)*('Lançamentos- Credito Débito'!F26=Agenda!I:I),0))</f>
        <v>0.74785230316954887</v>
      </c>
      <c r="L26" s="36">
        <f t="shared" si="2"/>
        <v>0</v>
      </c>
      <c r="M26" s="36">
        <f t="shared" si="3"/>
        <v>0</v>
      </c>
      <c r="N26" s="1">
        <f t="shared" si="4"/>
        <v>21122.803179254548</v>
      </c>
      <c r="O26" s="81">
        <f t="array" ref="O26">IF(OR(G26="Amortization",G26="Fim de Mês"),(1+J26)*N26-D26,-INDEX(Agenda!J:J,MATCH(1,('Lançamentos- Credito Débito'!E26=Agenda!C:C)*('Lançamentos- Credito Débito'!G26=Agenda!G:G),0)))</f>
        <v>21668.701148869804</v>
      </c>
      <c r="P26" s="44">
        <f t="shared" si="5"/>
        <v>545.89796961525587</v>
      </c>
      <c r="Q26" s="64">
        <f t="shared" si="6"/>
        <v>21668.701148869804</v>
      </c>
      <c r="R26" s="14">
        <f t="array" ref="R26">IF(F26="","",INDEX(Agenda!L:L,MATCH(1,('Lançamentos- Credito Débito'!E26=Agenda!C:C)*('Lançamentos- Credito Débito'!F26=Agenda!I:I),0)))</f>
        <v>19923.78</v>
      </c>
      <c r="S26" s="14">
        <f t="shared" si="7"/>
        <v>0</v>
      </c>
      <c r="T26" s="14">
        <f t="shared" si="8"/>
        <v>19923.78</v>
      </c>
      <c r="U26" s="62">
        <f t="shared" si="9"/>
        <v>26641.33</v>
      </c>
      <c r="V26" s="78">
        <f t="shared" si="10"/>
        <v>0</v>
      </c>
    </row>
    <row r="27" spans="1:35" customFormat="1" x14ac:dyDescent="0.25">
      <c r="A27" s="45">
        <v>44104</v>
      </c>
      <c r="B27" s="33" t="s">
        <v>63</v>
      </c>
      <c r="C27" s="2" t="s">
        <v>30</v>
      </c>
      <c r="D27" s="34">
        <v>0</v>
      </c>
      <c r="E27" s="33" t="s">
        <v>7</v>
      </c>
      <c r="F27" s="45">
        <v>44325</v>
      </c>
      <c r="G27" s="33" t="s">
        <v>86</v>
      </c>
      <c r="H27" s="25">
        <f t="array" ref="H27">IFERROR(INDEX(Agenda!AA:AA,MATCH(1,('Lançamentos- Credito Débito'!E27=Agenda!C:C)*('Lançamentos- Credito Débito'!F27=Agenda!I:I),0)),"")</f>
        <v>8.2342591547712729E-4</v>
      </c>
      <c r="I27">
        <f t="shared" si="0"/>
        <v>30</v>
      </c>
      <c r="J27" s="35">
        <f t="shared" si="1"/>
        <v>2.4999999999997025E-2</v>
      </c>
      <c r="K27" s="40">
        <f t="array" ref="K27">INDEX(Agenda!AB:AB,MATCH(1,('Lançamentos- Credito Débito'!E27=Agenda!C:C)*('Lançamentos- Credito Débito'!F27=Agenda!I:I),0))</f>
        <v>0.74785230316954887</v>
      </c>
      <c r="L27" s="36">
        <f t="shared" si="2"/>
        <v>0</v>
      </c>
      <c r="M27" s="36">
        <f t="shared" si="3"/>
        <v>0</v>
      </c>
      <c r="N27" s="1">
        <f t="shared" si="4"/>
        <v>21668.701148869804</v>
      </c>
      <c r="O27" s="81">
        <f t="array" ref="O27">IF(OR(G27="Amortization",G27="Fim de Mês"),(1+J27)*N27-D27,-INDEX(Agenda!J:J,MATCH(1,('Lançamentos- Credito Débito'!E27=Agenda!C:C)*('Lançamentos- Credito Débito'!G27=Agenda!G:G),0)))</f>
        <v>22210.418677591486</v>
      </c>
      <c r="P27" s="44">
        <f t="shared" si="5"/>
        <v>541.71752872168065</v>
      </c>
      <c r="Q27" s="64">
        <f t="shared" si="6"/>
        <v>22210.418677591486</v>
      </c>
      <c r="R27" s="14">
        <f t="array" ref="R27">IF(F27="","",INDEX(Agenda!L:L,MATCH(1,('Lançamentos- Credito Débito'!E27=Agenda!C:C)*('Lançamentos- Credito Débito'!F27=Agenda!I:I),0)))</f>
        <v>19923.78</v>
      </c>
      <c r="S27" s="14">
        <f t="shared" si="7"/>
        <v>0</v>
      </c>
      <c r="T27" s="14">
        <f t="shared" si="8"/>
        <v>19923.78</v>
      </c>
      <c r="U27" s="62">
        <f t="shared" si="9"/>
        <v>26641.33</v>
      </c>
      <c r="V27" s="78">
        <f t="shared" si="10"/>
        <v>0</v>
      </c>
    </row>
    <row r="28" spans="1:35" customFormat="1" x14ac:dyDescent="0.25">
      <c r="A28" s="45">
        <v>44135</v>
      </c>
      <c r="B28" s="33" t="s">
        <v>63</v>
      </c>
      <c r="C28" s="2" t="s">
        <v>30</v>
      </c>
      <c r="D28" s="34">
        <v>0</v>
      </c>
      <c r="E28" s="33" t="s">
        <v>7</v>
      </c>
      <c r="F28" s="45">
        <v>44325</v>
      </c>
      <c r="G28" s="33" t="s">
        <v>86</v>
      </c>
      <c r="H28" s="25">
        <f t="array" ref="H28">IFERROR(INDEX(Agenda!AA:AA,MATCH(1,('Lançamentos- Credito Débito'!E28=Agenda!C:C)*('Lançamentos- Credito Débito'!F28=Agenda!I:I),0)),"")</f>
        <v>8.2342591547712729E-4</v>
      </c>
      <c r="I28">
        <f t="shared" si="0"/>
        <v>31</v>
      </c>
      <c r="J28" s="35">
        <f t="shared" si="1"/>
        <v>2.5844011563361136E-2</v>
      </c>
      <c r="K28" s="40">
        <f t="array" ref="K28">INDEX(Agenda!AB:AB,MATCH(1,('Lançamentos- Credito Débito'!E28=Agenda!C:C)*('Lançamentos- Credito Débito'!F28=Agenda!I:I),0))</f>
        <v>0.74785230316954887</v>
      </c>
      <c r="L28" s="36">
        <f t="shared" si="2"/>
        <v>0</v>
      </c>
      <c r="M28" s="36">
        <f t="shared" si="3"/>
        <v>0</v>
      </c>
      <c r="N28" s="1">
        <f t="shared" si="4"/>
        <v>22210.418677591486</v>
      </c>
      <c r="O28" s="81">
        <f t="array" ref="O28">IF(OR(G28="Amortization",G28="Fim de Mês"),(1+J28)*N28-D28,-INDEX(Agenda!J:J,MATCH(1,('Lançamentos- Credito Débito'!E28=Agenda!C:C)*('Lançamentos- Credito Débito'!G28=Agenda!G:G),0)))</f>
        <v>22784.424994722252</v>
      </c>
      <c r="P28" s="44">
        <f t="shared" si="5"/>
        <v>574.00631713076655</v>
      </c>
      <c r="Q28" s="64">
        <f t="shared" si="6"/>
        <v>22784.424994722252</v>
      </c>
      <c r="R28" s="14">
        <f t="array" ref="R28">IF(F28="","",INDEX(Agenda!L:L,MATCH(1,('Lançamentos- Credito Débito'!E28=Agenda!C:C)*('Lançamentos- Credito Débito'!F28=Agenda!I:I),0)))</f>
        <v>19923.78</v>
      </c>
      <c r="S28" s="14">
        <f t="shared" si="7"/>
        <v>0</v>
      </c>
      <c r="T28" s="14">
        <f t="shared" si="8"/>
        <v>19923.78</v>
      </c>
      <c r="U28" s="62">
        <f t="shared" si="9"/>
        <v>26641.33</v>
      </c>
      <c r="V28" s="78">
        <f t="shared" si="10"/>
        <v>0</v>
      </c>
    </row>
    <row r="29" spans="1:35" customFormat="1" x14ac:dyDescent="0.25">
      <c r="A29" s="45">
        <v>44165</v>
      </c>
      <c r="B29" s="33" t="s">
        <v>63</v>
      </c>
      <c r="C29" s="2" t="s">
        <v>30</v>
      </c>
      <c r="D29" s="34">
        <v>0</v>
      </c>
      <c r="E29" s="33" t="s">
        <v>7</v>
      </c>
      <c r="F29" s="45">
        <v>44325</v>
      </c>
      <c r="G29" s="33" t="s">
        <v>86</v>
      </c>
      <c r="H29" s="25">
        <f t="array" ref="H29">IFERROR(INDEX(Agenda!AA:AA,MATCH(1,('Lançamentos- Credito Débito'!E29=Agenda!C:C)*('Lançamentos- Credito Débito'!F29=Agenda!I:I),0)),"")</f>
        <v>8.2342591547712729E-4</v>
      </c>
      <c r="I29">
        <f t="shared" si="0"/>
        <v>30</v>
      </c>
      <c r="J29" s="35">
        <f t="shared" si="1"/>
        <v>2.4999999999997025E-2</v>
      </c>
      <c r="K29" s="40">
        <f t="array" ref="K29">INDEX(Agenda!AB:AB,MATCH(1,('Lançamentos- Credito Débito'!E29=Agenda!C:C)*('Lançamentos- Credito Débito'!F29=Agenda!I:I),0))</f>
        <v>0.74785230316954887</v>
      </c>
      <c r="L29" s="36">
        <f t="shared" si="2"/>
        <v>0</v>
      </c>
      <c r="M29" s="36">
        <f t="shared" si="3"/>
        <v>0</v>
      </c>
      <c r="N29" s="1">
        <f t="shared" si="4"/>
        <v>22784.424994722252</v>
      </c>
      <c r="O29" s="81">
        <f t="array" ref="O29">IF(OR(G29="Amortization",G29="Fim de Mês"),(1+J29)*N29-D29,-INDEX(Agenda!J:J,MATCH(1,('Lançamentos- Credito Débito'!E29=Agenda!C:C)*('Lançamentos- Credito Débito'!G29=Agenda!G:G),0)))</f>
        <v>23354.035619590242</v>
      </c>
      <c r="P29" s="44">
        <f t="shared" si="5"/>
        <v>569.61062486798846</v>
      </c>
      <c r="Q29" s="64">
        <f t="shared" si="6"/>
        <v>23354.035619590242</v>
      </c>
      <c r="R29" s="14">
        <f t="array" ref="R29">IF(F29="","",INDEX(Agenda!L:L,MATCH(1,('Lançamentos- Credito Débito'!E29=Agenda!C:C)*('Lançamentos- Credito Débito'!F29=Agenda!I:I),0)))</f>
        <v>19923.78</v>
      </c>
      <c r="S29" s="14">
        <f t="shared" si="7"/>
        <v>0</v>
      </c>
      <c r="T29" s="14">
        <f t="shared" si="8"/>
        <v>19923.78</v>
      </c>
      <c r="U29" s="62">
        <f t="shared" si="9"/>
        <v>26641.33</v>
      </c>
      <c r="V29" s="78">
        <f t="shared" si="10"/>
        <v>0</v>
      </c>
    </row>
    <row r="30" spans="1:35" customFormat="1" x14ac:dyDescent="0.25">
      <c r="A30" s="45">
        <v>44196</v>
      </c>
      <c r="B30" s="33" t="s">
        <v>63</v>
      </c>
      <c r="C30" s="2" t="s">
        <v>30</v>
      </c>
      <c r="D30" s="34">
        <v>0</v>
      </c>
      <c r="E30" s="33" t="s">
        <v>7</v>
      </c>
      <c r="F30" s="45">
        <v>44325</v>
      </c>
      <c r="G30" s="33" t="s">
        <v>86</v>
      </c>
      <c r="H30" s="25">
        <f t="array" ref="H30">IFERROR(INDEX(Agenda!AA:AA,MATCH(1,('Lançamentos- Credito Débito'!E30=Agenda!C:C)*('Lançamentos- Credito Débito'!F30=Agenda!I:I),0)),"")</f>
        <v>8.2342591547712729E-4</v>
      </c>
      <c r="I30">
        <f t="shared" si="0"/>
        <v>31</v>
      </c>
      <c r="J30" s="35">
        <f t="shared" si="1"/>
        <v>2.5844011563361136E-2</v>
      </c>
      <c r="K30" s="40">
        <f t="array" ref="K30">INDEX(Agenda!AB:AB,MATCH(1,('Lançamentos- Credito Débito'!E30=Agenda!C:C)*('Lançamentos- Credito Débito'!F30=Agenda!I:I),0))</f>
        <v>0.74785230316954887</v>
      </c>
      <c r="L30" s="36">
        <f t="shared" si="2"/>
        <v>0</v>
      </c>
      <c r="M30" s="36">
        <f t="shared" si="3"/>
        <v>0</v>
      </c>
      <c r="N30" s="1">
        <f t="shared" si="4"/>
        <v>23354.035619590242</v>
      </c>
      <c r="O30" s="81">
        <f t="array" ref="O30">IF(OR(G30="Amortization",G30="Fim de Mês"),(1+J30)*N30-D30,-INDEX(Agenda!J:J,MATCH(1,('Lançamentos- Credito Débito'!E30=Agenda!C:C)*('Lançamentos- Credito Débito'!G30=Agenda!G:G),0)))</f>
        <v>23957.597586194079</v>
      </c>
      <c r="P30" s="44">
        <f t="shared" si="5"/>
        <v>603.56196660383807</v>
      </c>
      <c r="Q30" s="64">
        <f t="shared" si="6"/>
        <v>23957.597586194079</v>
      </c>
      <c r="R30" s="14">
        <f t="array" ref="R30">IF(F30="","",INDEX(Agenda!L:L,MATCH(1,('Lançamentos- Credito Débito'!E30=Agenda!C:C)*('Lançamentos- Credito Débito'!F30=Agenda!I:I),0)))</f>
        <v>19923.78</v>
      </c>
      <c r="S30" s="14">
        <f t="shared" si="7"/>
        <v>0</v>
      </c>
      <c r="T30" s="14">
        <f t="shared" si="8"/>
        <v>19923.78</v>
      </c>
      <c r="U30" s="62">
        <f t="shared" si="9"/>
        <v>26641.33</v>
      </c>
      <c r="V30" s="78">
        <f t="shared" si="10"/>
        <v>0</v>
      </c>
    </row>
    <row r="31" spans="1:35" customFormat="1" x14ac:dyDescent="0.25">
      <c r="A31" s="45">
        <v>44227</v>
      </c>
      <c r="B31" s="33" t="s">
        <v>63</v>
      </c>
      <c r="C31" s="2" t="s">
        <v>30</v>
      </c>
      <c r="D31" s="34">
        <v>0</v>
      </c>
      <c r="E31" s="33" t="s">
        <v>7</v>
      </c>
      <c r="F31" s="45">
        <v>44325</v>
      </c>
      <c r="G31" s="33" t="s">
        <v>86</v>
      </c>
      <c r="H31" s="25">
        <f t="array" ref="H31">IFERROR(INDEX(Agenda!AA:AA,MATCH(1,('Lançamentos- Credito Débito'!E31=Agenda!C:C)*('Lançamentos- Credito Débito'!F31=Agenda!I:I),0)),"")</f>
        <v>8.2342591547712729E-4</v>
      </c>
      <c r="I31">
        <f t="shared" si="0"/>
        <v>31</v>
      </c>
      <c r="J31" s="35">
        <f t="shared" si="1"/>
        <v>2.5844011563361136E-2</v>
      </c>
      <c r="K31" s="40">
        <f t="array" ref="K31">INDEX(Agenda!AB:AB,MATCH(1,('Lançamentos- Credito Débito'!E31=Agenda!C:C)*('Lançamentos- Credito Débito'!F31=Agenda!I:I),0))</f>
        <v>0.74785230316954887</v>
      </c>
      <c r="L31" s="36">
        <f t="shared" si="2"/>
        <v>0</v>
      </c>
      <c r="M31" s="36">
        <f t="shared" si="3"/>
        <v>0</v>
      </c>
      <c r="N31" s="1">
        <f t="shared" si="4"/>
        <v>23957.597586194079</v>
      </c>
      <c r="O31" s="81">
        <f t="array" ref="O31">IF(OR(G31="Amortization",G31="Fim de Mês"),(1+J31)*N31-D31,-INDEX(Agenda!J:J,MATCH(1,('Lançamentos- Credito Débito'!E31=Agenda!C:C)*('Lançamentos- Credito Débito'!G31=Agenda!G:G),0)))</f>
        <v>24576.758015242031</v>
      </c>
      <c r="P31" s="44">
        <f t="shared" si="5"/>
        <v>619.16042904795256</v>
      </c>
      <c r="Q31" s="64">
        <f t="shared" si="6"/>
        <v>24576.758015242031</v>
      </c>
      <c r="R31" s="14">
        <f t="array" ref="R31">IF(F31="","",INDEX(Agenda!L:L,MATCH(1,('Lançamentos- Credito Débito'!E31=Agenda!C:C)*('Lançamentos- Credito Débito'!F31=Agenda!I:I),0)))</f>
        <v>19923.78</v>
      </c>
      <c r="S31" s="14">
        <f t="shared" si="7"/>
        <v>0</v>
      </c>
      <c r="T31" s="14">
        <f t="shared" si="8"/>
        <v>19923.78</v>
      </c>
      <c r="U31" s="62">
        <f t="shared" si="9"/>
        <v>26641.33</v>
      </c>
      <c r="V31" s="78">
        <f t="shared" si="10"/>
        <v>0</v>
      </c>
    </row>
    <row r="32" spans="1:35" customFormat="1" x14ac:dyDescent="0.25">
      <c r="A32" s="45">
        <v>44255</v>
      </c>
      <c r="B32" s="33" t="s">
        <v>63</v>
      </c>
      <c r="C32" s="2" t="s">
        <v>30</v>
      </c>
      <c r="D32" s="34">
        <v>0</v>
      </c>
      <c r="E32" s="33" t="s">
        <v>7</v>
      </c>
      <c r="F32" s="45">
        <v>44325</v>
      </c>
      <c r="G32" s="33" t="s">
        <v>86</v>
      </c>
      <c r="H32" s="25">
        <f t="array" ref="H32">IFERROR(INDEX(Agenda!AA:AA,MATCH(1,('Lançamentos- Credito Débito'!E32=Agenda!C:C)*('Lançamentos- Credito Débito'!F32=Agenda!I:I),0)),"")</f>
        <v>8.2342591547712729E-4</v>
      </c>
      <c r="I32">
        <f t="shared" si="0"/>
        <v>28</v>
      </c>
      <c r="J32" s="35">
        <f t="shared" si="1"/>
        <v>2.3314059529544018E-2</v>
      </c>
      <c r="K32" s="40">
        <f t="array" ref="K32">INDEX(Agenda!AB:AB,MATCH(1,('Lançamentos- Credito Débito'!E32=Agenda!C:C)*('Lançamentos- Credito Débito'!F32=Agenda!I:I),0))</f>
        <v>0.74785230316954887</v>
      </c>
      <c r="L32" s="36">
        <f t="shared" si="2"/>
        <v>0</v>
      </c>
      <c r="M32" s="36">
        <f t="shared" si="3"/>
        <v>0</v>
      </c>
      <c r="N32" s="1">
        <f t="shared" si="4"/>
        <v>24576.758015242031</v>
      </c>
      <c r="O32" s="81">
        <f t="array" ref="O32">IF(OR(G32="Amortization",G32="Fim de Mês"),(1+J32)*N32-D32,-INDEX(Agenda!J:J,MATCH(1,('Lançamentos- Credito Débito'!E32=Agenda!C:C)*('Lançamentos- Credito Débito'!G32=Agenda!G:G),0)))</f>
        <v>25149.74201465258</v>
      </c>
      <c r="P32" s="44">
        <f t="shared" si="5"/>
        <v>572.98399941055084</v>
      </c>
      <c r="Q32" s="64">
        <f t="shared" si="6"/>
        <v>25149.74201465258</v>
      </c>
      <c r="R32" s="14">
        <f t="array" ref="R32">IF(F32="","",INDEX(Agenda!L:L,MATCH(1,('Lançamentos- Credito Débito'!E32=Agenda!C:C)*('Lançamentos- Credito Débito'!F32=Agenda!I:I),0)))</f>
        <v>19923.78</v>
      </c>
      <c r="S32" s="14">
        <f t="shared" si="7"/>
        <v>0</v>
      </c>
      <c r="T32" s="14">
        <f t="shared" si="8"/>
        <v>19923.78</v>
      </c>
      <c r="U32" s="62">
        <f t="shared" si="9"/>
        <v>26641.33</v>
      </c>
      <c r="V32" s="78">
        <f t="shared" si="10"/>
        <v>0</v>
      </c>
    </row>
    <row r="33" spans="1:22" customFormat="1" x14ac:dyDescent="0.25">
      <c r="A33" s="45">
        <v>44286</v>
      </c>
      <c r="B33" s="33" t="s">
        <v>63</v>
      </c>
      <c r="C33" s="2" t="s">
        <v>30</v>
      </c>
      <c r="D33" s="34">
        <v>0</v>
      </c>
      <c r="E33" s="33" t="s">
        <v>7</v>
      </c>
      <c r="F33" s="45">
        <v>44325</v>
      </c>
      <c r="G33" s="33" t="s">
        <v>86</v>
      </c>
      <c r="H33" s="25">
        <f t="array" ref="H33">IFERROR(INDEX(Agenda!AA:AA,MATCH(1,('Lançamentos- Credito Débito'!E33=Agenda!C:C)*('Lançamentos- Credito Débito'!F33=Agenda!I:I),0)),"")</f>
        <v>8.2342591547712729E-4</v>
      </c>
      <c r="I33">
        <f t="shared" si="0"/>
        <v>31</v>
      </c>
      <c r="J33" s="35">
        <f t="shared" si="1"/>
        <v>2.5844011563361136E-2</v>
      </c>
      <c r="K33" s="40">
        <f t="array" ref="K33">INDEX(Agenda!AB:AB,MATCH(1,('Lançamentos- Credito Débito'!E33=Agenda!C:C)*('Lançamentos- Credito Débito'!F33=Agenda!I:I),0))</f>
        <v>0.74785230316954887</v>
      </c>
      <c r="L33" s="36">
        <f t="shared" si="2"/>
        <v>0</v>
      </c>
      <c r="M33" s="36">
        <f t="shared" si="3"/>
        <v>0</v>
      </c>
      <c r="N33" s="1">
        <f t="shared" si="4"/>
        <v>25149.74201465258</v>
      </c>
      <c r="O33" s="81">
        <f t="array" ref="O33">IF(OR(G33="Amortization",G33="Fim de Mês"),(1+J33)*N33-D33,-INDEX(Agenda!J:J,MATCH(1,('Lançamentos- Credito Débito'!E33=Agenda!C:C)*('Lançamentos- Credito Débito'!G33=Agenda!G:G),0)))</f>
        <v>25799.712238094809</v>
      </c>
      <c r="P33" s="44">
        <f t="shared" si="5"/>
        <v>649.97022344223069</v>
      </c>
      <c r="Q33" s="64">
        <f t="shared" si="6"/>
        <v>25799.712238094809</v>
      </c>
      <c r="R33" s="14">
        <f t="array" ref="R33">IF(F33="","",INDEX(Agenda!L:L,MATCH(1,('Lançamentos- Credito Débito'!E33=Agenda!C:C)*('Lançamentos- Credito Débito'!F33=Agenda!I:I),0)))</f>
        <v>19923.78</v>
      </c>
      <c r="S33" s="14">
        <f t="shared" si="7"/>
        <v>0</v>
      </c>
      <c r="T33" s="14">
        <f t="shared" si="8"/>
        <v>19923.78</v>
      </c>
      <c r="U33" s="62">
        <f t="shared" si="9"/>
        <v>26641.33</v>
      </c>
      <c r="V33" s="78">
        <f t="shared" si="10"/>
        <v>0</v>
      </c>
    </row>
    <row r="34" spans="1:22" customFormat="1" x14ac:dyDescent="0.25">
      <c r="A34" s="45">
        <v>44316</v>
      </c>
      <c r="B34" s="33" t="s">
        <v>63</v>
      </c>
      <c r="C34" s="2" t="s">
        <v>30</v>
      </c>
      <c r="D34" s="34">
        <v>0</v>
      </c>
      <c r="E34" s="33" t="s">
        <v>7</v>
      </c>
      <c r="F34" s="45">
        <v>44325</v>
      </c>
      <c r="G34" s="33" t="s">
        <v>86</v>
      </c>
      <c r="H34" s="25">
        <f t="array" ref="H34">IFERROR(INDEX(Agenda!AA:AA,MATCH(1,('Lançamentos- Credito Débito'!E34=Agenda!C:C)*('Lançamentos- Credito Débito'!F34=Agenda!I:I),0)),"")</f>
        <v>8.2342591547712729E-4</v>
      </c>
      <c r="I34">
        <f t="shared" si="0"/>
        <v>30</v>
      </c>
      <c r="J34" s="35">
        <f t="shared" si="1"/>
        <v>2.4999999999997025E-2</v>
      </c>
      <c r="K34" s="40">
        <f t="array" ref="K34">INDEX(Agenda!AB:AB,MATCH(1,('Lançamentos- Credito Débito'!E34=Agenda!C:C)*('Lançamentos- Credito Débito'!F34=Agenda!I:I),0))</f>
        <v>0.74785230316954887</v>
      </c>
      <c r="L34" s="36">
        <f t="shared" si="2"/>
        <v>0</v>
      </c>
      <c r="M34" s="36">
        <f t="shared" si="3"/>
        <v>0</v>
      </c>
      <c r="N34" s="1">
        <f t="shared" si="4"/>
        <v>25799.712238094809</v>
      </c>
      <c r="O34" s="81">
        <f t="array" ref="O34">IF(OR(G34="Amortization",G34="Fim de Mês"),(1+J34)*N34-D34,-INDEX(Agenda!J:J,MATCH(1,('Lançamentos- Credito Débito'!E34=Agenda!C:C)*('Lançamentos- Credito Débito'!G34=Agenda!G:G),0)))</f>
        <v>26444.705044047103</v>
      </c>
      <c r="P34" s="44">
        <f t="shared" si="5"/>
        <v>644.99280595229345</v>
      </c>
      <c r="Q34" s="64">
        <f t="shared" si="6"/>
        <v>26444.705044047103</v>
      </c>
      <c r="R34" s="14">
        <f t="array" ref="R34">IF(F34="","",INDEX(Agenda!L:L,MATCH(1,('Lançamentos- Credito Débito'!E34=Agenda!C:C)*('Lançamentos- Credito Débito'!F34=Agenda!I:I),0)))</f>
        <v>19923.78</v>
      </c>
      <c r="S34" s="14">
        <f t="shared" si="7"/>
        <v>0</v>
      </c>
      <c r="T34" s="14">
        <f t="shared" si="8"/>
        <v>19923.78</v>
      </c>
      <c r="U34" s="62">
        <f t="shared" si="9"/>
        <v>26641.33</v>
      </c>
      <c r="V34" s="78">
        <f t="shared" si="10"/>
        <v>0</v>
      </c>
    </row>
    <row r="35" spans="1:22" customFormat="1" x14ac:dyDescent="0.25">
      <c r="A35" s="45">
        <v>44325</v>
      </c>
      <c r="B35" s="33" t="s">
        <v>63</v>
      </c>
      <c r="C35" s="2" t="s">
        <v>30</v>
      </c>
      <c r="D35" s="34">
        <v>26641.33</v>
      </c>
      <c r="E35" s="33" t="s">
        <v>7</v>
      </c>
      <c r="F35" s="45">
        <v>44325</v>
      </c>
      <c r="G35" s="33" t="s">
        <v>51</v>
      </c>
      <c r="H35" s="25">
        <f t="array" ref="H35">IFERROR(INDEX(Agenda!AA:AA,MATCH(1,('Lançamentos- Credito Débito'!E35=Agenda!C:C)*('Lançamentos- Credito Débito'!F35=Agenda!I:I),0)),"")</f>
        <v>8.2342591547712729E-4</v>
      </c>
      <c r="I35">
        <f t="shared" si="0"/>
        <v>9</v>
      </c>
      <c r="J35" s="35">
        <f t="shared" si="1"/>
        <v>7.4352892836888618E-3</v>
      </c>
      <c r="K35" s="40">
        <f t="array" ref="K35">INDEX(Agenda!AB:AB,MATCH(1,('Lançamentos- Credito Débito'!E35=Agenda!C:C)*('Lançamentos- Credito Débito'!F35=Agenda!I:I),0))</f>
        <v>0.74785230316954887</v>
      </c>
      <c r="L35" s="36">
        <f t="shared" si="2"/>
        <v>19923.78</v>
      </c>
      <c r="M35" s="36">
        <f t="shared" si="3"/>
        <v>6717.5500000000029</v>
      </c>
      <c r="N35" s="1">
        <f t="shared" si="4"/>
        <v>26444.705044047103</v>
      </c>
      <c r="O35" s="81">
        <f t="array" ref="O35">IF(OR(G35="Amortization",G35="Fim de Mês"),(1+J35)*N35-D35,-INDEX(Agenda!J:J,MATCH(1,('Lançamentos- Credito Débito'!E35=Agenda!C:C)*('Lançamentos- Credito Débito'!G35=Agenda!G:G),0)))</f>
        <v>-9.23928582778899E-4</v>
      </c>
      <c r="P35" s="44">
        <f t="shared" si="5"/>
        <v>196.62403202431622</v>
      </c>
      <c r="Q35" s="64">
        <f t="shared" si="6"/>
        <v>26641.329076071419</v>
      </c>
      <c r="R35" s="14">
        <f t="array" ref="R35">IF(F35="","",INDEX(Agenda!L:L,MATCH(1,('Lançamentos- Credito Débito'!E35=Agenda!C:C)*('Lançamentos- Credito Débito'!F35=Agenda!I:I),0)))</f>
        <v>19923.78</v>
      </c>
      <c r="S35" s="14">
        <f t="shared" si="7"/>
        <v>19923.78</v>
      </c>
      <c r="T35" s="14">
        <f t="shared" si="8"/>
        <v>0</v>
      </c>
      <c r="U35" s="62">
        <f t="shared" si="9"/>
        <v>0</v>
      </c>
      <c r="V35" s="78">
        <f t="shared" si="10"/>
        <v>0</v>
      </c>
    </row>
    <row r="36" spans="1:22" customFormat="1" x14ac:dyDescent="0.25">
      <c r="A36" s="45">
        <v>43951</v>
      </c>
      <c r="B36" s="33" t="s">
        <v>28</v>
      </c>
      <c r="C36" s="33" t="s">
        <v>63</v>
      </c>
      <c r="D36" s="34">
        <v>40761.919999999998</v>
      </c>
      <c r="E36" s="33" t="s">
        <v>15</v>
      </c>
      <c r="F36" s="33"/>
      <c r="G36" s="33" t="s">
        <v>50</v>
      </c>
      <c r="H36" s="25" t="str">
        <f t="array" ref="H36">IFERROR(INDEX(Agenda!AA:AA,MATCH(1,('Lançamentos- Credito Débito'!E36=Agenda!C:C)*('Lançamentos- Credito Débito'!F36=Agenda!I:I),0)),"")</f>
        <v/>
      </c>
      <c r="I36" t="str">
        <f t="shared" si="0"/>
        <v/>
      </c>
      <c r="J36" s="35" t="str">
        <f t="shared" si="1"/>
        <v/>
      </c>
      <c r="K36" s="40" t="e">
        <f t="array" ref="K36">INDEX(Agenda!AB:AB,MATCH(1,('Lançamentos- Credito Débito'!E36=Agenda!C:C)*('Lançamentos- Credito Débito'!F36=Agenda!I:I),0))</f>
        <v>#N/A</v>
      </c>
      <c r="L36" s="36" t="str">
        <f t="shared" si="2"/>
        <v/>
      </c>
      <c r="M36" s="36" t="str">
        <f t="shared" si="3"/>
        <v/>
      </c>
      <c r="N36" s="1" t="str">
        <f t="shared" si="4"/>
        <v/>
      </c>
      <c r="O36" s="81">
        <f t="array" ref="O36">IF(OR(G36="Amortization",G36="Fim de Mês"),(1+J36)*N36-D36,-INDEX(Agenda!J:J,MATCH(1,('Lançamentos- Credito Débito'!E36=Agenda!C:C)*('Lançamentos- Credito Débito'!G36=Agenda!G:G),0)))</f>
        <v>40761.919999999998</v>
      </c>
      <c r="P36" s="44" t="str">
        <f t="shared" si="5"/>
        <v/>
      </c>
      <c r="Q36" s="64" t="str">
        <f t="shared" si="6"/>
        <v/>
      </c>
      <c r="R36" s="14" t="str">
        <f t="array" ref="R36">IF(F36="","",INDEX(Agenda!L:L,MATCH(1,('Lançamentos- Credito Débito'!E36=Agenda!C:C)*('Lançamentos- Credito Débito'!F36=Agenda!I:I),0)))</f>
        <v/>
      </c>
      <c r="S36" s="14" t="str">
        <f t="shared" si="7"/>
        <v/>
      </c>
      <c r="T36" s="14" t="str">
        <f t="shared" si="8"/>
        <v/>
      </c>
      <c r="U36" s="62" t="str">
        <f t="shared" si="9"/>
        <v/>
      </c>
      <c r="V36" s="78" t="str">
        <f t="shared" si="10"/>
        <v/>
      </c>
    </row>
    <row r="37" spans="1:22" customFormat="1" x14ac:dyDescent="0.25">
      <c r="A37" s="45">
        <v>43981</v>
      </c>
      <c r="B37" s="33" t="s">
        <v>63</v>
      </c>
      <c r="C37" s="33" t="s">
        <v>28</v>
      </c>
      <c r="D37" s="34">
        <v>0</v>
      </c>
      <c r="E37" s="33" t="s">
        <v>15</v>
      </c>
      <c r="F37" s="30">
        <v>44312</v>
      </c>
      <c r="G37" s="33" t="s">
        <v>86</v>
      </c>
      <c r="H37" s="25">
        <f t="array" ref="H37">IFERROR(INDEX(Agenda!AA:AA,MATCH(1,('Lançamentos- Credito Débito'!E37=Agenda!C:C)*('Lançamentos- Credito Débito'!F37=Agenda!I:I),0)),"")</f>
        <v>8.2342591547712729E-4</v>
      </c>
      <c r="I37">
        <f t="shared" si="0"/>
        <v>30</v>
      </c>
      <c r="J37" s="35">
        <f t="shared" si="1"/>
        <v>2.4999999999997025E-2</v>
      </c>
      <c r="K37" s="40">
        <f t="array" ref="K37">INDEX(Agenda!AB:AB,MATCH(1,('Lançamentos- Credito Débito'!E37=Agenda!C:C)*('Lançamentos- Credito Débito'!F37=Agenda!I:I),0))</f>
        <v>0.74294414019475663</v>
      </c>
      <c r="L37" s="36">
        <f t="shared" si="2"/>
        <v>0</v>
      </c>
      <c r="M37" s="36">
        <f t="shared" si="3"/>
        <v>0</v>
      </c>
      <c r="N37" s="1">
        <f t="shared" si="4"/>
        <v>40761.919999999998</v>
      </c>
      <c r="O37" s="81">
        <f t="array" ref="O37">IF(OR(G37="Amortization",G37="Fim de Mês"),(1+J37)*N37-D37,-INDEX(Agenda!J:J,MATCH(1,('Lançamentos- Credito Débito'!E37=Agenda!C:C)*('Lançamentos- Credito Débito'!G37=Agenda!G:G),0)))</f>
        <v>41780.967999999877</v>
      </c>
      <c r="P37" s="44">
        <f t="shared" si="5"/>
        <v>1019.0479999998787</v>
      </c>
      <c r="Q37" s="64">
        <f t="shared" si="6"/>
        <v>41780.967999999877</v>
      </c>
      <c r="R37" s="14">
        <f t="array" ref="R37">IF(F37="","",INDEX(Agenda!L:L,MATCH(1,('Lançamentos- Credito Débito'!E37=Agenda!C:C)*('Lançamentos- Credito Débito'!F37=Agenda!I:I),0)))</f>
        <v>40761.919999999998</v>
      </c>
      <c r="S37" s="14">
        <f t="shared" si="7"/>
        <v>0</v>
      </c>
      <c r="T37" s="14">
        <f t="shared" si="8"/>
        <v>40761.919999999998</v>
      </c>
      <c r="U37" s="62">
        <f t="shared" si="9"/>
        <v>54865.39</v>
      </c>
      <c r="V37" s="78">
        <f t="shared" si="10"/>
        <v>0</v>
      </c>
    </row>
    <row r="38" spans="1:22" customFormat="1" x14ac:dyDescent="0.25">
      <c r="A38" s="45">
        <v>44012</v>
      </c>
      <c r="B38" s="33" t="s">
        <v>63</v>
      </c>
      <c r="C38" s="33" t="s">
        <v>28</v>
      </c>
      <c r="D38" s="34">
        <v>0</v>
      </c>
      <c r="E38" s="33" t="s">
        <v>15</v>
      </c>
      <c r="F38" s="30">
        <v>44312</v>
      </c>
      <c r="G38" s="33" t="s">
        <v>86</v>
      </c>
      <c r="H38" s="25">
        <f t="array" ref="H38">IFERROR(INDEX(Agenda!AA:AA,MATCH(1,('Lançamentos- Credito Débito'!E38=Agenda!C:C)*('Lançamentos- Credito Débito'!F38=Agenda!I:I),0)),"")</f>
        <v>8.2342591547712729E-4</v>
      </c>
      <c r="I38">
        <f t="shared" si="0"/>
        <v>31</v>
      </c>
      <c r="J38" s="35">
        <f t="shared" si="1"/>
        <v>2.5844011563361136E-2</v>
      </c>
      <c r="K38" s="40">
        <f t="array" ref="K38">INDEX(Agenda!AB:AB,MATCH(1,('Lançamentos- Credito Débito'!E38=Agenda!C:C)*('Lançamentos- Credito Débito'!F38=Agenda!I:I),0))</f>
        <v>0.74294414019475663</v>
      </c>
      <c r="L38" s="36">
        <f t="shared" si="2"/>
        <v>0</v>
      </c>
      <c r="M38" s="36">
        <f t="shared" si="3"/>
        <v>0</v>
      </c>
      <c r="N38" s="1">
        <f t="shared" si="4"/>
        <v>41780.967999999877</v>
      </c>
      <c r="O38" s="81">
        <f t="array" ref="O38">IF(OR(G38="Amortization",G38="Fim de Mês"),(1+J38)*N38-D38,-INDEX(Agenda!J:J,MATCH(1,('Lançamentos- Credito Débito'!E38=Agenda!C:C)*('Lançamentos- Credito Débito'!G38=Agenda!G:G),0)))</f>
        <v>42860.755820120292</v>
      </c>
      <c r="P38" s="44">
        <f t="shared" si="5"/>
        <v>1079.7878201204185</v>
      </c>
      <c r="Q38" s="64">
        <f t="shared" si="6"/>
        <v>42860.755820120292</v>
      </c>
      <c r="R38" s="14">
        <f t="array" ref="R38">IF(F38="","",INDEX(Agenda!L:L,MATCH(1,('Lançamentos- Credito Débito'!E38=Agenda!C:C)*('Lançamentos- Credito Débito'!F38=Agenda!I:I),0)))</f>
        <v>40761.919999999998</v>
      </c>
      <c r="S38" s="14">
        <f t="shared" si="7"/>
        <v>0</v>
      </c>
      <c r="T38" s="14">
        <f t="shared" si="8"/>
        <v>40761.919999999998</v>
      </c>
      <c r="U38" s="62">
        <f t="shared" si="9"/>
        <v>54865.39</v>
      </c>
      <c r="V38" s="78">
        <f t="shared" si="10"/>
        <v>0</v>
      </c>
    </row>
    <row r="39" spans="1:22" customFormat="1" x14ac:dyDescent="0.25">
      <c r="A39" s="45">
        <v>44043</v>
      </c>
      <c r="B39" s="33" t="s">
        <v>63</v>
      </c>
      <c r="C39" s="33" t="s">
        <v>28</v>
      </c>
      <c r="D39" s="34">
        <v>0</v>
      </c>
      <c r="E39" s="33" t="s">
        <v>15</v>
      </c>
      <c r="F39" s="30">
        <v>44312</v>
      </c>
      <c r="G39" s="33" t="s">
        <v>86</v>
      </c>
      <c r="H39" s="25">
        <f t="array" ref="H39">IFERROR(INDEX(Agenda!AA:AA,MATCH(1,('Lançamentos- Credito Débito'!E39=Agenda!C:C)*('Lançamentos- Credito Débito'!F39=Agenda!I:I),0)),"")</f>
        <v>8.2342591547712729E-4</v>
      </c>
      <c r="I39">
        <f t="shared" si="0"/>
        <v>31</v>
      </c>
      <c r="J39" s="35">
        <f t="shared" si="1"/>
        <v>2.5844011563361136E-2</v>
      </c>
      <c r="K39" s="40">
        <f t="array" ref="K39">INDEX(Agenda!AB:AB,MATCH(1,('Lançamentos- Credito Débito'!E39=Agenda!C:C)*('Lançamentos- Credito Débito'!F39=Agenda!I:I),0))</f>
        <v>0.74294414019475663</v>
      </c>
      <c r="L39" s="36">
        <f t="shared" si="2"/>
        <v>0</v>
      </c>
      <c r="M39" s="36">
        <f t="shared" si="3"/>
        <v>0</v>
      </c>
      <c r="N39" s="1">
        <f t="shared" si="4"/>
        <v>42860.755820120292</v>
      </c>
      <c r="O39" s="81">
        <f t="array" ref="O39">IF(OR(G39="Amortization",G39="Fim de Mês"),(1+J39)*N39-D39,-INDEX(Agenda!J:J,MATCH(1,('Lançamentos- Credito Débito'!E39=Agenda!C:C)*('Lançamentos- Credito Débito'!G39=Agenda!G:G),0)))</f>
        <v>43968.449689149878</v>
      </c>
      <c r="P39" s="44">
        <f t="shared" si="5"/>
        <v>1107.6938690295869</v>
      </c>
      <c r="Q39" s="64">
        <f t="shared" si="6"/>
        <v>43968.449689149878</v>
      </c>
      <c r="R39" s="14">
        <f t="array" ref="R39">IF(F39="","",INDEX(Agenda!L:L,MATCH(1,('Lançamentos- Credito Débito'!E39=Agenda!C:C)*('Lançamentos- Credito Débito'!F39=Agenda!I:I),0)))</f>
        <v>40761.919999999998</v>
      </c>
      <c r="S39" s="14">
        <f t="shared" si="7"/>
        <v>0</v>
      </c>
      <c r="T39" s="14">
        <f t="shared" si="8"/>
        <v>40761.919999999998</v>
      </c>
      <c r="U39" s="62">
        <f t="shared" si="9"/>
        <v>54865.39</v>
      </c>
      <c r="V39" s="78">
        <f t="shared" si="10"/>
        <v>0</v>
      </c>
    </row>
    <row r="40" spans="1:22" customFormat="1" x14ac:dyDescent="0.25">
      <c r="A40" s="45">
        <v>44074</v>
      </c>
      <c r="B40" s="33" t="s">
        <v>63</v>
      </c>
      <c r="C40" s="33" t="s">
        <v>28</v>
      </c>
      <c r="D40" s="34">
        <v>0</v>
      </c>
      <c r="E40" s="33" t="s">
        <v>15</v>
      </c>
      <c r="F40" s="30">
        <v>44312</v>
      </c>
      <c r="G40" s="33" t="s">
        <v>86</v>
      </c>
      <c r="H40" s="25">
        <f t="array" ref="H40">IFERROR(INDEX(Agenda!AA:AA,MATCH(1,('Lançamentos- Credito Débito'!E40=Agenda!C:C)*('Lançamentos- Credito Débito'!F40=Agenda!I:I),0)),"")</f>
        <v>8.2342591547712729E-4</v>
      </c>
      <c r="I40">
        <f t="shared" si="0"/>
        <v>31</v>
      </c>
      <c r="J40" s="35">
        <f t="shared" si="1"/>
        <v>2.5844011563361136E-2</v>
      </c>
      <c r="K40" s="40">
        <f t="array" ref="K40">INDEX(Agenda!AB:AB,MATCH(1,('Lançamentos- Credito Débito'!E40=Agenda!C:C)*('Lançamentos- Credito Débito'!F40=Agenda!I:I),0))</f>
        <v>0.74294414019475663</v>
      </c>
      <c r="L40" s="36">
        <f t="shared" si="2"/>
        <v>0</v>
      </c>
      <c r="M40" s="36">
        <f t="shared" si="3"/>
        <v>0</v>
      </c>
      <c r="N40" s="1">
        <f t="shared" si="4"/>
        <v>43968.449689149878</v>
      </c>
      <c r="O40" s="81">
        <f t="array" ref="O40">IF(OR(G40="Amortization",G40="Fim de Mês"),(1+J40)*N40-D40,-INDEX(Agenda!J:J,MATCH(1,('Lançamentos- Credito Débito'!E40=Agenda!C:C)*('Lançamentos- Credito Débito'!G40=Agenda!G:G),0)))</f>
        <v>45104.770811339331</v>
      </c>
      <c r="P40" s="44">
        <f t="shared" si="5"/>
        <v>1136.3211221894517</v>
      </c>
      <c r="Q40" s="64">
        <f t="shared" si="6"/>
        <v>45104.770811339331</v>
      </c>
      <c r="R40" s="14">
        <f t="array" ref="R40">IF(F40="","",INDEX(Agenda!L:L,MATCH(1,('Lançamentos- Credito Débito'!E40=Agenda!C:C)*('Lançamentos- Credito Débito'!F40=Agenda!I:I),0)))</f>
        <v>40761.919999999998</v>
      </c>
      <c r="S40" s="14">
        <f t="shared" si="7"/>
        <v>0</v>
      </c>
      <c r="T40" s="14">
        <f t="shared" si="8"/>
        <v>40761.919999999998</v>
      </c>
      <c r="U40" s="62">
        <f t="shared" si="9"/>
        <v>54865.39</v>
      </c>
      <c r="V40" s="78">
        <f t="shared" si="10"/>
        <v>0</v>
      </c>
    </row>
    <row r="41" spans="1:22" customFormat="1" x14ac:dyDescent="0.25">
      <c r="A41" s="45">
        <v>44104</v>
      </c>
      <c r="B41" s="33" t="s">
        <v>63</v>
      </c>
      <c r="C41" s="33" t="s">
        <v>28</v>
      </c>
      <c r="D41" s="34">
        <v>0</v>
      </c>
      <c r="E41" s="33" t="s">
        <v>15</v>
      </c>
      <c r="F41" s="30">
        <v>44312</v>
      </c>
      <c r="G41" s="33" t="s">
        <v>86</v>
      </c>
      <c r="H41" s="25">
        <f t="array" ref="H41">IFERROR(INDEX(Agenda!AA:AA,MATCH(1,('Lançamentos- Credito Débito'!E41=Agenda!C:C)*('Lançamentos- Credito Débito'!F41=Agenda!I:I),0)),"")</f>
        <v>8.2342591547712729E-4</v>
      </c>
      <c r="I41">
        <f t="shared" si="0"/>
        <v>30</v>
      </c>
      <c r="J41" s="35">
        <f t="shared" si="1"/>
        <v>2.4999999999997025E-2</v>
      </c>
      <c r="K41" s="40">
        <f t="array" ref="K41">INDEX(Agenda!AB:AB,MATCH(1,('Lançamentos- Credito Débito'!E41=Agenda!C:C)*('Lançamentos- Credito Débito'!F41=Agenda!I:I),0))</f>
        <v>0.74294414019475663</v>
      </c>
      <c r="L41" s="36">
        <f t="shared" si="2"/>
        <v>0</v>
      </c>
      <c r="M41" s="36">
        <f t="shared" si="3"/>
        <v>0</v>
      </c>
      <c r="N41" s="1">
        <f t="shared" si="4"/>
        <v>45104.770811339331</v>
      </c>
      <c r="O41" s="81">
        <f t="array" ref="O41">IF(OR(G41="Amortization",G41="Fim de Mês"),(1+J41)*N41-D41,-INDEX(Agenda!J:J,MATCH(1,('Lançamentos- Credito Débito'!E41=Agenda!C:C)*('Lançamentos- Credito Débito'!G41=Agenda!G:G),0)))</f>
        <v>46232.390081622681</v>
      </c>
      <c r="P41" s="44">
        <f t="shared" si="5"/>
        <v>1127.6192702833491</v>
      </c>
      <c r="Q41" s="64">
        <f t="shared" si="6"/>
        <v>46232.390081622681</v>
      </c>
      <c r="R41" s="14">
        <f t="array" ref="R41">IF(F41="","",INDEX(Agenda!L:L,MATCH(1,('Lançamentos- Credito Débito'!E41=Agenda!C:C)*('Lançamentos- Credito Débito'!F41=Agenda!I:I),0)))</f>
        <v>40761.919999999998</v>
      </c>
      <c r="S41" s="14">
        <f t="shared" si="7"/>
        <v>0</v>
      </c>
      <c r="T41" s="14">
        <f t="shared" si="8"/>
        <v>40761.919999999998</v>
      </c>
      <c r="U41" s="62">
        <f t="shared" si="9"/>
        <v>54865.39</v>
      </c>
      <c r="V41" s="78">
        <f t="shared" si="10"/>
        <v>0</v>
      </c>
    </row>
    <row r="42" spans="1:22" customFormat="1" x14ac:dyDescent="0.25">
      <c r="A42" s="45">
        <v>44135</v>
      </c>
      <c r="B42" s="33" t="s">
        <v>63</v>
      </c>
      <c r="C42" s="33" t="s">
        <v>28</v>
      </c>
      <c r="D42" s="34">
        <v>0</v>
      </c>
      <c r="E42" s="33" t="s">
        <v>15</v>
      </c>
      <c r="F42" s="30">
        <v>44312</v>
      </c>
      <c r="G42" s="33" t="s">
        <v>86</v>
      </c>
      <c r="H42" s="25">
        <f t="array" ref="H42">IFERROR(INDEX(Agenda!AA:AA,MATCH(1,('Lançamentos- Credito Débito'!E42=Agenda!C:C)*('Lançamentos- Credito Débito'!F42=Agenda!I:I),0)),"")</f>
        <v>8.2342591547712729E-4</v>
      </c>
      <c r="I42">
        <f t="shared" si="0"/>
        <v>31</v>
      </c>
      <c r="J42" s="35">
        <f t="shared" si="1"/>
        <v>2.5844011563361136E-2</v>
      </c>
      <c r="K42" s="40">
        <f t="array" ref="K42">INDEX(Agenda!AB:AB,MATCH(1,('Lançamentos- Credito Débito'!E42=Agenda!C:C)*('Lançamentos- Credito Débito'!F42=Agenda!I:I),0))</f>
        <v>0.74294414019475663</v>
      </c>
      <c r="L42" s="36">
        <f t="shared" si="2"/>
        <v>0</v>
      </c>
      <c r="M42" s="36">
        <f t="shared" si="3"/>
        <v>0</v>
      </c>
      <c r="N42" s="1">
        <f t="shared" si="4"/>
        <v>46232.390081622681</v>
      </c>
      <c r="O42" s="81">
        <f t="array" ref="O42">IF(OR(G42="Amortization",G42="Fim de Mês"),(1+J42)*N42-D42,-INDEX(Agenda!J:J,MATCH(1,('Lançamentos- Credito Débito'!E42=Agenda!C:C)*('Lançamentos- Credito Débito'!G42=Agenda!G:G),0)))</f>
        <v>47427.220505493962</v>
      </c>
      <c r="P42" s="44">
        <f t="shared" si="5"/>
        <v>1194.8304238712792</v>
      </c>
      <c r="Q42" s="64">
        <f t="shared" si="6"/>
        <v>47427.220505493962</v>
      </c>
      <c r="R42" s="14">
        <f t="array" ref="R42">IF(F42="","",INDEX(Agenda!L:L,MATCH(1,('Lançamentos- Credito Débito'!E42=Agenda!C:C)*('Lançamentos- Credito Débito'!F42=Agenda!I:I),0)))</f>
        <v>40761.919999999998</v>
      </c>
      <c r="S42" s="14">
        <f t="shared" si="7"/>
        <v>0</v>
      </c>
      <c r="T42" s="14">
        <f t="shared" si="8"/>
        <v>40761.919999999998</v>
      </c>
      <c r="U42" s="62">
        <f t="shared" si="9"/>
        <v>54865.39</v>
      </c>
      <c r="V42" s="78">
        <f t="shared" si="10"/>
        <v>0</v>
      </c>
    </row>
    <row r="43" spans="1:22" customFormat="1" x14ac:dyDescent="0.25">
      <c r="A43" s="45">
        <v>44165</v>
      </c>
      <c r="B43" s="33" t="s">
        <v>63</v>
      </c>
      <c r="C43" s="33" t="s">
        <v>28</v>
      </c>
      <c r="D43" s="34">
        <v>0</v>
      </c>
      <c r="E43" s="33" t="s">
        <v>15</v>
      </c>
      <c r="F43" s="30">
        <v>44312</v>
      </c>
      <c r="G43" s="33" t="s">
        <v>86</v>
      </c>
      <c r="H43" s="25">
        <f t="array" ref="H43">IFERROR(INDEX(Agenda!AA:AA,MATCH(1,('Lançamentos- Credito Débito'!E43=Agenda!C:C)*('Lançamentos- Credito Débito'!F43=Agenda!I:I),0)),"")</f>
        <v>8.2342591547712729E-4</v>
      </c>
      <c r="I43">
        <f t="shared" si="0"/>
        <v>30</v>
      </c>
      <c r="J43" s="35">
        <f t="shared" si="1"/>
        <v>2.4999999999997025E-2</v>
      </c>
      <c r="K43" s="40">
        <f t="array" ref="K43">INDEX(Agenda!AB:AB,MATCH(1,('Lançamentos- Credito Débito'!E43=Agenda!C:C)*('Lançamentos- Credito Débito'!F43=Agenda!I:I),0))</f>
        <v>0.74294414019475663</v>
      </c>
      <c r="L43" s="36">
        <f t="shared" si="2"/>
        <v>0</v>
      </c>
      <c r="M43" s="36">
        <f t="shared" si="3"/>
        <v>0</v>
      </c>
      <c r="N43" s="1">
        <f t="shared" si="4"/>
        <v>47427.220505493962</v>
      </c>
      <c r="O43" s="81">
        <f t="array" ref="O43">IF(OR(G43="Amortization",G43="Fim de Mês"),(1+J43)*N43-D43,-INDEX(Agenda!J:J,MATCH(1,('Lançamentos- Credito Débito'!E43=Agenda!C:C)*('Lançamentos- Credito Débito'!G43=Agenda!G:G),0)))</f>
        <v>48612.901018131168</v>
      </c>
      <c r="P43" s="44">
        <f t="shared" si="5"/>
        <v>1185.680512637208</v>
      </c>
      <c r="Q43" s="64">
        <f t="shared" si="6"/>
        <v>48612.901018131168</v>
      </c>
      <c r="R43" s="14">
        <f t="array" ref="R43">IF(F43="","",INDEX(Agenda!L:L,MATCH(1,('Lançamentos- Credito Débito'!E43=Agenda!C:C)*('Lançamentos- Credito Débito'!F43=Agenda!I:I),0)))</f>
        <v>40761.919999999998</v>
      </c>
      <c r="S43" s="14">
        <f t="shared" si="7"/>
        <v>0</v>
      </c>
      <c r="T43" s="14">
        <f t="shared" si="8"/>
        <v>40761.919999999998</v>
      </c>
      <c r="U43" s="62">
        <f t="shared" si="9"/>
        <v>54865.39</v>
      </c>
      <c r="V43" s="78">
        <f t="shared" si="10"/>
        <v>0</v>
      </c>
    </row>
    <row r="44" spans="1:22" customFormat="1" x14ac:dyDescent="0.25">
      <c r="A44" s="45">
        <v>44196</v>
      </c>
      <c r="B44" s="33" t="s">
        <v>63</v>
      </c>
      <c r="C44" s="33" t="s">
        <v>28</v>
      </c>
      <c r="D44" s="34">
        <v>0</v>
      </c>
      <c r="E44" s="33" t="s">
        <v>15</v>
      </c>
      <c r="F44" s="30">
        <v>44312</v>
      </c>
      <c r="G44" s="33" t="s">
        <v>86</v>
      </c>
      <c r="H44" s="25">
        <f t="array" ref="H44">IFERROR(INDEX(Agenda!AA:AA,MATCH(1,('Lançamentos- Credito Débito'!E44=Agenda!C:C)*('Lançamentos- Credito Débito'!F44=Agenda!I:I),0)),"")</f>
        <v>8.2342591547712729E-4</v>
      </c>
      <c r="I44">
        <f t="shared" si="0"/>
        <v>31</v>
      </c>
      <c r="J44" s="35">
        <f t="shared" si="1"/>
        <v>2.5844011563361136E-2</v>
      </c>
      <c r="K44" s="40">
        <f t="array" ref="K44">INDEX(Agenda!AB:AB,MATCH(1,('Lançamentos- Credito Débito'!E44=Agenda!C:C)*('Lançamentos- Credito Débito'!F44=Agenda!I:I),0))</f>
        <v>0.74294414019475663</v>
      </c>
      <c r="L44" s="36">
        <f t="shared" si="2"/>
        <v>0</v>
      </c>
      <c r="M44" s="36">
        <f t="shared" si="3"/>
        <v>0</v>
      </c>
      <c r="N44" s="1">
        <f t="shared" si="4"/>
        <v>48612.901018131168</v>
      </c>
      <c r="O44" s="81">
        <f t="array" ref="O44">IF(OR(G44="Amortization",G44="Fim de Mês"),(1+J44)*N44-D44,-INDEX(Agenda!J:J,MATCH(1,('Lançamentos- Credito Débito'!E44=Agenda!C:C)*('Lançamentos- Credito Débito'!G44=Agenda!G:G),0)))</f>
        <v>49869.25339417228</v>
      </c>
      <c r="P44" s="44">
        <f t="shared" si="5"/>
        <v>1256.3523760411122</v>
      </c>
      <c r="Q44" s="64">
        <f t="shared" si="6"/>
        <v>49869.25339417228</v>
      </c>
      <c r="R44" s="14">
        <f t="array" ref="R44">IF(F44="","",INDEX(Agenda!L:L,MATCH(1,('Lançamentos- Credito Débito'!E44=Agenda!C:C)*('Lançamentos- Credito Débito'!F44=Agenda!I:I),0)))</f>
        <v>40761.919999999998</v>
      </c>
      <c r="S44" s="14">
        <f t="shared" si="7"/>
        <v>0</v>
      </c>
      <c r="T44" s="14">
        <f t="shared" si="8"/>
        <v>40761.919999999998</v>
      </c>
      <c r="U44" s="62">
        <f t="shared" si="9"/>
        <v>54865.39</v>
      </c>
      <c r="V44" s="78">
        <f t="shared" si="10"/>
        <v>0</v>
      </c>
    </row>
    <row r="45" spans="1:22" customFormat="1" x14ac:dyDescent="0.25">
      <c r="A45" s="45">
        <v>44227</v>
      </c>
      <c r="B45" s="33" t="s">
        <v>63</v>
      </c>
      <c r="C45" s="33" t="s">
        <v>28</v>
      </c>
      <c r="D45" s="34">
        <v>0</v>
      </c>
      <c r="E45" s="33" t="s">
        <v>15</v>
      </c>
      <c r="F45" s="30">
        <v>44312</v>
      </c>
      <c r="G45" s="33" t="s">
        <v>86</v>
      </c>
      <c r="H45" s="25">
        <f t="array" ref="H45">IFERROR(INDEX(Agenda!AA:AA,MATCH(1,('Lançamentos- Credito Débito'!E45=Agenda!C:C)*('Lançamentos- Credito Débito'!F45=Agenda!I:I),0)),"")</f>
        <v>8.2342591547712729E-4</v>
      </c>
      <c r="I45">
        <f t="shared" si="0"/>
        <v>31</v>
      </c>
      <c r="J45" s="35">
        <f t="shared" si="1"/>
        <v>2.5844011563361136E-2</v>
      </c>
      <c r="K45" s="40">
        <f t="array" ref="K45">INDEX(Agenda!AB:AB,MATCH(1,('Lançamentos- Credito Débito'!E45=Agenda!C:C)*('Lançamentos- Credito Débito'!F45=Agenda!I:I),0))</f>
        <v>0.74294414019475663</v>
      </c>
      <c r="L45" s="36">
        <f t="shared" si="2"/>
        <v>0</v>
      </c>
      <c r="M45" s="36">
        <f t="shared" si="3"/>
        <v>0</v>
      </c>
      <c r="N45" s="1">
        <f t="shared" si="4"/>
        <v>49869.25339417228</v>
      </c>
      <c r="O45" s="81">
        <f t="array" ref="O45">IF(OR(G45="Amortization",G45="Fim de Mês"),(1+J45)*N45-D45,-INDEX(Agenda!J:J,MATCH(1,('Lançamentos- Credito Débito'!E45=Agenda!C:C)*('Lançamentos- Credito Débito'!G45=Agenda!G:G),0)))</f>
        <v>51158.074955547454</v>
      </c>
      <c r="P45" s="44">
        <f t="shared" si="5"/>
        <v>1288.821561375175</v>
      </c>
      <c r="Q45" s="64">
        <f t="shared" si="6"/>
        <v>51158.074955547454</v>
      </c>
      <c r="R45" s="14">
        <f t="array" ref="R45">IF(F45="","",INDEX(Agenda!L:L,MATCH(1,('Lançamentos- Credito Débito'!E45=Agenda!C:C)*('Lançamentos- Credito Débito'!F45=Agenda!I:I),0)))</f>
        <v>40761.919999999998</v>
      </c>
      <c r="S45" s="14">
        <f t="shared" si="7"/>
        <v>0</v>
      </c>
      <c r="T45" s="14">
        <f t="shared" si="8"/>
        <v>40761.919999999998</v>
      </c>
      <c r="U45" s="62">
        <f t="shared" si="9"/>
        <v>54865.39</v>
      </c>
      <c r="V45" s="78">
        <f t="shared" si="10"/>
        <v>0</v>
      </c>
    </row>
    <row r="46" spans="1:22" customFormat="1" x14ac:dyDescent="0.25">
      <c r="A46" s="45">
        <v>44255</v>
      </c>
      <c r="B46" s="33" t="s">
        <v>63</v>
      </c>
      <c r="C46" s="33" t="s">
        <v>28</v>
      </c>
      <c r="D46" s="34">
        <v>0</v>
      </c>
      <c r="E46" s="33" t="s">
        <v>15</v>
      </c>
      <c r="F46" s="30">
        <v>44312</v>
      </c>
      <c r="G46" s="33" t="s">
        <v>86</v>
      </c>
      <c r="H46" s="25">
        <f t="array" ref="H46">IFERROR(INDEX(Agenda!AA:AA,MATCH(1,('Lançamentos- Credito Débito'!E46=Agenda!C:C)*('Lançamentos- Credito Débito'!F46=Agenda!I:I),0)),"")</f>
        <v>8.2342591547712729E-4</v>
      </c>
      <c r="I46">
        <f t="shared" si="0"/>
        <v>28</v>
      </c>
      <c r="J46" s="35">
        <f t="shared" si="1"/>
        <v>2.3314059529544018E-2</v>
      </c>
      <c r="K46" s="40">
        <f t="array" ref="K46">INDEX(Agenda!AB:AB,MATCH(1,('Lançamentos- Credito Débito'!E46=Agenda!C:C)*('Lançamentos- Credito Débito'!F46=Agenda!I:I),0))</f>
        <v>0.74294414019475663</v>
      </c>
      <c r="L46" s="36">
        <f t="shared" si="2"/>
        <v>0</v>
      </c>
      <c r="M46" s="36">
        <f t="shared" si="3"/>
        <v>0</v>
      </c>
      <c r="N46" s="1">
        <f t="shared" si="4"/>
        <v>51158.074955547454</v>
      </c>
      <c r="O46" s="81">
        <f t="array" ref="O46">IF(OR(G46="Amortization",G46="Fim de Mês"),(1+J46)*N46-D46,-INDEX(Agenda!J:J,MATCH(1,('Lançamentos- Credito Débito'!E46=Agenda!C:C)*('Lançamentos- Credito Débito'!G46=Agenda!G:G),0)))</f>
        <v>52350.777360477965</v>
      </c>
      <c r="P46" s="44">
        <f t="shared" si="5"/>
        <v>1192.7024049305082</v>
      </c>
      <c r="Q46" s="64">
        <f t="shared" si="6"/>
        <v>52350.777360477965</v>
      </c>
      <c r="R46" s="14">
        <f t="array" ref="R46">IF(F46="","",INDEX(Agenda!L:L,MATCH(1,('Lançamentos- Credito Débito'!E46=Agenda!C:C)*('Lançamentos- Credito Débito'!F46=Agenda!I:I),0)))</f>
        <v>40761.919999999998</v>
      </c>
      <c r="S46" s="14">
        <f t="shared" si="7"/>
        <v>0</v>
      </c>
      <c r="T46" s="14">
        <f t="shared" si="8"/>
        <v>40761.919999999998</v>
      </c>
      <c r="U46" s="62">
        <f t="shared" si="9"/>
        <v>54865.39</v>
      </c>
      <c r="V46" s="78">
        <f t="shared" si="10"/>
        <v>0</v>
      </c>
    </row>
    <row r="47" spans="1:22" customFormat="1" x14ac:dyDescent="0.25">
      <c r="A47" s="45">
        <v>44286</v>
      </c>
      <c r="B47" s="33" t="s">
        <v>63</v>
      </c>
      <c r="C47" s="33" t="s">
        <v>28</v>
      </c>
      <c r="D47" s="34">
        <v>0</v>
      </c>
      <c r="E47" s="33" t="s">
        <v>15</v>
      </c>
      <c r="F47" s="30">
        <v>44312</v>
      </c>
      <c r="G47" s="33" t="s">
        <v>86</v>
      </c>
      <c r="H47" s="25">
        <f t="array" ref="H47">IFERROR(INDEX(Agenda!AA:AA,MATCH(1,('Lançamentos- Credito Débito'!E47=Agenda!C:C)*('Lançamentos- Credito Débito'!F47=Agenda!I:I),0)),"")</f>
        <v>8.2342591547712729E-4</v>
      </c>
      <c r="I47">
        <f t="shared" si="0"/>
        <v>31</v>
      </c>
      <c r="J47" s="35">
        <f t="shared" si="1"/>
        <v>2.5844011563361136E-2</v>
      </c>
      <c r="K47" s="40">
        <f t="array" ref="K47">INDEX(Agenda!AB:AB,MATCH(1,('Lançamentos- Credito Débito'!E47=Agenda!C:C)*('Lançamentos- Credito Débito'!F47=Agenda!I:I),0))</f>
        <v>0.74294414019475663</v>
      </c>
      <c r="L47" s="36">
        <f t="shared" si="2"/>
        <v>0</v>
      </c>
      <c r="M47" s="36">
        <f t="shared" si="3"/>
        <v>0</v>
      </c>
      <c r="N47" s="1">
        <f t="shared" si="4"/>
        <v>52350.777360477965</v>
      </c>
      <c r="O47" s="81">
        <f t="array" ref="O47">IF(OR(G47="Amortization",G47="Fim de Mês"),(1+J47)*N47-D47,-INDEX(Agenda!J:J,MATCH(1,('Lançamentos- Credito Débito'!E47=Agenda!C:C)*('Lançamentos- Credito Débito'!G47=Agenda!G:G),0)))</f>
        <v>53703.731455933099</v>
      </c>
      <c r="P47" s="44">
        <f t="shared" si="5"/>
        <v>1352.9540954551369</v>
      </c>
      <c r="Q47" s="64">
        <f t="shared" si="6"/>
        <v>53703.731455933099</v>
      </c>
      <c r="R47" s="14">
        <f t="array" ref="R47">IF(F47="","",INDEX(Agenda!L:L,MATCH(1,('Lançamentos- Credito Débito'!E47=Agenda!C:C)*('Lançamentos- Credito Débito'!F47=Agenda!I:I),0)))</f>
        <v>40761.919999999998</v>
      </c>
      <c r="S47" s="14">
        <f t="shared" si="7"/>
        <v>0</v>
      </c>
      <c r="T47" s="14">
        <f t="shared" si="8"/>
        <v>40761.919999999998</v>
      </c>
      <c r="U47" s="62">
        <f t="shared" si="9"/>
        <v>54865.39</v>
      </c>
      <c r="V47" s="78">
        <f t="shared" si="10"/>
        <v>0</v>
      </c>
    </row>
    <row r="48" spans="1:22" customFormat="1" x14ac:dyDescent="0.25">
      <c r="A48" s="45">
        <v>44312</v>
      </c>
      <c r="B48" s="33" t="s">
        <v>63</v>
      </c>
      <c r="C48" s="33" t="s">
        <v>28</v>
      </c>
      <c r="D48" s="34">
        <v>54865.39107790852</v>
      </c>
      <c r="E48" s="33" t="s">
        <v>15</v>
      </c>
      <c r="F48" s="30">
        <v>44312</v>
      </c>
      <c r="G48" s="33" t="s">
        <v>51</v>
      </c>
      <c r="H48" s="25">
        <f t="array" ref="H48">IFERROR(INDEX(Agenda!AA:AA,MATCH(1,('Lançamentos- Credito Débito'!E48=Agenda!C:C)*('Lançamentos- Credito Débito'!F48=Agenda!I:I),0)),"")</f>
        <v>8.2342591547712729E-4</v>
      </c>
      <c r="I48">
        <f t="shared" si="0"/>
        <v>26</v>
      </c>
      <c r="J48" s="35">
        <f t="shared" si="1"/>
        <v>2.1630892127647128E-2</v>
      </c>
      <c r="K48" s="40">
        <f t="array" ref="K48">INDEX(Agenda!AB:AB,MATCH(1,('Lançamentos- Credito Débito'!E48=Agenda!C:C)*('Lançamentos- Credito Débito'!F48=Agenda!I:I),0))</f>
        <v>0.74294414019475663</v>
      </c>
      <c r="L48" s="36">
        <f t="shared" si="2"/>
        <v>40761.920800825814</v>
      </c>
      <c r="M48" s="36">
        <f t="shared" si="3"/>
        <v>14103.470277082703</v>
      </c>
      <c r="N48" s="1">
        <f t="shared" si="4"/>
        <v>53703.731455933099</v>
      </c>
      <c r="O48" s="81">
        <f t="array" ref="O48">IF(OR(G48="Amortization",G48="Fim de Mês"),(1+J48)*N48-D48,-INDEX(Agenda!J:J,MATCH(1,('Lançamentos- Credito Débito'!E48=Agenda!C:C)*('Lançamentos- Credito Débito'!G48=Agenda!G:G),0)))</f>
        <v>0</v>
      </c>
      <c r="P48" s="44">
        <f t="shared" si="5"/>
        <v>1161.6596219754188</v>
      </c>
      <c r="Q48" s="64">
        <f t="shared" si="6"/>
        <v>54865.39107790852</v>
      </c>
      <c r="R48" s="14">
        <f t="array" ref="R48">IF(F48="","",INDEX(Agenda!L:L,MATCH(1,('Lançamentos- Credito Débito'!E48=Agenda!C:C)*('Lançamentos- Credito Débito'!F48=Agenda!I:I),0)))</f>
        <v>40761.919999999998</v>
      </c>
      <c r="S48" s="14">
        <f t="shared" si="7"/>
        <v>40761.920800825814</v>
      </c>
      <c r="T48" s="14">
        <f t="shared" si="8"/>
        <v>-8.0082581553142518E-4</v>
      </c>
      <c r="U48" s="62">
        <f t="shared" si="9"/>
        <v>-1.0779085158697064E-3</v>
      </c>
      <c r="V48" s="78">
        <f t="shared" si="10"/>
        <v>0</v>
      </c>
    </row>
    <row r="49" spans="1:22" customFormat="1" x14ac:dyDescent="0.25">
      <c r="A49" s="45">
        <v>43951</v>
      </c>
      <c r="B49" s="33" t="s">
        <v>28</v>
      </c>
      <c r="C49" s="33" t="s">
        <v>63</v>
      </c>
      <c r="D49" s="34">
        <v>103359.17</v>
      </c>
      <c r="E49" s="33" t="s">
        <v>9</v>
      </c>
      <c r="F49" s="33"/>
      <c r="G49" s="33" t="s">
        <v>50</v>
      </c>
      <c r="H49" s="25" t="str">
        <f t="array" ref="H49">IFERROR(INDEX(Agenda!AA:AA,MATCH(1,('Lançamentos- Credito Débito'!E49=Agenda!C:C)*('Lançamentos- Credito Débito'!F49=Agenda!I:I),0)),"")</f>
        <v/>
      </c>
      <c r="I49" t="str">
        <f t="shared" si="0"/>
        <v/>
      </c>
      <c r="J49" s="35" t="str">
        <f t="shared" si="1"/>
        <v/>
      </c>
      <c r="K49" s="40" t="e">
        <f t="array" ref="K49">INDEX(Agenda!AB:AB,MATCH(1,('Lançamentos- Credito Débito'!E49=Agenda!C:C)*('Lançamentos- Credito Débito'!F49=Agenda!I:I),0))</f>
        <v>#N/A</v>
      </c>
      <c r="L49" s="36" t="str">
        <f t="shared" si="2"/>
        <v/>
      </c>
      <c r="M49" s="36" t="str">
        <f t="shared" si="3"/>
        <v/>
      </c>
      <c r="N49" s="1" t="str">
        <f t="shared" si="4"/>
        <v/>
      </c>
      <c r="O49" s="81">
        <f t="array" ref="O49">IF(OR(G49="Amortization",G49="Fim de Mês"),(1+J49)*N49-D49,-INDEX(Agenda!J:J,MATCH(1,('Lançamentos- Credito Débito'!E49=Agenda!C:C)*('Lançamentos- Credito Débito'!G49=Agenda!G:G),0)))</f>
        <v>103359.17</v>
      </c>
      <c r="P49" s="44" t="str">
        <f t="shared" si="5"/>
        <v/>
      </c>
      <c r="Q49" s="64" t="str">
        <f t="shared" si="6"/>
        <v/>
      </c>
      <c r="R49" s="14" t="str">
        <f t="array" ref="R49">IF(F49="","",INDEX(Agenda!L:L,MATCH(1,('Lançamentos- Credito Débito'!E49=Agenda!C:C)*('Lançamentos- Credito Débito'!F49=Agenda!I:I),0)))</f>
        <v/>
      </c>
      <c r="S49" s="14" t="str">
        <f t="shared" si="7"/>
        <v/>
      </c>
      <c r="T49" s="14" t="str">
        <f t="shared" si="8"/>
        <v/>
      </c>
      <c r="U49" s="62" t="str">
        <f t="shared" si="9"/>
        <v/>
      </c>
      <c r="V49" s="78" t="str">
        <f t="shared" si="10"/>
        <v/>
      </c>
    </row>
    <row r="50" spans="1:22" customFormat="1" x14ac:dyDescent="0.25">
      <c r="A50" s="45">
        <v>43977</v>
      </c>
      <c r="B50" s="33" t="s">
        <v>63</v>
      </c>
      <c r="C50" s="33" t="s">
        <v>28</v>
      </c>
      <c r="D50" s="34">
        <v>10068.1</v>
      </c>
      <c r="E50" s="33" t="s">
        <v>9</v>
      </c>
      <c r="F50" s="30">
        <v>43977</v>
      </c>
      <c r="G50" s="33" t="s">
        <v>51</v>
      </c>
      <c r="H50" s="25">
        <f t="array" ref="H50">IFERROR(INDEX(Agenda!AA:AA,MATCH(1,('Lançamentos- Credito Débito'!E50=Agenda!C:C)*('Lançamentos- Credito Débito'!F50=Agenda!I:I),0)),"")</f>
        <v>8.2342591547712729E-4</v>
      </c>
      <c r="I50">
        <f t="shared" si="0"/>
        <v>26</v>
      </c>
      <c r="J50" s="35">
        <f t="shared" si="1"/>
        <v>2.1630892127647128E-2</v>
      </c>
      <c r="K50" s="40">
        <f t="array" ref="K50">INDEX(Agenda!AB:AB,MATCH(1,('Lançamentos- Credito Débito'!E50=Agenda!C:C)*('Lançamentos- Credito Débito'!F50=Agenda!I:I),0))</f>
        <v>0.77793724734557668</v>
      </c>
      <c r="L50" s="36">
        <f t="shared" si="2"/>
        <v>7832.3500000000013</v>
      </c>
      <c r="M50" s="36">
        <f t="shared" si="3"/>
        <v>2235.7499999999995</v>
      </c>
      <c r="N50" s="1">
        <f t="shared" si="4"/>
        <v>103359.17</v>
      </c>
      <c r="O50" s="81">
        <f t="array" ref="O50">IF(OR(G50="Amortization",G50="Fim de Mês"),(1+J50)*N50-D50,-INDEX(Agenda!J:J,MATCH(1,('Lançamentos- Credito Débito'!E50=Agenda!C:C)*('Lançamentos- Credito Débito'!G50=Agenda!G:G),0)))</f>
        <v>95526.821056673129</v>
      </c>
      <c r="P50" s="44">
        <f t="shared" si="5"/>
        <v>2235.7510566731412</v>
      </c>
      <c r="Q50" s="64">
        <f t="shared" si="6"/>
        <v>105594.92105667313</v>
      </c>
      <c r="R50" s="14">
        <f t="array" ref="R50">IF(F50="","",INDEX(Agenda!L:L,MATCH(1,('Lançamentos- Credito Débito'!E50=Agenda!C:C)*('Lançamentos- Credito Débito'!F50=Agenda!I:I),0)))</f>
        <v>7832.35</v>
      </c>
      <c r="S50" s="14">
        <f t="shared" si="7"/>
        <v>7832.3500000000013</v>
      </c>
      <c r="T50" s="14">
        <f t="shared" si="8"/>
        <v>-9.0949470177292824E-13</v>
      </c>
      <c r="U50" s="62">
        <f t="shared" si="9"/>
        <v>-1.1691106254087238E-12</v>
      </c>
      <c r="V50" s="78">
        <f t="shared" si="10"/>
        <v>0</v>
      </c>
    </row>
    <row r="51" spans="1:22" customFormat="1" x14ac:dyDescent="0.25">
      <c r="A51" s="45">
        <v>43981</v>
      </c>
      <c r="B51" s="33" t="s">
        <v>63</v>
      </c>
      <c r="C51" s="33" t="s">
        <v>28</v>
      </c>
      <c r="D51" s="34"/>
      <c r="E51" s="33" t="s">
        <v>9</v>
      </c>
      <c r="F51" s="30">
        <v>43977</v>
      </c>
      <c r="G51" s="33" t="s">
        <v>86</v>
      </c>
      <c r="H51" s="25">
        <f t="array" ref="H51">IFERROR(INDEX(Agenda!AA:AA,MATCH(1,('Lançamentos- Credito Débito'!E51=Agenda!C:C)*('Lançamentos- Credito Débito'!F51=Agenda!I:I),0)),"")</f>
        <v>8.2342591547712729E-4</v>
      </c>
      <c r="I51">
        <f t="shared" si="0"/>
        <v>4</v>
      </c>
      <c r="J51" s="35">
        <f t="shared" si="1"/>
        <v>3.2977740770283592E-3</v>
      </c>
      <c r="K51" s="40">
        <f t="array" ref="K51">INDEX(Agenda!AB:AB,MATCH(1,('Lançamentos- Credito Débito'!E51=Agenda!C:C)*('Lançamentos- Credito Débito'!F51=Agenda!I:I),0))</f>
        <v>0.77793724734557668</v>
      </c>
      <c r="L51" s="36">
        <f t="shared" si="2"/>
        <v>0</v>
      </c>
      <c r="M51" s="36">
        <f t="shared" si="3"/>
        <v>0</v>
      </c>
      <c r="N51" s="1">
        <f t="shared" si="4"/>
        <v>95526.821056673129</v>
      </c>
      <c r="O51" s="81">
        <f t="array" ref="O51">IF(OR(G51="Amortization",G51="Fim de Mês"),(1+J51)*N51-D51,-INDEX(Agenda!J:J,MATCH(1,('Lançamentos- Credito Débito'!E51=Agenda!C:C)*('Lançamentos- Credito Débito'!G51=Agenda!G:G),0)))</f>
        <v>95841.846930814747</v>
      </c>
      <c r="P51" s="44">
        <f t="shared" si="5"/>
        <v>315.02587414162343</v>
      </c>
      <c r="Q51" s="64">
        <f t="shared" si="6"/>
        <v>95841.846930814747</v>
      </c>
      <c r="R51" s="14">
        <f t="array" ref="R51">IF(F51="","",INDEX(Agenda!L:L,MATCH(1,('Lançamentos- Credito Débito'!E51=Agenda!C:C)*('Lançamentos- Credito Débito'!F51=Agenda!I:I),0)))</f>
        <v>7832.35</v>
      </c>
      <c r="S51" s="14">
        <f t="shared" si="7"/>
        <v>7832.3500000000013</v>
      </c>
      <c r="T51" s="14">
        <f t="shared" si="8"/>
        <v>-9.0949470177292824E-13</v>
      </c>
      <c r="U51" s="62">
        <f t="shared" si="9"/>
        <v>-1.1691106254087238E-12</v>
      </c>
      <c r="V51" s="78">
        <f t="shared" si="10"/>
        <v>0</v>
      </c>
    </row>
    <row r="52" spans="1:22" customFormat="1" x14ac:dyDescent="0.25">
      <c r="A52" s="45">
        <v>44008</v>
      </c>
      <c r="B52" s="33" t="s">
        <v>63</v>
      </c>
      <c r="C52" s="33" t="s">
        <v>28</v>
      </c>
      <c r="D52" s="34">
        <v>10068.1</v>
      </c>
      <c r="E52" s="33" t="s">
        <v>9</v>
      </c>
      <c r="F52" s="45">
        <v>44008</v>
      </c>
      <c r="G52" s="33" t="s">
        <v>51</v>
      </c>
      <c r="H52" s="25">
        <f t="array" ref="H52">IFERROR(INDEX(Agenda!AA:AA,MATCH(1,('Lançamentos- Credito Débito'!E52=Agenda!C:C)*('Lançamentos- Credito Débito'!F52=Agenda!I:I),0)),"")</f>
        <v>8.2342591547712729E-4</v>
      </c>
      <c r="I52">
        <f t="shared" si="0"/>
        <v>27</v>
      </c>
      <c r="J52" s="35">
        <f t="shared" si="1"/>
        <v>2.2472129480276992E-2</v>
      </c>
      <c r="K52" s="40">
        <f t="array" ref="K52">INDEX(Agenda!AB:AB,MATCH(1,('Lançamentos- Credito Débito'!E52=Agenda!C:C)*('Lançamentos- Credito Débito'!F52=Agenda!I:I),0))</f>
        <v>0.75478988091099608</v>
      </c>
      <c r="L52" s="36">
        <f t="shared" si="2"/>
        <v>7599.3</v>
      </c>
      <c r="M52" s="36">
        <f t="shared" si="3"/>
        <v>2468.8000000000006</v>
      </c>
      <c r="N52" s="1">
        <f t="shared" si="4"/>
        <v>95841.846930814747</v>
      </c>
      <c r="O52" s="81">
        <f t="array" ref="O52">IF(OR(G52="Amortization",G52="Fim de Mês"),(1+J52)*N52-D52,-INDEX(Agenda!J:J,MATCH(1,('Lançamentos- Credito Débito'!E52=Agenda!C:C)*('Lançamentos- Credito Débito'!G52=Agenda!G:G),0)))</f>
        <v>87927.517324672895</v>
      </c>
      <c r="P52" s="44">
        <f t="shared" si="5"/>
        <v>2153.7703938581571</v>
      </c>
      <c r="Q52" s="64">
        <f t="shared" si="6"/>
        <v>97995.617324672901</v>
      </c>
      <c r="R52" s="14">
        <f t="array" ref="R52">IF(F52="","",INDEX(Agenda!L:L,MATCH(1,('Lançamentos- Credito Débito'!E52=Agenda!C:C)*('Lançamentos- Credito Débito'!F52=Agenda!I:I),0)))</f>
        <v>7599.3</v>
      </c>
      <c r="S52" s="14">
        <f t="shared" si="7"/>
        <v>7599.3</v>
      </c>
      <c r="T52" s="14">
        <f t="shared" si="8"/>
        <v>0</v>
      </c>
      <c r="U52" s="62">
        <f t="shared" si="9"/>
        <v>0</v>
      </c>
      <c r="V52" s="78">
        <f t="shared" si="10"/>
        <v>-1.1691106254087238E-12</v>
      </c>
    </row>
    <row r="53" spans="1:22" customFormat="1" x14ac:dyDescent="0.25">
      <c r="A53" s="45">
        <v>44012</v>
      </c>
      <c r="B53" s="33" t="s">
        <v>63</v>
      </c>
      <c r="C53" s="33" t="s">
        <v>28</v>
      </c>
      <c r="D53" s="34"/>
      <c r="E53" s="33" t="s">
        <v>9</v>
      </c>
      <c r="F53" s="45">
        <v>44008</v>
      </c>
      <c r="G53" s="33" t="s">
        <v>86</v>
      </c>
      <c r="H53" s="25">
        <f t="array" ref="H53">IFERROR(INDEX(Agenda!AA:AA,MATCH(1,('Lançamentos- Credito Débito'!E53=Agenda!C:C)*('Lançamentos- Credito Débito'!F53=Agenda!I:I),0)),"")</f>
        <v>8.2342591547712729E-4</v>
      </c>
      <c r="I53">
        <f t="shared" si="0"/>
        <v>4</v>
      </c>
      <c r="J53" s="35">
        <f t="shared" si="1"/>
        <v>3.2977740770283592E-3</v>
      </c>
      <c r="K53" s="40">
        <f t="array" ref="K53">INDEX(Agenda!AB:AB,MATCH(1,('Lançamentos- Credito Débito'!E53=Agenda!C:C)*('Lançamentos- Credito Débito'!F53=Agenda!I:I),0))</f>
        <v>0.75478988091099608</v>
      </c>
      <c r="L53" s="36">
        <f t="shared" si="2"/>
        <v>0</v>
      </c>
      <c r="M53" s="36">
        <f t="shared" si="3"/>
        <v>0</v>
      </c>
      <c r="N53" s="1">
        <f t="shared" si="4"/>
        <v>87927.517324672895</v>
      </c>
      <c r="O53" s="81">
        <f t="array" ref="O53">IF(OR(G53="Amortization",G53="Fim de Mês"),(1+J53)*N53-D53,-INDEX(Agenda!J:J,MATCH(1,('Lançamentos- Credito Débito'!E53=Agenda!C:C)*('Lançamentos- Credito Débito'!G53=Agenda!G:G),0)))</f>
        <v>88217.482411963661</v>
      </c>
      <c r="P53" s="44">
        <f t="shared" si="5"/>
        <v>289.96508729076822</v>
      </c>
      <c r="Q53" s="64">
        <f t="shared" si="6"/>
        <v>88217.482411963661</v>
      </c>
      <c r="R53" s="14">
        <f t="array" ref="R53">IF(F53="","",INDEX(Agenda!L:L,MATCH(1,('Lançamentos- Credito Débito'!E53=Agenda!C:C)*('Lançamentos- Credito Débito'!F53=Agenda!I:I),0)))</f>
        <v>7599.3</v>
      </c>
      <c r="S53" s="14">
        <f t="shared" si="7"/>
        <v>7599.3</v>
      </c>
      <c r="T53" s="14">
        <f t="shared" si="8"/>
        <v>0</v>
      </c>
      <c r="U53" s="62">
        <f t="shared" si="9"/>
        <v>0</v>
      </c>
      <c r="V53" s="78">
        <f t="shared" si="10"/>
        <v>-1.1691106254087238E-12</v>
      </c>
    </row>
    <row r="54" spans="1:22" customFormat="1" x14ac:dyDescent="0.25">
      <c r="A54" s="45">
        <v>44038</v>
      </c>
      <c r="B54" s="33" t="s">
        <v>63</v>
      </c>
      <c r="C54" s="33" t="s">
        <v>28</v>
      </c>
      <c r="D54" s="34">
        <v>10068.1</v>
      </c>
      <c r="E54" s="33" t="s">
        <v>9</v>
      </c>
      <c r="F54" s="45">
        <v>44038</v>
      </c>
      <c r="G54" s="33" t="s">
        <v>51</v>
      </c>
      <c r="H54" s="25">
        <f t="array" ref="H54">IFERROR(INDEX(Agenda!AA:AA,MATCH(1,('Lançamentos- Credito Débito'!E54=Agenda!C:C)*('Lançamentos- Credito Débito'!F54=Agenda!I:I),0)),"")</f>
        <v>8.2342591547712729E-4</v>
      </c>
      <c r="I54">
        <f t="shared" si="0"/>
        <v>26</v>
      </c>
      <c r="J54" s="35">
        <f t="shared" si="1"/>
        <v>2.1630892127647128E-2</v>
      </c>
      <c r="K54" s="40">
        <f t="array" ref="K54">INDEX(Agenda!AB:AB,MATCH(1,('Lançamentos- Credito Débito'!E54=Agenda!C:C)*('Lançamentos- Credito Débito'!F54=Agenda!I:I),0))</f>
        <v>0.78166784199600714</v>
      </c>
      <c r="L54" s="36">
        <f t="shared" si="2"/>
        <v>7869.91</v>
      </c>
      <c r="M54" s="36">
        <f t="shared" si="3"/>
        <v>2198.1900000000005</v>
      </c>
      <c r="N54" s="1">
        <f t="shared" si="4"/>
        <v>88217.482411963661</v>
      </c>
      <c r="O54" s="81">
        <f t="array" ref="O54">IF(OR(G54="Amortization",G54="Fim de Mês"),(1+J54)*N54-D54,-INDEX(Agenda!J:J,MATCH(1,('Lançamentos- Credito Débito'!E54=Agenda!C:C)*('Lançamentos- Credito Débito'!G54=Agenda!G:G),0)))</f>
        <v>80057.605257789444</v>
      </c>
      <c r="P54" s="44">
        <f t="shared" si="5"/>
        <v>1908.2228458257937</v>
      </c>
      <c r="Q54" s="64">
        <f t="shared" si="6"/>
        <v>90125.70525778945</v>
      </c>
      <c r="R54" s="14">
        <f t="array" ref="R54">IF(F54="","",INDEX(Agenda!L:L,MATCH(1,('Lançamentos- Credito Débito'!E54=Agenda!C:C)*('Lançamentos- Credito Débito'!F54=Agenda!I:I),0)))</f>
        <v>7869.91</v>
      </c>
      <c r="S54" s="14">
        <f t="shared" si="7"/>
        <v>7869.91</v>
      </c>
      <c r="T54" s="14">
        <f t="shared" si="8"/>
        <v>0</v>
      </c>
      <c r="U54" s="62">
        <f t="shared" si="9"/>
        <v>0</v>
      </c>
      <c r="V54" s="78">
        <f t="shared" si="10"/>
        <v>0</v>
      </c>
    </row>
    <row r="55" spans="1:22" customFormat="1" x14ac:dyDescent="0.25">
      <c r="A55" s="45">
        <v>44042</v>
      </c>
      <c r="B55" s="33" t="s">
        <v>63</v>
      </c>
      <c r="C55" s="33" t="s">
        <v>28</v>
      </c>
      <c r="D55" s="34"/>
      <c r="E55" s="33" t="s">
        <v>9</v>
      </c>
      <c r="F55" s="45">
        <v>44038</v>
      </c>
      <c r="G55" s="33" t="s">
        <v>86</v>
      </c>
      <c r="H55" s="25">
        <f t="array" ref="H55">IFERROR(INDEX(Agenda!AA:AA,MATCH(1,('Lançamentos- Credito Débito'!E55=Agenda!C:C)*('Lançamentos- Credito Débito'!F55=Agenda!I:I),0)),"")</f>
        <v>8.2342591547712729E-4</v>
      </c>
      <c r="I55">
        <f t="shared" si="0"/>
        <v>4</v>
      </c>
      <c r="J55" s="35">
        <f t="shared" si="1"/>
        <v>3.2977740770283592E-3</v>
      </c>
      <c r="K55" s="40">
        <f t="array" ref="K55">INDEX(Agenda!AB:AB,MATCH(1,('Lançamentos- Credito Débito'!E55=Agenda!C:C)*('Lançamentos- Credito Débito'!F55=Agenda!I:I),0))</f>
        <v>0.78166784199600714</v>
      </c>
      <c r="L55" s="36">
        <f t="shared" si="2"/>
        <v>0</v>
      </c>
      <c r="M55" s="36">
        <f t="shared" si="3"/>
        <v>0</v>
      </c>
      <c r="N55" s="1">
        <f t="shared" si="4"/>
        <v>80057.605257789444</v>
      </c>
      <c r="O55" s="81">
        <f t="array" ref="O55">IF(OR(G55="Amortization",G55="Fim de Mês"),(1+J55)*N55-D55,-INDEX(Agenda!J:J,MATCH(1,('Lançamentos- Credito Débito'!E55=Agenda!C:C)*('Lançamentos- Credito Débito'!G55=Agenda!G:G),0)))</f>
        <v>80321.617153077546</v>
      </c>
      <c r="P55" s="44">
        <f t="shared" si="5"/>
        <v>264.01189528810733</v>
      </c>
      <c r="Q55" s="64">
        <f t="shared" si="6"/>
        <v>80321.617153077546</v>
      </c>
      <c r="R55" s="14">
        <f t="array" ref="R55">IF(F55="","",INDEX(Agenda!L:L,MATCH(1,('Lançamentos- Credito Débito'!E55=Agenda!C:C)*('Lançamentos- Credito Débito'!F55=Agenda!I:I),0)))</f>
        <v>7869.91</v>
      </c>
      <c r="S55" s="14">
        <f t="shared" si="7"/>
        <v>7869.91</v>
      </c>
      <c r="T55" s="14">
        <f t="shared" si="8"/>
        <v>0</v>
      </c>
      <c r="U55" s="62">
        <f t="shared" si="9"/>
        <v>0</v>
      </c>
      <c r="V55" s="78">
        <f t="shared" si="10"/>
        <v>0</v>
      </c>
    </row>
    <row r="56" spans="1:22" customFormat="1" x14ac:dyDescent="0.25">
      <c r="A56" s="45">
        <v>44069</v>
      </c>
      <c r="B56" s="33" t="s">
        <v>63</v>
      </c>
      <c r="C56" s="33" t="s">
        <v>28</v>
      </c>
      <c r="D56" s="34">
        <v>10068.1</v>
      </c>
      <c r="E56" s="33" t="s">
        <v>9</v>
      </c>
      <c r="F56" s="45">
        <v>44069</v>
      </c>
      <c r="G56" s="33" t="s">
        <v>51</v>
      </c>
      <c r="H56" s="25">
        <f t="array" ref="H56">IFERROR(INDEX(Agenda!AA:AA,MATCH(1,('Lançamentos- Credito Débito'!E56=Agenda!C:C)*('Lançamentos- Credito Débito'!F56=Agenda!I:I),0)),"")</f>
        <v>8.2342591547712729E-4</v>
      </c>
      <c r="I56">
        <f t="shared" si="0"/>
        <v>27</v>
      </c>
      <c r="J56" s="35">
        <f t="shared" si="1"/>
        <v>2.2472129480276992E-2</v>
      </c>
      <c r="K56" s="40">
        <f t="array" ref="K56">INDEX(Agenda!AB:AB,MATCH(1,('Lançamentos- Credito Débito'!E56=Agenda!C:C)*('Lançamentos- Credito Débito'!F56=Agenda!I:I),0))</f>
        <v>0.79449846545028358</v>
      </c>
      <c r="L56" s="36">
        <f t="shared" si="2"/>
        <v>7999.09</v>
      </c>
      <c r="M56" s="36">
        <f t="shared" si="3"/>
        <v>2069.0100000000002</v>
      </c>
      <c r="N56" s="1">
        <f t="shared" si="4"/>
        <v>80321.617153077546</v>
      </c>
      <c r="O56" s="81">
        <f t="array" ref="O56">IF(OR(G56="Amortization",G56="Fim de Mês"),(1+J56)*N56-D56,-INDEX(Agenda!J:J,MATCH(1,('Lançamentos- Credito Débito'!E56=Agenda!C:C)*('Lançamentos- Credito Débito'!G56=Agenda!G:G),0)))</f>
        <v>72058.514933806742</v>
      </c>
      <c r="P56" s="44">
        <f t="shared" si="5"/>
        <v>1804.9977807291962</v>
      </c>
      <c r="Q56" s="64">
        <f t="shared" si="6"/>
        <v>82126.614933806748</v>
      </c>
      <c r="R56" s="14">
        <f t="array" ref="R56">IF(F56="","",INDEX(Agenda!L:L,MATCH(1,('Lançamentos- Credito Débito'!E56=Agenda!C:C)*('Lançamentos- Credito Débito'!F56=Agenda!I:I),0)))</f>
        <v>7999.09</v>
      </c>
      <c r="S56" s="14">
        <f t="shared" si="7"/>
        <v>7999.09</v>
      </c>
      <c r="T56" s="14">
        <f t="shared" si="8"/>
        <v>0</v>
      </c>
      <c r="U56" s="62">
        <f t="shared" si="9"/>
        <v>0</v>
      </c>
      <c r="V56" s="78">
        <f t="shared" si="10"/>
        <v>0</v>
      </c>
    </row>
    <row r="57" spans="1:22" customFormat="1" x14ac:dyDescent="0.25">
      <c r="A57" s="45">
        <v>44074</v>
      </c>
      <c r="B57" s="33" t="s">
        <v>63</v>
      </c>
      <c r="C57" s="33" t="s">
        <v>28</v>
      </c>
      <c r="D57" s="34"/>
      <c r="E57" s="33" t="s">
        <v>9</v>
      </c>
      <c r="F57" s="45">
        <v>44069</v>
      </c>
      <c r="G57" s="33" t="s">
        <v>86</v>
      </c>
      <c r="H57" s="25">
        <f t="array" ref="H57">IFERROR(INDEX(Agenda!AA:AA,MATCH(1,('Lançamentos- Credito Débito'!E57=Agenda!C:C)*('Lançamentos- Credito Débito'!F57=Agenda!I:I),0)),"")</f>
        <v>8.2342591547712729E-4</v>
      </c>
      <c r="I57">
        <f t="shared" si="0"/>
        <v>5</v>
      </c>
      <c r="J57" s="35">
        <f t="shared" si="1"/>
        <v>4.1239154651437904E-3</v>
      </c>
      <c r="K57" s="40">
        <f t="array" ref="K57">INDEX(Agenda!AB:AB,MATCH(1,('Lançamentos- Credito Débito'!E57=Agenda!C:C)*('Lançamentos- Credito Débito'!F57=Agenda!I:I),0))</f>
        <v>0.79449846545028358</v>
      </c>
      <c r="L57" s="36">
        <f t="shared" si="2"/>
        <v>0</v>
      </c>
      <c r="M57" s="36">
        <f t="shared" si="3"/>
        <v>0</v>
      </c>
      <c r="N57" s="1">
        <f t="shared" si="4"/>
        <v>72058.514933806742</v>
      </c>
      <c r="O57" s="81">
        <f t="array" ref="O57">IF(OR(G57="Amortization",G57="Fim de Mês"),(1+J57)*N57-D57,-INDEX(Agenda!J:J,MATCH(1,('Lançamentos- Credito Débito'!E57=Agenda!C:C)*('Lançamentos- Credito Débito'!G57=Agenda!G:G),0)))</f>
        <v>72355.678157937567</v>
      </c>
      <c r="P57" s="44">
        <f t="shared" si="5"/>
        <v>297.16322413082042</v>
      </c>
      <c r="Q57" s="64">
        <f t="shared" si="6"/>
        <v>72355.678157937567</v>
      </c>
      <c r="R57" s="14">
        <f t="array" ref="R57">IF(F57="","",INDEX(Agenda!L:L,MATCH(1,('Lançamentos- Credito Débito'!E57=Agenda!C:C)*('Lançamentos- Credito Débito'!F57=Agenda!I:I),0)))</f>
        <v>7999.09</v>
      </c>
      <c r="S57" s="14">
        <f t="shared" si="7"/>
        <v>7999.09</v>
      </c>
      <c r="T57" s="14">
        <f t="shared" si="8"/>
        <v>0</v>
      </c>
      <c r="U57" s="62">
        <f t="shared" si="9"/>
        <v>0</v>
      </c>
      <c r="V57" s="78">
        <f t="shared" si="10"/>
        <v>0</v>
      </c>
    </row>
    <row r="58" spans="1:22" customFormat="1" x14ac:dyDescent="0.25">
      <c r="A58" s="45">
        <v>44100</v>
      </c>
      <c r="B58" s="33" t="s">
        <v>63</v>
      </c>
      <c r="C58" s="33" t="s">
        <v>28</v>
      </c>
      <c r="D58" s="34">
        <v>10068.1</v>
      </c>
      <c r="E58" s="33" t="s">
        <v>9</v>
      </c>
      <c r="F58" s="45">
        <v>44100</v>
      </c>
      <c r="G58" s="33" t="s">
        <v>51</v>
      </c>
      <c r="H58" s="25">
        <f t="array" ref="H58">IFERROR(INDEX(Agenda!AA:AA,MATCH(1,('Lançamentos- Credito Débito'!E58=Agenda!C:C)*('Lançamentos- Credito Débito'!F58=Agenda!I:I),0)),"")</f>
        <v>8.2342591547712729E-4</v>
      </c>
      <c r="I58">
        <f t="shared" si="0"/>
        <v>26</v>
      </c>
      <c r="J58" s="35">
        <f t="shared" si="1"/>
        <v>2.1630892127647128E-2</v>
      </c>
      <c r="K58" s="40">
        <f t="array" ref="K58">INDEX(Agenda!AB:AB,MATCH(1,('Lançamentos- Credito Débito'!E58=Agenda!C:C)*('Lançamentos- Credito Débito'!F58=Agenda!I:I),0))</f>
        <v>0.81503163456858785</v>
      </c>
      <c r="L58" s="36">
        <f t="shared" si="2"/>
        <v>8205.82</v>
      </c>
      <c r="M58" s="36">
        <f t="shared" si="3"/>
        <v>1862.2800000000007</v>
      </c>
      <c r="N58" s="1">
        <f t="shared" si="4"/>
        <v>72355.678157937567</v>
      </c>
      <c r="O58" s="81">
        <f t="array" ref="O58">IF(OR(G58="Amortization",G58="Fim de Mês"),(1+J58)*N58-D58,-INDEX(Agenda!J:J,MATCH(1,('Lançamentos- Credito Débito'!E58=Agenda!C:C)*('Lançamentos- Credito Débito'!G58=Agenda!G:G),0)))</f>
        <v>63852.696026994665</v>
      </c>
      <c r="P58" s="44">
        <f t="shared" si="5"/>
        <v>1565.117869057101</v>
      </c>
      <c r="Q58" s="64">
        <f t="shared" si="6"/>
        <v>73920.796026994663</v>
      </c>
      <c r="R58" s="14">
        <f t="array" ref="R58">IF(F58="","",INDEX(Agenda!L:L,MATCH(1,('Lançamentos- Credito Débito'!E58=Agenda!C:C)*('Lançamentos- Credito Débito'!F58=Agenda!I:I),0)))</f>
        <v>8205.82</v>
      </c>
      <c r="S58" s="14">
        <f t="shared" si="7"/>
        <v>8205.82</v>
      </c>
      <c r="T58" s="14">
        <f t="shared" si="8"/>
        <v>0</v>
      </c>
      <c r="U58" s="62">
        <f t="shared" si="9"/>
        <v>0</v>
      </c>
      <c r="V58" s="78">
        <f t="shared" si="10"/>
        <v>0</v>
      </c>
    </row>
    <row r="59" spans="1:22" customFormat="1" x14ac:dyDescent="0.25">
      <c r="A59" s="3">
        <v>44104</v>
      </c>
      <c r="B59" s="33" t="s">
        <v>63</v>
      </c>
      <c r="C59" s="33" t="s">
        <v>28</v>
      </c>
      <c r="D59" s="34"/>
      <c r="E59" s="33" t="s">
        <v>9</v>
      </c>
      <c r="F59" s="45">
        <v>44100</v>
      </c>
      <c r="G59" s="33" t="s">
        <v>86</v>
      </c>
      <c r="H59" s="25">
        <f t="array" ref="H59">IFERROR(INDEX(Agenda!AA:AA,MATCH(1,('Lançamentos- Credito Débito'!E59=Agenda!C:C)*('Lançamentos- Credito Débito'!F59=Agenda!I:I),0)),"")</f>
        <v>8.2342591547712729E-4</v>
      </c>
      <c r="I59">
        <f t="shared" si="0"/>
        <v>4</v>
      </c>
      <c r="J59" s="35">
        <f t="shared" si="1"/>
        <v>3.2977740770283592E-3</v>
      </c>
      <c r="K59" s="40">
        <f t="array" ref="K59">INDEX(Agenda!AB:AB,MATCH(1,('Lançamentos- Credito Débito'!E59=Agenda!C:C)*('Lançamentos- Credito Débito'!F59=Agenda!I:I),0))</f>
        <v>0.81503163456858785</v>
      </c>
      <c r="L59" s="36">
        <f t="shared" si="2"/>
        <v>0</v>
      </c>
      <c r="M59" s="36">
        <f t="shared" si="3"/>
        <v>0</v>
      </c>
      <c r="N59" s="1">
        <f t="shared" si="4"/>
        <v>63852.696026994665</v>
      </c>
      <c r="O59" s="81">
        <f t="array" ref="O59">IF(OR(G59="Amortization",G59="Fim de Mês"),(1+J59)*N59-D59,-INDEX(Agenda!J:J,MATCH(1,('Lançamentos- Credito Débito'!E59=Agenda!C:C)*('Lançamentos- Credito Débito'!G59=Agenda!G:G),0)))</f>
        <v>64063.267792700863</v>
      </c>
      <c r="P59" s="44">
        <f t="shared" si="5"/>
        <v>210.57176570619472</v>
      </c>
      <c r="Q59" s="64">
        <f t="shared" si="6"/>
        <v>64063.267792700863</v>
      </c>
      <c r="R59" s="14">
        <f t="array" ref="R59">IF(F59="","",INDEX(Agenda!L:L,MATCH(1,('Lançamentos- Credito Débito'!E59=Agenda!C:C)*('Lançamentos- Credito Débito'!F59=Agenda!I:I),0)))</f>
        <v>8205.82</v>
      </c>
      <c r="S59" s="14">
        <f t="shared" si="7"/>
        <v>8205.82</v>
      </c>
      <c r="T59" s="14">
        <f t="shared" si="8"/>
        <v>0</v>
      </c>
      <c r="U59" s="62">
        <f t="shared" si="9"/>
        <v>0</v>
      </c>
      <c r="V59" s="78">
        <f t="shared" si="10"/>
        <v>0</v>
      </c>
    </row>
    <row r="60" spans="1:22" customFormat="1" x14ac:dyDescent="0.25">
      <c r="A60" s="3">
        <v>44130</v>
      </c>
      <c r="B60" s="33" t="s">
        <v>63</v>
      </c>
      <c r="C60" s="33" t="s">
        <v>28</v>
      </c>
      <c r="D60" s="34">
        <v>10068.1</v>
      </c>
      <c r="E60" s="33" t="s">
        <v>9</v>
      </c>
      <c r="F60" s="3">
        <v>44130</v>
      </c>
      <c r="G60" s="33" t="s">
        <v>51</v>
      </c>
      <c r="H60" s="25">
        <f t="array" ref="H60">IFERROR(INDEX(Agenda!AA:AA,MATCH(1,('Lançamentos- Credito Débito'!E60=Agenda!C:C)*('Lançamentos- Credito Débito'!F60=Agenda!I:I),0)),"")</f>
        <v>8.2342591547712729E-4</v>
      </c>
      <c r="I60">
        <f t="shared" si="0"/>
        <v>26</v>
      </c>
      <c r="J60" s="35">
        <f t="shared" si="1"/>
        <v>2.1630892127647128E-2</v>
      </c>
      <c r="K60" s="40">
        <f t="array" ref="K60">INDEX(Agenda!AB:AB,MATCH(1,('Lançamentos- Credito Débito'!E60=Agenda!C:C)*('Lançamentos- Credito Débito'!F60=Agenda!I:I),0))</f>
        <v>0.84144774088457608</v>
      </c>
      <c r="L60" s="36">
        <f t="shared" si="2"/>
        <v>8471.7800000000007</v>
      </c>
      <c r="M60" s="36">
        <f t="shared" si="3"/>
        <v>1596.3199999999997</v>
      </c>
      <c r="N60" s="1">
        <f t="shared" si="4"/>
        <v>64063.267792700863</v>
      </c>
      <c r="O60" s="81">
        <f t="array" ref="O60">IF(OR(G60="Amortization",G60="Fim de Mês"),(1+J60)*N60-D60,-INDEX(Agenda!J:J,MATCH(1,('Lançamentos- Credito Débito'!E60=Agenda!C:C)*('Lançamentos- Credito Débito'!G60=Agenda!G:G),0)))</f>
        <v>55380.913427669344</v>
      </c>
      <c r="P60" s="44">
        <f t="shared" si="5"/>
        <v>1385.7456349684828</v>
      </c>
      <c r="Q60" s="64">
        <f t="shared" si="6"/>
        <v>65449.013427669342</v>
      </c>
      <c r="R60" s="14">
        <f t="array" ref="R60">IF(F60="","",INDEX(Agenda!L:L,MATCH(1,('Lançamentos- Credito Débito'!E60=Agenda!C:C)*('Lançamentos- Credito Débito'!F60=Agenda!I:I),0)))</f>
        <v>8471.7800000000007</v>
      </c>
      <c r="S60" s="14">
        <f t="shared" si="7"/>
        <v>8471.7800000000007</v>
      </c>
      <c r="T60" s="14">
        <f t="shared" si="8"/>
        <v>0</v>
      </c>
      <c r="U60" s="62">
        <f t="shared" si="9"/>
        <v>0</v>
      </c>
      <c r="V60" s="78">
        <f t="shared" si="10"/>
        <v>0</v>
      </c>
    </row>
    <row r="61" spans="1:22" customFormat="1" x14ac:dyDescent="0.25">
      <c r="A61" s="45">
        <v>44135</v>
      </c>
      <c r="B61" s="33" t="s">
        <v>63</v>
      </c>
      <c r="C61" s="33" t="s">
        <v>28</v>
      </c>
      <c r="D61" s="34"/>
      <c r="E61" s="33" t="s">
        <v>9</v>
      </c>
      <c r="F61" s="3">
        <v>44130</v>
      </c>
      <c r="G61" s="33" t="s">
        <v>86</v>
      </c>
      <c r="H61" s="25">
        <f t="array" ref="H61">IFERROR(INDEX(Agenda!AA:AA,MATCH(1,('Lançamentos- Credito Débito'!E61=Agenda!C:C)*('Lançamentos- Credito Débito'!F61=Agenda!I:I),0)),"")</f>
        <v>8.2342591547712729E-4</v>
      </c>
      <c r="I61">
        <f t="shared" si="0"/>
        <v>5</v>
      </c>
      <c r="J61" s="35">
        <f t="shared" si="1"/>
        <v>4.1239154651437904E-3</v>
      </c>
      <c r="K61" s="40">
        <f t="array" ref="K61">INDEX(Agenda!AB:AB,MATCH(1,('Lançamentos- Credito Débito'!E61=Agenda!C:C)*('Lançamentos- Credito Débito'!F61=Agenda!I:I),0))</f>
        <v>0.84144774088457608</v>
      </c>
      <c r="L61" s="36">
        <f t="shared" si="2"/>
        <v>0</v>
      </c>
      <c r="M61" s="36">
        <f t="shared" si="3"/>
        <v>0</v>
      </c>
      <c r="N61" s="1">
        <f t="shared" si="4"/>
        <v>55380.913427669344</v>
      </c>
      <c r="O61" s="81">
        <f t="array" ref="O61">IF(OR(G61="Amortization",G61="Fim de Mês"),(1+J61)*N61-D61,-INDEX(Agenda!J:J,MATCH(1,('Lançamentos- Credito Débito'!E61=Agenda!C:C)*('Lançamentos- Credito Débito'!G61=Agenda!G:G),0)))</f>
        <v>55609.299633027498</v>
      </c>
      <c r="P61" s="44">
        <f t="shared" si="5"/>
        <v>228.386205358155</v>
      </c>
      <c r="Q61" s="64">
        <f t="shared" si="6"/>
        <v>55609.299633027498</v>
      </c>
      <c r="R61" s="14">
        <f t="array" ref="R61">IF(F61="","",INDEX(Agenda!L:L,MATCH(1,('Lançamentos- Credito Débito'!E61=Agenda!C:C)*('Lançamentos- Credito Débito'!F61=Agenda!I:I),0)))</f>
        <v>8471.7800000000007</v>
      </c>
      <c r="S61" s="14">
        <f t="shared" si="7"/>
        <v>8471.7800000000007</v>
      </c>
      <c r="T61" s="14">
        <f t="shared" si="8"/>
        <v>0</v>
      </c>
      <c r="U61" s="62">
        <f t="shared" si="9"/>
        <v>0</v>
      </c>
      <c r="V61" s="78">
        <f t="shared" si="10"/>
        <v>0</v>
      </c>
    </row>
    <row r="62" spans="1:22" customFormat="1" x14ac:dyDescent="0.25">
      <c r="A62" s="45">
        <v>44161</v>
      </c>
      <c r="B62" s="33" t="s">
        <v>63</v>
      </c>
      <c r="C62" s="33" t="s">
        <v>28</v>
      </c>
      <c r="D62" s="34">
        <v>10068.1</v>
      </c>
      <c r="E62" s="33" t="s">
        <v>9</v>
      </c>
      <c r="F62" s="45">
        <v>44161</v>
      </c>
      <c r="G62" s="33" t="s">
        <v>51</v>
      </c>
      <c r="H62" s="25">
        <f t="array" ref="H62">IFERROR(INDEX(Agenda!AA:AA,MATCH(1,('Lançamentos- Credito Débito'!E62=Agenda!C:C)*('Lançamentos- Credito Débito'!F62=Agenda!I:I),0)),"")</f>
        <v>8.2342591547712729E-4</v>
      </c>
      <c r="I62">
        <f t="shared" si="0"/>
        <v>26</v>
      </c>
      <c r="J62" s="35">
        <f t="shared" si="1"/>
        <v>2.1630892127647128E-2</v>
      </c>
      <c r="K62" s="40">
        <f t="array" ref="K62">INDEX(Agenda!AB:AB,MATCH(1,('Lançamentos- Credito Débito'!E62=Agenda!C:C)*('Lançamentos- Credito Débito'!F62=Agenda!I:I),0))</f>
        <v>0.85784110209473485</v>
      </c>
      <c r="L62" s="36">
        <f t="shared" si="2"/>
        <v>8636.83</v>
      </c>
      <c r="M62" s="36">
        <f t="shared" si="3"/>
        <v>1431.27</v>
      </c>
      <c r="N62" s="1">
        <f t="shared" si="4"/>
        <v>55609.299633027498</v>
      </c>
      <c r="O62" s="81">
        <f t="array" ref="O62">IF(OR(G62="Amortization",G62="Fim de Mês"),(1+J62)*N62-D62,-INDEX(Agenda!J:J,MATCH(1,('Lançamentos- Credito Débito'!E62=Agenda!C:C)*('Lançamentos- Credito Débito'!G62=Agenda!G:G),0)))</f>
        <v>46744.078394683522</v>
      </c>
      <c r="P62" s="44">
        <f t="shared" si="5"/>
        <v>1202.8787616560248</v>
      </c>
      <c r="Q62" s="64">
        <f t="shared" si="6"/>
        <v>56812.17839468352</v>
      </c>
      <c r="R62" s="14">
        <f t="array" ref="R62">IF(F62="","",INDEX(Agenda!L:L,MATCH(1,('Lançamentos- Credito Débito'!E62=Agenda!C:C)*('Lançamentos- Credito Débito'!F62=Agenda!I:I),0)))</f>
        <v>8636.83</v>
      </c>
      <c r="S62" s="14">
        <f t="shared" si="7"/>
        <v>8636.83</v>
      </c>
      <c r="T62" s="14">
        <f t="shared" si="8"/>
        <v>0</v>
      </c>
      <c r="U62" s="62">
        <f t="shared" si="9"/>
        <v>0</v>
      </c>
      <c r="V62" s="78">
        <f t="shared" si="10"/>
        <v>0</v>
      </c>
    </row>
    <row r="63" spans="1:22" customFormat="1" x14ac:dyDescent="0.25">
      <c r="A63" s="45">
        <v>44165</v>
      </c>
      <c r="B63" s="33" t="s">
        <v>63</v>
      </c>
      <c r="C63" s="33" t="s">
        <v>28</v>
      </c>
      <c r="D63" s="34"/>
      <c r="E63" s="33" t="s">
        <v>9</v>
      </c>
      <c r="F63" s="45">
        <v>44161</v>
      </c>
      <c r="G63" s="33" t="s">
        <v>86</v>
      </c>
      <c r="H63" s="25">
        <f t="array" ref="H63">IFERROR(INDEX(Agenda!AA:AA,MATCH(1,('Lançamentos- Credito Débito'!E63=Agenda!C:C)*('Lançamentos- Credito Débito'!F63=Agenda!I:I),0)),"")</f>
        <v>8.2342591547712729E-4</v>
      </c>
      <c r="I63">
        <f t="shared" si="0"/>
        <v>4</v>
      </c>
      <c r="J63" s="35">
        <f t="shared" si="1"/>
        <v>3.2977740770283592E-3</v>
      </c>
      <c r="K63" s="40">
        <f t="array" ref="K63">INDEX(Agenda!AB:AB,MATCH(1,('Lançamentos- Credito Débito'!E63=Agenda!C:C)*('Lançamentos- Credito Débito'!F63=Agenda!I:I),0))</f>
        <v>0.85784110209473485</v>
      </c>
      <c r="L63" s="36">
        <f t="shared" si="2"/>
        <v>0</v>
      </c>
      <c r="M63" s="36">
        <f t="shared" si="3"/>
        <v>0</v>
      </c>
      <c r="N63" s="1">
        <f t="shared" si="4"/>
        <v>46744.078394683522</v>
      </c>
      <c r="O63" s="81">
        <f t="array" ref="O63">IF(OR(G63="Amortization",G63="Fim de Mês"),(1+J63)*N63-D63,-INDEX(Agenda!J:J,MATCH(1,('Lançamentos- Credito Débito'!E63=Agenda!C:C)*('Lançamentos- Credito Débito'!G63=Agenda!G:G),0)))</f>
        <v>46898.229804668088</v>
      </c>
      <c r="P63" s="44">
        <f t="shared" si="5"/>
        <v>154.15140998456872</v>
      </c>
      <c r="Q63" s="64">
        <f t="shared" si="6"/>
        <v>46898.229804668088</v>
      </c>
      <c r="R63" s="14">
        <f t="array" ref="R63">IF(F63="","",INDEX(Agenda!L:L,MATCH(1,('Lançamentos- Credito Débito'!E63=Agenda!C:C)*('Lançamentos- Credito Débito'!F63=Agenda!I:I),0)))</f>
        <v>8636.83</v>
      </c>
      <c r="S63" s="14">
        <f t="shared" si="7"/>
        <v>8636.83</v>
      </c>
      <c r="T63" s="14">
        <f t="shared" si="8"/>
        <v>0</v>
      </c>
      <c r="U63" s="62">
        <f t="shared" si="9"/>
        <v>0</v>
      </c>
      <c r="V63" s="78">
        <f t="shared" si="10"/>
        <v>0</v>
      </c>
    </row>
    <row r="64" spans="1:22" customFormat="1" x14ac:dyDescent="0.25">
      <c r="A64" s="45">
        <v>44191</v>
      </c>
      <c r="B64" s="33" t="s">
        <v>63</v>
      </c>
      <c r="C64" s="33" t="s">
        <v>28</v>
      </c>
      <c r="D64" s="34">
        <v>10068.1</v>
      </c>
      <c r="E64" s="33" t="s">
        <v>9</v>
      </c>
      <c r="F64" s="45">
        <v>44191</v>
      </c>
      <c r="G64" s="33" t="s">
        <v>51</v>
      </c>
      <c r="H64" s="25">
        <f t="array" ref="H64">IFERROR(INDEX(Agenda!AA:AA,MATCH(1,('Lançamentos- Credito Débito'!E64=Agenda!C:C)*('Lançamentos- Credito Débito'!F64=Agenda!I:I),0)),"")</f>
        <v>8.2342591547712729E-4</v>
      </c>
      <c r="I64">
        <f t="shared" si="0"/>
        <v>26</v>
      </c>
      <c r="J64" s="35">
        <f t="shared" si="1"/>
        <v>2.1630892127647128E-2</v>
      </c>
      <c r="K64" s="40">
        <f t="array" ref="K64">INDEX(Agenda!AB:AB,MATCH(1,('Lançamentos- Credito Débito'!E64=Agenda!C:C)*('Lançamentos- Credito Débito'!F64=Agenda!I:I),0))</f>
        <v>0.8839304337461884</v>
      </c>
      <c r="L64" s="36">
        <f t="shared" si="2"/>
        <v>8899.5</v>
      </c>
      <c r="M64" s="36">
        <f t="shared" si="3"/>
        <v>1168.6000000000006</v>
      </c>
      <c r="N64" s="1">
        <f t="shared" si="4"/>
        <v>46898.229804668088</v>
      </c>
      <c r="O64" s="81">
        <f t="array" ref="O64">IF(OR(G64="Amortization",G64="Fim de Mês"),(1+J64)*N64-D64,-INDEX(Agenda!J:J,MATCH(1,('Lançamentos- Credito Débito'!E64=Agenda!C:C)*('Lançamentos- Credito Débito'!G64=Agenda!G:G),0)))</f>
        <v>37844.580354550468</v>
      </c>
      <c r="P64" s="44">
        <f t="shared" si="5"/>
        <v>1014.4505498823809</v>
      </c>
      <c r="Q64" s="64">
        <f t="shared" si="6"/>
        <v>47912.680354550466</v>
      </c>
      <c r="R64" s="14">
        <f t="array" ref="R64">IF(F64="","",INDEX(Agenda!L:L,MATCH(1,('Lançamentos- Credito Débito'!E64=Agenda!C:C)*('Lançamentos- Credito Débito'!F64=Agenda!I:I),0)))</f>
        <v>8899.5</v>
      </c>
      <c r="S64" s="14">
        <f t="shared" si="7"/>
        <v>8899.5</v>
      </c>
      <c r="T64" s="14">
        <f t="shared" si="8"/>
        <v>0</v>
      </c>
      <c r="U64" s="62">
        <f t="shared" si="9"/>
        <v>0</v>
      </c>
      <c r="V64" s="78">
        <f t="shared" si="10"/>
        <v>0</v>
      </c>
    </row>
    <row r="65" spans="1:35" customFormat="1" x14ac:dyDescent="0.25">
      <c r="A65" s="45">
        <v>44196</v>
      </c>
      <c r="B65" s="33" t="s">
        <v>63</v>
      </c>
      <c r="C65" s="33" t="s">
        <v>28</v>
      </c>
      <c r="D65" s="34"/>
      <c r="E65" s="33" t="s">
        <v>9</v>
      </c>
      <c r="F65" s="45">
        <v>44191</v>
      </c>
      <c r="G65" s="33" t="s">
        <v>86</v>
      </c>
      <c r="H65" s="25">
        <f t="array" ref="H65">IFERROR(INDEX(Agenda!AA:AA,MATCH(1,('Lançamentos- Credito Débito'!E65=Agenda!C:C)*('Lançamentos- Credito Débito'!F65=Agenda!I:I),0)),"")</f>
        <v>8.2342591547712729E-4</v>
      </c>
      <c r="I65">
        <f t="shared" si="0"/>
        <v>5</v>
      </c>
      <c r="J65" s="35">
        <f t="shared" si="1"/>
        <v>4.1239154651437904E-3</v>
      </c>
      <c r="K65" s="40">
        <f t="array" ref="K65">INDEX(Agenda!AB:AB,MATCH(1,('Lançamentos- Credito Débito'!E65=Agenda!C:C)*('Lançamentos- Credito Débito'!F65=Agenda!I:I),0))</f>
        <v>0.8839304337461884</v>
      </c>
      <c r="L65" s="36">
        <f t="shared" si="2"/>
        <v>0</v>
      </c>
      <c r="M65" s="36">
        <f t="shared" si="3"/>
        <v>0</v>
      </c>
      <c r="N65" s="1">
        <f t="shared" si="4"/>
        <v>37844.580354550468</v>
      </c>
      <c r="O65" s="81">
        <f t="array" ref="O65">IF(OR(G65="Amortization",G65="Fim de Mês"),(1+J65)*N65-D65,-INDEX(Agenda!J:J,MATCH(1,('Lançamentos- Credito Débito'!E65=Agenda!C:C)*('Lançamentos- Credito Débito'!G65=Agenda!G:G),0)))</f>
        <v>38000.648204746474</v>
      </c>
      <c r="P65" s="44">
        <f t="shared" si="5"/>
        <v>156.06785019600756</v>
      </c>
      <c r="Q65" s="64">
        <f t="shared" si="6"/>
        <v>38000.648204746474</v>
      </c>
      <c r="R65" s="14">
        <f t="array" ref="R65">IF(F65="","",INDEX(Agenda!L:L,MATCH(1,('Lançamentos- Credito Débito'!E65=Agenda!C:C)*('Lançamentos- Credito Débito'!F65=Agenda!I:I),0)))</f>
        <v>8899.5</v>
      </c>
      <c r="S65" s="14">
        <f t="shared" si="7"/>
        <v>8899.5</v>
      </c>
      <c r="T65" s="14">
        <f t="shared" si="8"/>
        <v>0</v>
      </c>
      <c r="U65" s="62">
        <f t="shared" si="9"/>
        <v>0</v>
      </c>
      <c r="V65" s="78">
        <f t="shared" si="10"/>
        <v>0</v>
      </c>
    </row>
    <row r="66" spans="1:35" customFormat="1" x14ac:dyDescent="0.25">
      <c r="A66" s="45">
        <v>44222</v>
      </c>
      <c r="B66" s="33" t="s">
        <v>63</v>
      </c>
      <c r="C66" s="33" t="s">
        <v>28</v>
      </c>
      <c r="D66" s="34">
        <v>10068.1</v>
      </c>
      <c r="E66" s="33" t="s">
        <v>9</v>
      </c>
      <c r="F66" s="45">
        <v>44222</v>
      </c>
      <c r="G66" s="33" t="s">
        <v>51</v>
      </c>
      <c r="H66" s="25">
        <f t="array" ref="H66">IFERROR(INDEX(Agenda!AA:AA,MATCH(1,('Lançamentos- Credito Débito'!E66=Agenda!C:C)*('Lançamentos- Credito Débito'!F66=Agenda!I:I),0)),"")</f>
        <v>8.2342591547712729E-4</v>
      </c>
      <c r="I66">
        <f t="shared" si="0"/>
        <v>26</v>
      </c>
      <c r="J66" s="35">
        <f t="shared" si="1"/>
        <v>2.1630892127647128E-2</v>
      </c>
      <c r="K66" s="40">
        <f t="array" ref="K66">INDEX(Agenda!AB:AB,MATCH(1,('Lançamentos- Credito Débito'!E66=Agenda!C:C)*('Lançamentos- Credito Débito'!F66=Agenda!I:I),0))</f>
        <v>0.90285555367944303</v>
      </c>
      <c r="L66" s="36">
        <f t="shared" si="2"/>
        <v>9090.0400000000009</v>
      </c>
      <c r="M66" s="36">
        <f t="shared" si="3"/>
        <v>978.0599999999996</v>
      </c>
      <c r="N66" s="1">
        <f t="shared" si="4"/>
        <v>38000.648204746474</v>
      </c>
      <c r="O66" s="81">
        <f t="array" ref="O66">IF(OR(G66="Amortization",G66="Fim de Mês"),(1+J66)*N66-D66,-INDEX(Agenda!J:J,MATCH(1,('Lançamentos- Credito Débito'!E66=Agenda!C:C)*('Lançamentos- Credito Débito'!G66=Agenda!G:G),0)))</f>
        <v>28754.536126844017</v>
      </c>
      <c r="P66" s="44">
        <f t="shared" si="5"/>
        <v>821.98792209753844</v>
      </c>
      <c r="Q66" s="64">
        <f t="shared" si="6"/>
        <v>38822.636126844016</v>
      </c>
      <c r="R66" s="14">
        <f t="array" ref="R66">IF(F66="","",INDEX(Agenda!L:L,MATCH(1,('Lançamentos- Credito Débito'!E66=Agenda!C:C)*('Lançamentos- Credito Débito'!F66=Agenda!I:I),0)))</f>
        <v>9090.0400000000009</v>
      </c>
      <c r="S66" s="14">
        <f t="shared" si="7"/>
        <v>9090.0400000000009</v>
      </c>
      <c r="T66" s="14">
        <f t="shared" si="8"/>
        <v>0</v>
      </c>
      <c r="U66" s="62">
        <f t="shared" si="9"/>
        <v>0</v>
      </c>
      <c r="V66" s="78">
        <f t="shared" si="10"/>
        <v>0</v>
      </c>
    </row>
    <row r="67" spans="1:35" customFormat="1" x14ac:dyDescent="0.25">
      <c r="A67" s="45">
        <v>44227</v>
      </c>
      <c r="B67" s="33" t="s">
        <v>63</v>
      </c>
      <c r="C67" s="33" t="s">
        <v>28</v>
      </c>
      <c r="D67" s="34"/>
      <c r="E67" s="33" t="s">
        <v>9</v>
      </c>
      <c r="F67" s="45">
        <v>44222</v>
      </c>
      <c r="G67" s="33" t="s">
        <v>86</v>
      </c>
      <c r="H67" s="25">
        <f t="array" ref="H67">IFERROR(INDEX(Agenda!AA:AA,MATCH(1,('Lançamentos- Credito Débito'!E67=Agenda!C:C)*('Lançamentos- Credito Débito'!F67=Agenda!I:I),0)),"")</f>
        <v>8.2342591547712729E-4</v>
      </c>
      <c r="I67">
        <f t="shared" ref="I67:I130" si="11">IF(OR(G67="Amortization",G67="Fim de Mês"),A67-A66,"")</f>
        <v>5</v>
      </c>
      <c r="J67" s="35">
        <f t="shared" ref="J67:J130" si="12">IFERROR((1+H67)^I67-1,"")</f>
        <v>4.1239154651437904E-3</v>
      </c>
      <c r="K67" s="40">
        <f t="array" ref="K67">INDEX(Agenda!AB:AB,MATCH(1,('Lançamentos- Credito Débito'!E67=Agenda!C:C)*('Lançamentos- Credito Débito'!F67=Agenda!I:I),0))</f>
        <v>0.90285555367944303</v>
      </c>
      <c r="L67" s="36">
        <f t="shared" ref="L67:L130" si="13">IF(OR(G67="Amortization",G67="Fim de Mês"),K67*D67,"")</f>
        <v>0</v>
      </c>
      <c r="M67" s="36">
        <f t="shared" ref="M67:M130" si="14">IF(J67="","",D67*(1-K67))</f>
        <v>0</v>
      </c>
      <c r="N67" s="1">
        <f t="shared" ref="N67:N130" si="15">IF(E67=E66,O66,"")</f>
        <v>28754.536126844017</v>
      </c>
      <c r="O67" s="81">
        <f t="array" ref="O67">IF(OR(G67="Amortization",G67="Fim de Mês"),(1+J67)*N67-D67,-INDEX(Agenda!J:J,MATCH(1,('Lançamentos- Credito Débito'!E67=Agenda!C:C)*('Lançamentos- Credito Débito'!G67=Agenda!G:G),0)))</f>
        <v>28873.117403070544</v>
      </c>
      <c r="P67" s="44">
        <f t="shared" ref="P67:P130" si="16">IF(J67="","",N67*J67)</f>
        <v>118.58127622652788</v>
      </c>
      <c r="Q67" s="64">
        <f t="shared" ref="Q67:Q130" si="17">IF(N67="","",N67+P67)</f>
        <v>28873.117403070544</v>
      </c>
      <c r="R67" s="14">
        <f t="array" ref="R67">IF(F67="","",INDEX(Agenda!L:L,MATCH(1,('Lançamentos- Credito Débito'!E67=Agenda!C:C)*('Lançamentos- Credito Débito'!F67=Agenda!I:I),0)))</f>
        <v>9090.0400000000009</v>
      </c>
      <c r="S67" s="14">
        <f t="shared" ref="S67:S130" si="18">IF(AND(F67=F66,J67&lt;&gt;""),S66+L67,L67)</f>
        <v>9090.0400000000009</v>
      </c>
      <c r="T67" s="14">
        <f t="shared" ref="T67:T130" si="19">IF(R67="","",R67-S67)</f>
        <v>0</v>
      </c>
      <c r="U67" s="62">
        <f t="shared" ref="U67:U130" si="20">IF(S67="","",T67/K67)</f>
        <v>0</v>
      </c>
      <c r="V67" s="78">
        <f t="shared" ref="V67:V130" si="21">IFERROR(IF(F67=F66,V66,IF(F66&lt;&gt;"",U67+U66,0)),S67)</f>
        <v>0</v>
      </c>
    </row>
    <row r="68" spans="1:35" customFormat="1" x14ac:dyDescent="0.25">
      <c r="A68" s="45">
        <v>44253</v>
      </c>
      <c r="B68" s="33" t="s">
        <v>63</v>
      </c>
      <c r="C68" s="33" t="s">
        <v>28</v>
      </c>
      <c r="D68" s="34">
        <v>10068.1</v>
      </c>
      <c r="E68" s="33" t="s">
        <v>9</v>
      </c>
      <c r="F68" s="45">
        <v>44253</v>
      </c>
      <c r="G68" s="33" t="s">
        <v>51</v>
      </c>
      <c r="H68" s="25">
        <f t="array" ref="H68">IFERROR(INDEX(Agenda!AA:AA,MATCH(1,('Lançamentos- Credito Débito'!E68=Agenda!C:C)*('Lançamentos- Credito Débito'!F68=Agenda!I:I),0)),"")</f>
        <v>8.2342591547712729E-4</v>
      </c>
      <c r="I68">
        <f t="shared" si="11"/>
        <v>26</v>
      </c>
      <c r="J68" s="35">
        <f t="shared" si="12"/>
        <v>2.1630892127647128E-2</v>
      </c>
      <c r="K68" s="40">
        <f t="array" ref="K68">INDEX(Agenda!AB:AB,MATCH(1,('Lançamentos- Credito Débito'!E68=Agenda!C:C)*('Lançamentos- Credito Débito'!F68=Agenda!I:I),0))</f>
        <v>0.9261896484937574</v>
      </c>
      <c r="L68" s="36">
        <f t="shared" si="13"/>
        <v>9324.9699999999993</v>
      </c>
      <c r="M68" s="36">
        <f t="shared" si="14"/>
        <v>743.13000000000113</v>
      </c>
      <c r="N68" s="1">
        <f t="shared" si="15"/>
        <v>28873.117403070544</v>
      </c>
      <c r="O68" s="81">
        <f t="array" ref="O68">IF(OR(G68="Amortization",G68="Fim de Mês"),(1+J68)*N68-D68,-INDEX(Agenda!J:J,MATCH(1,('Lançamentos- Credito Débito'!E68=Agenda!C:C)*('Lançamentos- Credito Débito'!G68=Agenda!G:G),0)))</f>
        <v>19429.568691005254</v>
      </c>
      <c r="P68" s="44">
        <f t="shared" si="16"/>
        <v>624.55128793470988</v>
      </c>
      <c r="Q68" s="64">
        <f t="shared" si="17"/>
        <v>29497.668691005256</v>
      </c>
      <c r="R68" s="14">
        <f t="array" ref="R68">IF(F68="","",INDEX(Agenda!L:L,MATCH(1,('Lançamentos- Credito Débito'!E68=Agenda!C:C)*('Lançamentos- Credito Débito'!F68=Agenda!I:I),0)))</f>
        <v>9324.9699999999993</v>
      </c>
      <c r="S68" s="14">
        <f t="shared" si="18"/>
        <v>9324.9699999999993</v>
      </c>
      <c r="T68" s="14">
        <f t="shared" si="19"/>
        <v>0</v>
      </c>
      <c r="U68" s="62">
        <f t="shared" si="20"/>
        <v>0</v>
      </c>
      <c r="V68" s="78">
        <f t="shared" si="21"/>
        <v>0</v>
      </c>
    </row>
    <row r="69" spans="1:35" customFormat="1" x14ac:dyDescent="0.25">
      <c r="A69" s="45">
        <v>44255</v>
      </c>
      <c r="B69" s="33" t="s">
        <v>63</v>
      </c>
      <c r="C69" s="33" t="s">
        <v>28</v>
      </c>
      <c r="D69" s="34"/>
      <c r="E69" s="33" t="s">
        <v>9</v>
      </c>
      <c r="F69" s="45">
        <v>44253</v>
      </c>
      <c r="G69" s="33" t="s">
        <v>86</v>
      </c>
      <c r="H69" s="25">
        <f t="array" ref="H69">IFERROR(INDEX(Agenda!AA:AA,MATCH(1,('Lançamentos- Credito Débito'!E69=Agenda!C:C)*('Lançamentos- Credito Débito'!F69=Agenda!I:I),0)),"")</f>
        <v>8.2342591547712729E-4</v>
      </c>
      <c r="I69">
        <f t="shared" si="11"/>
        <v>2</v>
      </c>
      <c r="J69" s="35">
        <f t="shared" si="12"/>
        <v>1.6475298611924316E-3</v>
      </c>
      <c r="K69" s="40">
        <f t="array" ref="K69">INDEX(Agenda!AB:AB,MATCH(1,('Lançamentos- Credito Débito'!E69=Agenda!C:C)*('Lançamentos- Credito Débito'!F69=Agenda!I:I),0))</f>
        <v>0.9261896484937574</v>
      </c>
      <c r="L69" s="36">
        <f t="shared" si="13"/>
        <v>0</v>
      </c>
      <c r="M69" s="36">
        <f t="shared" si="14"/>
        <v>0</v>
      </c>
      <c r="N69" s="1">
        <f t="shared" si="15"/>
        <v>19429.568691005254</v>
      </c>
      <c r="O69" s="81">
        <f t="array" ref="O69">IF(OR(G69="Amortization",G69="Fim de Mês"),(1+J69)*N69-D69,-INDEX(Agenda!J:J,MATCH(1,('Lançamentos- Credito Débito'!E69=Agenda!C:C)*('Lançamentos- Credito Débito'!G69=Agenda!G:G),0)))</f>
        <v>19461.579485613773</v>
      </c>
      <c r="P69" s="44">
        <f t="shared" si="16"/>
        <v>32.010794608520698</v>
      </c>
      <c r="Q69" s="64">
        <f t="shared" si="17"/>
        <v>19461.579485613773</v>
      </c>
      <c r="R69" s="14">
        <f t="array" ref="R69">IF(F69="","",INDEX(Agenda!L:L,MATCH(1,('Lançamentos- Credito Débito'!E69=Agenda!C:C)*('Lançamentos- Credito Débito'!F69=Agenda!I:I),0)))</f>
        <v>9324.9699999999993</v>
      </c>
      <c r="S69" s="14">
        <f t="shared" si="18"/>
        <v>9324.9699999999993</v>
      </c>
      <c r="T69" s="14">
        <f t="shared" si="19"/>
        <v>0</v>
      </c>
      <c r="U69" s="62">
        <f t="shared" si="20"/>
        <v>0</v>
      </c>
      <c r="V69" s="78">
        <f t="shared" si="21"/>
        <v>0</v>
      </c>
    </row>
    <row r="70" spans="1:35" customFormat="1" x14ac:dyDescent="0.25">
      <c r="A70" s="45">
        <v>44281</v>
      </c>
      <c r="B70" s="33" t="s">
        <v>63</v>
      </c>
      <c r="C70" s="33" t="s">
        <v>28</v>
      </c>
      <c r="D70" s="34">
        <v>10068.1</v>
      </c>
      <c r="E70" s="33" t="s">
        <v>9</v>
      </c>
      <c r="F70" s="45">
        <v>44281</v>
      </c>
      <c r="G70" s="33" t="s">
        <v>51</v>
      </c>
      <c r="H70" s="25">
        <f t="array" ref="H70">IFERROR(INDEX(Agenda!AA:AA,MATCH(1,('Lançamentos- Credito Débito'!E70=Agenda!C:C)*('Lançamentos- Credito Débito'!F70=Agenda!I:I),0)),"")</f>
        <v>8.2342591547712729E-4</v>
      </c>
      <c r="I70">
        <f t="shared" si="11"/>
        <v>26</v>
      </c>
      <c r="J70" s="35">
        <f t="shared" si="12"/>
        <v>2.1630892127647128E-2</v>
      </c>
      <c r="K70" s="40">
        <f t="array" ref="K70">INDEX(Agenda!AB:AB,MATCH(1,('Lançamentos- Credito Débito'!E70=Agenda!C:C)*('Lançamentos- Credito Débito'!F70=Agenda!I:I),0))</f>
        <v>0.95500839284472749</v>
      </c>
      <c r="L70" s="36">
        <f t="shared" si="13"/>
        <v>9615.1200000000008</v>
      </c>
      <c r="M70" s="36">
        <f t="shared" si="14"/>
        <v>452.97999999999911</v>
      </c>
      <c r="N70" s="1">
        <f t="shared" si="15"/>
        <v>19461.579485613773</v>
      </c>
      <c r="O70" s="81">
        <f t="array" ref="O70">IF(OR(G70="Amortization",G70="Fim de Mês"),(1+J70)*N70-D70,-INDEX(Agenda!J:J,MATCH(1,('Lançamentos- Credito Débito'!E70=Agenda!C:C)*('Lançamentos- Credito Débito'!G70=Agenda!G:G),0)))</f>
        <v>9814.4508121007148</v>
      </c>
      <c r="P70" s="44">
        <f t="shared" si="16"/>
        <v>420.97132648694179</v>
      </c>
      <c r="Q70" s="64">
        <f t="shared" si="17"/>
        <v>19882.550812100715</v>
      </c>
      <c r="R70" s="14">
        <f t="array" ref="R70">IF(F70="","",INDEX(Agenda!L:L,MATCH(1,('Lançamentos- Credito Débito'!E70=Agenda!C:C)*('Lançamentos- Credito Débito'!F70=Agenda!I:I),0)))</f>
        <v>9615.1200000000008</v>
      </c>
      <c r="S70" s="14">
        <f t="shared" si="18"/>
        <v>9615.1200000000008</v>
      </c>
      <c r="T70" s="14">
        <f t="shared" si="19"/>
        <v>0</v>
      </c>
      <c r="U70" s="62">
        <f t="shared" si="20"/>
        <v>0</v>
      </c>
      <c r="V70" s="78">
        <f t="shared" si="21"/>
        <v>0</v>
      </c>
    </row>
    <row r="71" spans="1:35" customFormat="1" x14ac:dyDescent="0.25">
      <c r="A71" s="45">
        <v>44286</v>
      </c>
      <c r="B71" s="33" t="s">
        <v>63</v>
      </c>
      <c r="C71" s="33" t="s">
        <v>28</v>
      </c>
      <c r="D71" s="34"/>
      <c r="E71" s="33" t="s">
        <v>9</v>
      </c>
      <c r="F71" s="45">
        <v>44281</v>
      </c>
      <c r="G71" s="33" t="s">
        <v>86</v>
      </c>
      <c r="H71" s="25">
        <f t="array" ref="H71">IFERROR(INDEX(Agenda!AA:AA,MATCH(1,('Lançamentos- Credito Débito'!E71=Agenda!C:C)*('Lançamentos- Credito Débito'!F71=Agenda!I:I),0)),"")</f>
        <v>8.2342591547712729E-4</v>
      </c>
      <c r="I71">
        <f t="shared" si="11"/>
        <v>5</v>
      </c>
      <c r="J71" s="35">
        <f t="shared" si="12"/>
        <v>4.1239154651437904E-3</v>
      </c>
      <c r="K71" s="40">
        <f t="array" ref="K71">INDEX(Agenda!AB:AB,MATCH(1,('Lançamentos- Credito Débito'!E71=Agenda!C:C)*('Lançamentos- Credito Débito'!F71=Agenda!I:I),0))</f>
        <v>0.95500839284472749</v>
      </c>
      <c r="L71" s="36">
        <f t="shared" si="13"/>
        <v>0</v>
      </c>
      <c r="M71" s="36">
        <f t="shared" si="14"/>
        <v>0</v>
      </c>
      <c r="N71" s="1">
        <f t="shared" si="15"/>
        <v>9814.4508121007148</v>
      </c>
      <c r="O71" s="81">
        <f t="array" ref="O71">IF(OR(G71="Amortization",G71="Fim de Mês"),(1+J71)*N71-D71,-INDEX(Agenda!J:J,MATCH(1,('Lançamentos- Credito Débito'!E71=Agenda!C:C)*('Lançamentos- Credito Débito'!G71=Agenda!G:G),0)))</f>
        <v>9854.9247775866297</v>
      </c>
      <c r="P71" s="44">
        <f t="shared" si="16"/>
        <v>40.473965485915173</v>
      </c>
      <c r="Q71" s="64">
        <f t="shared" si="17"/>
        <v>9854.9247775866297</v>
      </c>
      <c r="R71" s="14">
        <f t="array" ref="R71">IF(F71="","",INDEX(Agenda!L:L,MATCH(1,('Lançamentos- Credito Débito'!E71=Agenda!C:C)*('Lançamentos- Credito Débito'!F71=Agenda!I:I),0)))</f>
        <v>9615.1200000000008</v>
      </c>
      <c r="S71" s="14">
        <f t="shared" si="18"/>
        <v>9615.1200000000008</v>
      </c>
      <c r="T71" s="14">
        <f t="shared" si="19"/>
        <v>0</v>
      </c>
      <c r="U71" s="62">
        <f t="shared" si="20"/>
        <v>0</v>
      </c>
      <c r="V71" s="78">
        <f t="shared" si="21"/>
        <v>0</v>
      </c>
    </row>
    <row r="72" spans="1:35" customFormat="1" x14ac:dyDescent="0.25">
      <c r="A72" s="45">
        <v>44312</v>
      </c>
      <c r="B72" s="33" t="s">
        <v>63</v>
      </c>
      <c r="C72" s="33" t="s">
        <v>28</v>
      </c>
      <c r="D72" s="34">
        <v>10068.1</v>
      </c>
      <c r="E72" s="33" t="s">
        <v>9</v>
      </c>
      <c r="F72" s="45">
        <v>44312</v>
      </c>
      <c r="G72" s="33" t="s">
        <v>51</v>
      </c>
      <c r="H72" s="25">
        <f t="array" ref="H72">IFERROR(INDEX(Agenda!AA:AA,MATCH(1,('Lançamentos- Credito Débito'!E72=Agenda!C:C)*('Lançamentos- Credito Débito'!F72=Agenda!I:I),0)),"")</f>
        <v>8.2342591547712729E-4</v>
      </c>
      <c r="I72">
        <f t="shared" si="11"/>
        <v>26</v>
      </c>
      <c r="J72" s="35">
        <f t="shared" si="12"/>
        <v>2.1630892127647128E-2</v>
      </c>
      <c r="K72" s="40">
        <f t="array" ref="K72">INDEX(Agenda!AB:AB,MATCH(1,('Lançamentos- Credito Débito'!E72=Agenda!C:C)*('Lançamentos- Credito Débito'!F72=Agenda!I:I),0))</f>
        <v>0.97480756051290696</v>
      </c>
      <c r="L72" s="36">
        <f t="shared" si="13"/>
        <v>9814.4599999999991</v>
      </c>
      <c r="M72" s="36">
        <f t="shared" si="14"/>
        <v>253.64000000000149</v>
      </c>
      <c r="N72" s="1">
        <f t="shared" si="15"/>
        <v>9854.9247775866297</v>
      </c>
      <c r="O72" s="81">
        <f t="array" ref="O72">IF(OR(G72="Amortization",G72="Fim de Mês"),(1+J72)*N72-D72,-INDEX(Agenda!J:J,MATCH(1,('Lançamentos- Credito Débito'!E72=Agenda!C:C)*('Lançamentos- Credito Débito'!G72=Agenda!G:G),0)))</f>
        <v>-4.4076233170926571E-3</v>
      </c>
      <c r="P72" s="44">
        <f t="shared" si="16"/>
        <v>213.17081479005324</v>
      </c>
      <c r="Q72" s="64">
        <f t="shared" si="17"/>
        <v>10068.095592376683</v>
      </c>
      <c r="R72" s="14">
        <f t="array" ref="R72">IF(F72="","",INDEX(Agenda!L:L,MATCH(1,('Lançamentos- Credito Débito'!E72=Agenda!C:C)*('Lançamentos- Credito Débito'!F72=Agenda!I:I),0)))</f>
        <v>9814.4599999999991</v>
      </c>
      <c r="S72" s="14">
        <f t="shared" si="18"/>
        <v>9814.4599999999991</v>
      </c>
      <c r="T72" s="14">
        <f t="shared" si="19"/>
        <v>0</v>
      </c>
      <c r="U72" s="62">
        <f t="shared" si="20"/>
        <v>0</v>
      </c>
      <c r="V72" s="78">
        <f t="shared" si="21"/>
        <v>0</v>
      </c>
    </row>
    <row r="73" spans="1:35" x14ac:dyDescent="0.25">
      <c r="A73" s="54">
        <v>43983</v>
      </c>
      <c r="B73" s="33" t="s">
        <v>28</v>
      </c>
      <c r="C73" s="33" t="s">
        <v>63</v>
      </c>
      <c r="D73" s="34">
        <v>49947.44</v>
      </c>
      <c r="E73" s="33" t="s">
        <v>6</v>
      </c>
      <c r="F73" s="33"/>
      <c r="G73" s="33" t="s">
        <v>50</v>
      </c>
      <c r="H73" s="25" t="str">
        <f t="array" ref="H73">IFERROR(INDEX(Agenda!AA:AA,MATCH(1,('Lançamentos- Credito Débito'!E73=Agenda!C:C)*('Lançamentos- Credito Débito'!F73=Agenda!I:I),0)),"")</f>
        <v/>
      </c>
      <c r="I73" t="str">
        <f t="shared" si="11"/>
        <v/>
      </c>
      <c r="J73" s="35" t="str">
        <f t="shared" si="12"/>
        <v/>
      </c>
      <c r="K73" s="40" t="e">
        <f t="array" ref="K73">INDEX(Agenda!AB:AB,MATCH(1,('Lançamentos- Credito Débito'!E73=Agenda!C:C)*('Lançamentos- Credito Débito'!F73=Agenda!I:I),0))</f>
        <v>#N/A</v>
      </c>
      <c r="L73" s="36" t="str">
        <f t="shared" si="13"/>
        <v/>
      </c>
      <c r="M73" s="36" t="str">
        <f t="shared" si="14"/>
        <v/>
      </c>
      <c r="N73" s="1" t="str">
        <f t="shared" si="15"/>
        <v/>
      </c>
      <c r="O73" s="81">
        <f t="array" ref="O73">IF(OR(G73="Amortization",G73="Fim de Mês"),(1+J73)*N73-D73,-INDEX(Agenda!J:J,MATCH(1,('Lançamentos- Credito Débito'!E73=Agenda!C:C)*('Lançamentos- Credito Débito'!G73=Agenda!G:G),0)))</f>
        <v>49947.44</v>
      </c>
      <c r="P73" s="44" t="str">
        <f t="shared" si="16"/>
        <v/>
      </c>
      <c r="Q73" s="64" t="str">
        <f t="shared" si="17"/>
        <v/>
      </c>
      <c r="R73" s="14" t="str">
        <f t="array" ref="R73">IF(F73="","",INDEX(Agenda!L:L,MATCH(1,('Lançamentos- Credito Débito'!E73=Agenda!C:C)*('Lançamentos- Credito Débito'!F73=Agenda!I:I),0)))</f>
        <v/>
      </c>
      <c r="S73" s="14" t="str">
        <f t="shared" si="18"/>
        <v/>
      </c>
      <c r="T73" s="14" t="str">
        <f t="shared" si="19"/>
        <v/>
      </c>
      <c r="U73" s="62" t="str">
        <f t="shared" si="20"/>
        <v/>
      </c>
      <c r="V73" s="78" t="str">
        <f t="shared" si="21"/>
        <v/>
      </c>
      <c r="W73" s="26"/>
      <c r="X73" s="26"/>
      <c r="Y73" s="26"/>
      <c r="Z73" s="26"/>
      <c r="AA73" s="26"/>
      <c r="AB73" s="14"/>
      <c r="AC73" s="14"/>
      <c r="AD73" s="14"/>
      <c r="AE73" s="16"/>
      <c r="AF73" s="14"/>
      <c r="AG73" s="32"/>
      <c r="AH73" s="14"/>
      <c r="AI73" s="14"/>
    </row>
    <row r="74" spans="1:35" x14ac:dyDescent="0.25">
      <c r="A74" s="45">
        <v>44012</v>
      </c>
      <c r="B74" s="33" t="s">
        <v>63</v>
      </c>
      <c r="C74" s="33" t="s">
        <v>28</v>
      </c>
      <c r="D74" s="34">
        <v>0</v>
      </c>
      <c r="E74" s="33" t="s">
        <v>6</v>
      </c>
      <c r="F74" s="30">
        <v>44342</v>
      </c>
      <c r="G74" s="33" t="s">
        <v>86</v>
      </c>
      <c r="H74" s="25">
        <f t="array" ref="H74">IFERROR(INDEX(Agenda!AA:AA,MATCH(1,('Lançamentos- Credito Débito'!E74=Agenda!C:C)*('Lançamentos- Credito Débito'!F74=Agenda!I:I),0)),"")</f>
        <v>8.2342591547712729E-4</v>
      </c>
      <c r="I74">
        <f t="shared" si="11"/>
        <v>29</v>
      </c>
      <c r="J74" s="35">
        <f t="shared" si="12"/>
        <v>2.4156682845832833E-2</v>
      </c>
      <c r="K74" s="40">
        <f t="array" ref="K74">INDEX(Agenda!AB:AB,MATCH(1,('Lançamentos- Credito Débito'!E74=Agenda!C:C)*('Lançamentos- Credito Débito'!F74=Agenda!I:I),0))</f>
        <v>0.74416811224447987</v>
      </c>
      <c r="L74" s="36">
        <f t="shared" si="13"/>
        <v>0</v>
      </c>
      <c r="M74" s="36">
        <f t="shared" si="14"/>
        <v>0</v>
      </c>
      <c r="N74" s="1">
        <f t="shared" si="15"/>
        <v>49947.44</v>
      </c>
      <c r="O74" s="81">
        <f t="array" ref="O74">IF(OR(G74="Amortization",G74="Fim de Mês"),(1+J74)*N74-D74,-INDEX(Agenda!J:J,MATCH(1,('Lançamentos- Credito Débito'!E74=Agenda!C:C)*('Lançamentos- Credito Débito'!G74=Agenda!G:G),0)))</f>
        <v>51154.004467041268</v>
      </c>
      <c r="P74" s="44">
        <f t="shared" si="16"/>
        <v>1206.5644670412648</v>
      </c>
      <c r="Q74" s="64">
        <f t="shared" si="17"/>
        <v>51154.004467041268</v>
      </c>
      <c r="R74" s="14">
        <f t="array" ref="R74">IF(F74="","",INDEX(Agenda!L:L,MATCH(1,('Lançamentos- Credito Débito'!E74=Agenda!C:C)*('Lançamentos- Credito Débito'!F74=Agenda!I:I),0)))</f>
        <v>49947.44</v>
      </c>
      <c r="S74" s="14">
        <f t="shared" si="18"/>
        <v>0</v>
      </c>
      <c r="T74" s="14">
        <f t="shared" si="19"/>
        <v>49947.44</v>
      </c>
      <c r="U74" s="62">
        <f t="shared" si="20"/>
        <v>67118.490000000005</v>
      </c>
      <c r="V74" s="78">
        <f t="shared" si="21"/>
        <v>0</v>
      </c>
      <c r="W74" s="26"/>
      <c r="X74" s="26"/>
      <c r="Y74" s="26"/>
      <c r="Z74" s="26"/>
      <c r="AA74" s="26"/>
      <c r="AB74" s="14"/>
      <c r="AC74" s="14"/>
      <c r="AD74" s="14"/>
      <c r="AE74" s="16"/>
      <c r="AF74" s="14"/>
      <c r="AG74" s="32"/>
      <c r="AH74" s="14"/>
      <c r="AI74" s="14"/>
    </row>
    <row r="75" spans="1:35" x14ac:dyDescent="0.25">
      <c r="A75" s="45">
        <v>44043</v>
      </c>
      <c r="B75" s="33" t="s">
        <v>63</v>
      </c>
      <c r="C75" s="33" t="s">
        <v>28</v>
      </c>
      <c r="D75" s="34">
        <v>0</v>
      </c>
      <c r="E75" s="33" t="s">
        <v>6</v>
      </c>
      <c r="F75" s="30">
        <v>44342</v>
      </c>
      <c r="G75" s="33" t="s">
        <v>86</v>
      </c>
      <c r="H75" s="25">
        <f t="array" ref="H75">IFERROR(INDEX(Agenda!AA:AA,MATCH(1,('Lançamentos- Credito Débito'!E75=Agenda!C:C)*('Lançamentos- Credito Débito'!F75=Agenda!I:I),0)),"")</f>
        <v>8.2342591547712729E-4</v>
      </c>
      <c r="I75">
        <f t="shared" si="11"/>
        <v>31</v>
      </c>
      <c r="J75" s="35">
        <f t="shared" si="12"/>
        <v>2.5844011563361136E-2</v>
      </c>
      <c r="K75" s="40">
        <f t="array" ref="K75">INDEX(Agenda!AB:AB,MATCH(1,('Lançamentos- Credito Débito'!E75=Agenda!C:C)*('Lançamentos- Credito Débito'!F75=Agenda!I:I),0))</f>
        <v>0.74416811224447987</v>
      </c>
      <c r="L75" s="36">
        <f t="shared" si="13"/>
        <v>0</v>
      </c>
      <c r="M75" s="36">
        <f t="shared" si="14"/>
        <v>0</v>
      </c>
      <c r="N75" s="1">
        <f t="shared" si="15"/>
        <v>51154.004467041268</v>
      </c>
      <c r="O75" s="81">
        <f t="array" ref="O75">IF(OR(G75="Amortization",G75="Fim de Mês"),(1+J75)*N75-D75,-INDEX(Agenda!J:J,MATCH(1,('Lançamentos- Credito Débito'!E75=Agenda!C:C)*('Lançamentos- Credito Débito'!G75=Agenda!G:G),0)))</f>
        <v>52476.029149999711</v>
      </c>
      <c r="P75" s="44">
        <f t="shared" si="16"/>
        <v>1322.0246829584416</v>
      </c>
      <c r="Q75" s="64">
        <f t="shared" si="17"/>
        <v>52476.029149999711</v>
      </c>
      <c r="R75" s="14">
        <f t="array" ref="R75">IF(F75="","",INDEX(Agenda!L:L,MATCH(1,('Lançamentos- Credito Débito'!E75=Agenda!C:C)*('Lançamentos- Credito Débito'!F75=Agenda!I:I),0)))</f>
        <v>49947.44</v>
      </c>
      <c r="S75" s="14">
        <f t="shared" si="18"/>
        <v>0</v>
      </c>
      <c r="T75" s="14">
        <f t="shared" si="19"/>
        <v>49947.44</v>
      </c>
      <c r="U75" s="62">
        <f t="shared" si="20"/>
        <v>67118.490000000005</v>
      </c>
      <c r="V75" s="78">
        <f t="shared" si="21"/>
        <v>0</v>
      </c>
      <c r="W75" s="26"/>
      <c r="X75" s="26"/>
      <c r="Y75" s="26"/>
      <c r="Z75" s="26"/>
      <c r="AA75" s="26"/>
      <c r="AB75" s="14"/>
      <c r="AC75" s="14"/>
      <c r="AD75" s="14"/>
      <c r="AE75" s="16"/>
      <c r="AF75" s="14"/>
      <c r="AG75" s="32"/>
      <c r="AH75" s="14"/>
      <c r="AI75" s="14"/>
    </row>
    <row r="76" spans="1:35" x14ac:dyDescent="0.25">
      <c r="A76" s="45">
        <v>44074</v>
      </c>
      <c r="B76" s="33" t="s">
        <v>63</v>
      </c>
      <c r="C76" s="33" t="s">
        <v>28</v>
      </c>
      <c r="D76" s="34">
        <v>0</v>
      </c>
      <c r="E76" s="33" t="s">
        <v>6</v>
      </c>
      <c r="F76" s="30">
        <v>44342</v>
      </c>
      <c r="G76" s="33" t="s">
        <v>86</v>
      </c>
      <c r="H76" s="25">
        <f t="array" ref="H76">IFERROR(INDEX(Agenda!AA:AA,MATCH(1,('Lançamentos- Credito Débito'!E76=Agenda!C:C)*('Lançamentos- Credito Débito'!F76=Agenda!I:I),0)),"")</f>
        <v>8.2342591547712729E-4</v>
      </c>
      <c r="I76">
        <f t="shared" si="11"/>
        <v>31</v>
      </c>
      <c r="J76" s="35">
        <f t="shared" si="12"/>
        <v>2.5844011563361136E-2</v>
      </c>
      <c r="K76" s="40">
        <f t="array" ref="K76">INDEX(Agenda!AB:AB,MATCH(1,('Lançamentos- Credito Débito'!E76=Agenda!C:C)*('Lançamentos- Credito Débito'!F76=Agenda!I:I),0))</f>
        <v>0.74416811224447987</v>
      </c>
      <c r="L76" s="36">
        <f t="shared" si="13"/>
        <v>0</v>
      </c>
      <c r="M76" s="36">
        <f t="shared" si="14"/>
        <v>0</v>
      </c>
      <c r="N76" s="1">
        <f t="shared" si="15"/>
        <v>52476.029149999711</v>
      </c>
      <c r="O76" s="81">
        <f t="array" ref="O76">IF(OR(G76="Amortization",G76="Fim de Mês"),(1+J76)*N76-D76,-INDEX(Agenda!J:J,MATCH(1,('Lançamentos- Credito Débito'!E76=Agenda!C:C)*('Lançamentos- Credito Débito'!G76=Agenda!G:G),0)))</f>
        <v>53832.22025415158</v>
      </c>
      <c r="P76" s="44">
        <f t="shared" si="16"/>
        <v>1356.1911041518686</v>
      </c>
      <c r="Q76" s="64">
        <f t="shared" si="17"/>
        <v>53832.22025415158</v>
      </c>
      <c r="R76" s="14">
        <f t="array" ref="R76">IF(F76="","",INDEX(Agenda!L:L,MATCH(1,('Lançamentos- Credito Débito'!E76=Agenda!C:C)*('Lançamentos- Credito Débito'!F76=Agenda!I:I),0)))</f>
        <v>49947.44</v>
      </c>
      <c r="S76" s="14">
        <f t="shared" si="18"/>
        <v>0</v>
      </c>
      <c r="T76" s="14">
        <f t="shared" si="19"/>
        <v>49947.44</v>
      </c>
      <c r="U76" s="62">
        <f t="shared" si="20"/>
        <v>67118.490000000005</v>
      </c>
      <c r="V76" s="78">
        <f t="shared" si="21"/>
        <v>0</v>
      </c>
      <c r="W76" s="26"/>
      <c r="X76" s="26"/>
      <c r="Y76" s="26"/>
      <c r="Z76" s="26"/>
      <c r="AA76" s="26"/>
      <c r="AB76" s="14"/>
      <c r="AC76" s="14"/>
      <c r="AD76" s="14"/>
      <c r="AE76" s="16"/>
      <c r="AF76" s="14"/>
      <c r="AG76" s="32"/>
      <c r="AH76" s="14"/>
      <c r="AI76" s="14"/>
    </row>
    <row r="77" spans="1:35" x14ac:dyDescent="0.25">
      <c r="A77" s="45">
        <v>44104</v>
      </c>
      <c r="B77" s="33" t="s">
        <v>63</v>
      </c>
      <c r="C77" s="33" t="s">
        <v>28</v>
      </c>
      <c r="D77" s="34">
        <v>0</v>
      </c>
      <c r="E77" s="33" t="s">
        <v>6</v>
      </c>
      <c r="F77" s="30">
        <v>44342</v>
      </c>
      <c r="G77" s="33" t="s">
        <v>86</v>
      </c>
      <c r="H77" s="25">
        <f t="array" ref="H77">IFERROR(INDEX(Agenda!AA:AA,MATCH(1,('Lançamentos- Credito Débito'!E77=Agenda!C:C)*('Lançamentos- Credito Débito'!F77=Agenda!I:I),0)),"")</f>
        <v>8.2342591547712729E-4</v>
      </c>
      <c r="I77">
        <f t="shared" si="11"/>
        <v>30</v>
      </c>
      <c r="J77" s="35">
        <f t="shared" si="12"/>
        <v>2.4999999999997025E-2</v>
      </c>
      <c r="K77" s="40">
        <f t="array" ref="K77">INDEX(Agenda!AB:AB,MATCH(1,('Lançamentos- Credito Débito'!E77=Agenda!C:C)*('Lançamentos- Credito Débito'!F77=Agenda!I:I),0))</f>
        <v>0.74416811224447987</v>
      </c>
      <c r="L77" s="36">
        <f t="shared" si="13"/>
        <v>0</v>
      </c>
      <c r="M77" s="36">
        <f t="shared" si="14"/>
        <v>0</v>
      </c>
      <c r="N77" s="1">
        <f t="shared" si="15"/>
        <v>53832.22025415158</v>
      </c>
      <c r="O77" s="81">
        <f t="array" ref="O77">IF(OR(G77="Amortization",G77="Fim de Mês"),(1+J77)*N77-D77,-INDEX(Agenda!J:J,MATCH(1,('Lançamentos- Credito Débito'!E77=Agenda!C:C)*('Lançamentos- Credito Débito'!G77=Agenda!G:G),0)))</f>
        <v>55178.02576050521</v>
      </c>
      <c r="P77" s="44">
        <f t="shared" si="16"/>
        <v>1345.8055063536294</v>
      </c>
      <c r="Q77" s="64">
        <f t="shared" si="17"/>
        <v>55178.02576050521</v>
      </c>
      <c r="R77" s="14">
        <f t="array" ref="R77">IF(F77="","",INDEX(Agenda!L:L,MATCH(1,('Lançamentos- Credito Débito'!E77=Agenda!C:C)*('Lançamentos- Credito Débito'!F77=Agenda!I:I),0)))</f>
        <v>49947.44</v>
      </c>
      <c r="S77" s="14">
        <f t="shared" si="18"/>
        <v>0</v>
      </c>
      <c r="T77" s="14">
        <f t="shared" si="19"/>
        <v>49947.44</v>
      </c>
      <c r="U77" s="62">
        <f t="shared" si="20"/>
        <v>67118.490000000005</v>
      </c>
      <c r="V77" s="78">
        <f t="shared" si="21"/>
        <v>0</v>
      </c>
      <c r="W77" s="26"/>
      <c r="X77" s="26"/>
      <c r="Y77" s="26"/>
      <c r="Z77" s="26"/>
      <c r="AA77" s="26"/>
      <c r="AB77" s="14"/>
      <c r="AC77" s="14"/>
      <c r="AD77" s="14"/>
      <c r="AE77" s="16"/>
      <c r="AF77" s="14"/>
      <c r="AG77" s="32"/>
      <c r="AH77" s="14"/>
      <c r="AI77" s="14"/>
    </row>
    <row r="78" spans="1:35" x14ac:dyDescent="0.25">
      <c r="A78" s="45">
        <v>44135</v>
      </c>
      <c r="B78" s="33" t="s">
        <v>63</v>
      </c>
      <c r="C78" s="33" t="s">
        <v>28</v>
      </c>
      <c r="D78" s="34">
        <v>0</v>
      </c>
      <c r="E78" s="33" t="s">
        <v>6</v>
      </c>
      <c r="F78" s="30">
        <v>44342</v>
      </c>
      <c r="G78" s="33" t="s">
        <v>86</v>
      </c>
      <c r="H78" s="25">
        <f t="array" ref="H78">IFERROR(INDEX(Agenda!AA:AA,MATCH(1,('Lançamentos- Credito Débito'!E78=Agenda!C:C)*('Lançamentos- Credito Débito'!F78=Agenda!I:I),0)),"")</f>
        <v>8.2342591547712729E-4</v>
      </c>
      <c r="I78">
        <f t="shared" si="11"/>
        <v>31</v>
      </c>
      <c r="J78" s="35">
        <f t="shared" si="12"/>
        <v>2.5844011563361136E-2</v>
      </c>
      <c r="K78" s="40">
        <f t="array" ref="K78">INDEX(Agenda!AB:AB,MATCH(1,('Lançamentos- Credito Débito'!E78=Agenda!C:C)*('Lançamentos- Credito Débito'!F78=Agenda!I:I),0))</f>
        <v>0.74416811224447987</v>
      </c>
      <c r="L78" s="36">
        <f t="shared" si="13"/>
        <v>0</v>
      </c>
      <c r="M78" s="36">
        <f t="shared" si="14"/>
        <v>0</v>
      </c>
      <c r="N78" s="1">
        <f t="shared" si="15"/>
        <v>55178.02576050521</v>
      </c>
      <c r="O78" s="81">
        <f t="array" ref="O78">IF(OR(G78="Amortization",G78="Fim de Mês"),(1+J78)*N78-D78,-INDEX(Agenda!J:J,MATCH(1,('Lançamentos- Credito Débito'!E78=Agenda!C:C)*('Lançamentos- Credito Débito'!G78=Agenda!G:G),0)))</f>
        <v>56604.047296303143</v>
      </c>
      <c r="P78" s="44">
        <f t="shared" si="16"/>
        <v>1426.0215357979353</v>
      </c>
      <c r="Q78" s="64">
        <f t="shared" si="17"/>
        <v>56604.047296303143</v>
      </c>
      <c r="R78" s="14">
        <f t="array" ref="R78">IF(F78="","",INDEX(Agenda!L:L,MATCH(1,('Lançamentos- Credito Débito'!E78=Agenda!C:C)*('Lançamentos- Credito Débito'!F78=Agenda!I:I),0)))</f>
        <v>49947.44</v>
      </c>
      <c r="S78" s="14">
        <f t="shared" si="18"/>
        <v>0</v>
      </c>
      <c r="T78" s="14">
        <f t="shared" si="19"/>
        <v>49947.44</v>
      </c>
      <c r="U78" s="62">
        <f t="shared" si="20"/>
        <v>67118.490000000005</v>
      </c>
      <c r="V78" s="78">
        <f t="shared" si="21"/>
        <v>0</v>
      </c>
      <c r="W78" s="26"/>
      <c r="X78" s="26"/>
      <c r="Y78" s="26"/>
      <c r="Z78" s="26"/>
      <c r="AA78" s="26"/>
      <c r="AB78" s="14"/>
      <c r="AC78" s="14"/>
      <c r="AD78" s="14"/>
      <c r="AE78" s="16"/>
      <c r="AF78" s="14"/>
      <c r="AG78" s="32"/>
      <c r="AH78" s="14"/>
      <c r="AI78" s="14"/>
    </row>
    <row r="79" spans="1:35" x14ac:dyDescent="0.25">
      <c r="A79" s="45">
        <v>44165</v>
      </c>
      <c r="B79" s="33" t="s">
        <v>63</v>
      </c>
      <c r="C79" s="33" t="s">
        <v>28</v>
      </c>
      <c r="D79" s="34">
        <v>0</v>
      </c>
      <c r="E79" s="33" t="s">
        <v>6</v>
      </c>
      <c r="F79" s="30">
        <v>44342</v>
      </c>
      <c r="G79" s="33" t="s">
        <v>86</v>
      </c>
      <c r="H79" s="25">
        <f t="array" ref="H79">IFERROR(INDEX(Agenda!AA:AA,MATCH(1,('Lançamentos- Credito Débito'!E79=Agenda!C:C)*('Lançamentos- Credito Débito'!F79=Agenda!I:I),0)),"")</f>
        <v>8.2342591547712729E-4</v>
      </c>
      <c r="I79">
        <f t="shared" si="11"/>
        <v>30</v>
      </c>
      <c r="J79" s="35">
        <f t="shared" si="12"/>
        <v>2.4999999999997025E-2</v>
      </c>
      <c r="K79" s="40">
        <f t="array" ref="K79">INDEX(Agenda!AB:AB,MATCH(1,('Lançamentos- Credito Débito'!E79=Agenda!C:C)*('Lançamentos- Credito Débito'!F79=Agenda!I:I),0))</f>
        <v>0.74416811224447987</v>
      </c>
      <c r="L79" s="36">
        <f t="shared" si="13"/>
        <v>0</v>
      </c>
      <c r="M79" s="36">
        <f t="shared" si="14"/>
        <v>0</v>
      </c>
      <c r="N79" s="1">
        <f t="shared" si="15"/>
        <v>56604.047296303143</v>
      </c>
      <c r="O79" s="81">
        <f t="array" ref="O79">IF(OR(G79="Amortization",G79="Fim de Mês"),(1+J79)*N79-D79,-INDEX(Agenda!J:J,MATCH(1,('Lançamentos- Credito Débito'!E79=Agenda!C:C)*('Lançamentos- Credito Débito'!G79=Agenda!G:G),0)))</f>
        <v>58019.148478710551</v>
      </c>
      <c r="P79" s="44">
        <f t="shared" si="16"/>
        <v>1415.1011824074101</v>
      </c>
      <c r="Q79" s="64">
        <f t="shared" si="17"/>
        <v>58019.148478710551</v>
      </c>
      <c r="R79" s="14">
        <f t="array" ref="R79">IF(F79="","",INDEX(Agenda!L:L,MATCH(1,('Lançamentos- Credito Débito'!E79=Agenda!C:C)*('Lançamentos- Credito Débito'!F79=Agenda!I:I),0)))</f>
        <v>49947.44</v>
      </c>
      <c r="S79" s="14">
        <f t="shared" si="18"/>
        <v>0</v>
      </c>
      <c r="T79" s="14">
        <f t="shared" si="19"/>
        <v>49947.44</v>
      </c>
      <c r="U79" s="62">
        <f t="shared" si="20"/>
        <v>67118.490000000005</v>
      </c>
      <c r="V79" s="78">
        <f t="shared" si="21"/>
        <v>0</v>
      </c>
      <c r="W79" s="26"/>
      <c r="X79" s="26"/>
      <c r="Y79" s="26"/>
      <c r="Z79" s="26"/>
      <c r="AA79" s="26"/>
      <c r="AB79" s="14"/>
      <c r="AC79" s="14"/>
      <c r="AD79" s="14"/>
      <c r="AE79" s="16"/>
      <c r="AF79" s="14"/>
      <c r="AG79" s="32"/>
      <c r="AH79" s="14"/>
      <c r="AI79" s="14"/>
    </row>
    <row r="80" spans="1:35" x14ac:dyDescent="0.25">
      <c r="A80" s="45">
        <v>44196</v>
      </c>
      <c r="B80" s="33" t="s">
        <v>63</v>
      </c>
      <c r="C80" s="33" t="s">
        <v>28</v>
      </c>
      <c r="D80" s="34">
        <v>0</v>
      </c>
      <c r="E80" s="33" t="s">
        <v>6</v>
      </c>
      <c r="F80" s="30">
        <v>44342</v>
      </c>
      <c r="G80" s="33" t="s">
        <v>86</v>
      </c>
      <c r="H80" s="25">
        <f t="array" ref="H80">IFERROR(INDEX(Agenda!AA:AA,MATCH(1,('Lançamentos- Credito Débito'!E80=Agenda!C:C)*('Lançamentos- Credito Débito'!F80=Agenda!I:I),0)),"")</f>
        <v>8.2342591547712729E-4</v>
      </c>
      <c r="I80">
        <f t="shared" si="11"/>
        <v>31</v>
      </c>
      <c r="J80" s="35">
        <f t="shared" si="12"/>
        <v>2.5844011563361136E-2</v>
      </c>
      <c r="K80" s="40">
        <f t="array" ref="K80">INDEX(Agenda!AB:AB,MATCH(1,('Lançamentos- Credito Débito'!E80=Agenda!C:C)*('Lançamentos- Credito Débito'!F80=Agenda!I:I),0))</f>
        <v>0.74416811224447987</v>
      </c>
      <c r="L80" s="36">
        <f t="shared" si="13"/>
        <v>0</v>
      </c>
      <c r="M80" s="36">
        <f t="shared" si="14"/>
        <v>0</v>
      </c>
      <c r="N80" s="1">
        <f t="shared" si="15"/>
        <v>58019.148478710551</v>
      </c>
      <c r="O80" s="81">
        <f t="array" ref="O80">IF(OR(G80="Amortization",G80="Fim de Mês"),(1+J80)*N80-D80,-INDEX(Agenda!J:J,MATCH(1,('Lançamentos- Credito Débito'!E80=Agenda!C:C)*('Lançamentos- Credito Débito'!G80=Agenda!G:G),0)))</f>
        <v>59518.596022890713</v>
      </c>
      <c r="P80" s="44">
        <f t="shared" si="16"/>
        <v>1499.4475441801621</v>
      </c>
      <c r="Q80" s="64">
        <f t="shared" si="17"/>
        <v>59518.596022890713</v>
      </c>
      <c r="R80" s="14">
        <f t="array" ref="R80">IF(F80="","",INDEX(Agenda!L:L,MATCH(1,('Lançamentos- Credito Débito'!E80=Agenda!C:C)*('Lançamentos- Credito Débito'!F80=Agenda!I:I),0)))</f>
        <v>49947.44</v>
      </c>
      <c r="S80" s="14">
        <f t="shared" si="18"/>
        <v>0</v>
      </c>
      <c r="T80" s="14">
        <f t="shared" si="19"/>
        <v>49947.44</v>
      </c>
      <c r="U80" s="62">
        <f t="shared" si="20"/>
        <v>67118.490000000005</v>
      </c>
      <c r="V80" s="78">
        <f t="shared" si="21"/>
        <v>0</v>
      </c>
      <c r="W80" s="26"/>
      <c r="X80" s="26"/>
      <c r="Y80" s="26"/>
      <c r="Z80" s="26"/>
      <c r="AA80" s="26"/>
      <c r="AB80" s="14"/>
      <c r="AC80" s="14"/>
      <c r="AD80" s="14"/>
      <c r="AE80" s="16"/>
      <c r="AF80" s="14"/>
      <c r="AG80" s="32"/>
      <c r="AH80" s="14"/>
      <c r="AI80" s="14"/>
    </row>
    <row r="81" spans="1:35" x14ac:dyDescent="0.25">
      <c r="A81" s="45">
        <v>44227</v>
      </c>
      <c r="B81" s="33" t="s">
        <v>63</v>
      </c>
      <c r="C81" s="33" t="s">
        <v>28</v>
      </c>
      <c r="D81" s="34">
        <v>0</v>
      </c>
      <c r="E81" s="33" t="s">
        <v>6</v>
      </c>
      <c r="F81" s="30">
        <v>44342</v>
      </c>
      <c r="G81" s="33" t="s">
        <v>86</v>
      </c>
      <c r="H81" s="25">
        <f t="array" ref="H81">IFERROR(INDEX(Agenda!AA:AA,MATCH(1,('Lançamentos- Credito Débito'!E81=Agenda!C:C)*('Lançamentos- Credito Débito'!F81=Agenda!I:I),0)),"")</f>
        <v>8.2342591547712729E-4</v>
      </c>
      <c r="I81">
        <f t="shared" si="11"/>
        <v>31</v>
      </c>
      <c r="J81" s="35">
        <f t="shared" si="12"/>
        <v>2.5844011563361136E-2</v>
      </c>
      <c r="K81" s="40">
        <f t="array" ref="K81">INDEX(Agenda!AB:AB,MATCH(1,('Lançamentos- Credito Débito'!E81=Agenda!C:C)*('Lançamentos- Credito Débito'!F81=Agenda!I:I),0))</f>
        <v>0.74416811224447987</v>
      </c>
      <c r="L81" s="36">
        <f t="shared" si="13"/>
        <v>0</v>
      </c>
      <c r="M81" s="36">
        <f t="shared" si="14"/>
        <v>0</v>
      </c>
      <c r="N81" s="1">
        <f t="shared" si="15"/>
        <v>59518.596022890713</v>
      </c>
      <c r="O81" s="81">
        <f t="array" ref="O81">IF(OR(G81="Amortization",G81="Fim de Mês"),(1+J81)*N81-D81,-INDEX(Agenda!J:J,MATCH(1,('Lançamentos- Credito Débito'!E81=Agenda!C:C)*('Lançamentos- Credito Débito'!G81=Agenda!G:G),0)))</f>
        <v>61056.795306741318</v>
      </c>
      <c r="P81" s="44">
        <f t="shared" si="16"/>
        <v>1538.1992838506078</v>
      </c>
      <c r="Q81" s="64">
        <f t="shared" si="17"/>
        <v>61056.795306741318</v>
      </c>
      <c r="R81" s="14">
        <f t="array" ref="R81">IF(F81="","",INDEX(Agenda!L:L,MATCH(1,('Lançamentos- Credito Débito'!E81=Agenda!C:C)*('Lançamentos- Credito Débito'!F81=Agenda!I:I),0)))</f>
        <v>49947.44</v>
      </c>
      <c r="S81" s="14">
        <f t="shared" si="18"/>
        <v>0</v>
      </c>
      <c r="T81" s="14">
        <f t="shared" si="19"/>
        <v>49947.44</v>
      </c>
      <c r="U81" s="62">
        <f t="shared" si="20"/>
        <v>67118.490000000005</v>
      </c>
      <c r="V81" s="78">
        <f t="shared" si="21"/>
        <v>0</v>
      </c>
      <c r="W81" s="26"/>
      <c r="X81" s="26"/>
      <c r="Y81" s="26"/>
      <c r="Z81" s="26"/>
      <c r="AA81" s="26"/>
      <c r="AB81" s="14"/>
      <c r="AC81" s="14"/>
      <c r="AD81" s="14"/>
      <c r="AE81" s="16"/>
      <c r="AF81" s="14"/>
      <c r="AG81" s="32"/>
      <c r="AH81" s="14"/>
      <c r="AI81" s="14"/>
    </row>
    <row r="82" spans="1:35" x14ac:dyDescent="0.25">
      <c r="A82" s="45">
        <v>44255</v>
      </c>
      <c r="B82" s="33" t="s">
        <v>63</v>
      </c>
      <c r="C82" s="33" t="s">
        <v>28</v>
      </c>
      <c r="D82" s="34">
        <v>0</v>
      </c>
      <c r="E82" s="33" t="s">
        <v>6</v>
      </c>
      <c r="F82" s="30">
        <v>44342</v>
      </c>
      <c r="G82" s="33" t="s">
        <v>86</v>
      </c>
      <c r="H82" s="25">
        <f t="array" ref="H82">IFERROR(INDEX(Agenda!AA:AA,MATCH(1,('Lançamentos- Credito Débito'!E82=Agenda!C:C)*('Lançamentos- Credito Débito'!F82=Agenda!I:I),0)),"")</f>
        <v>8.2342591547712729E-4</v>
      </c>
      <c r="I82">
        <f t="shared" si="11"/>
        <v>28</v>
      </c>
      <c r="J82" s="35">
        <f t="shared" si="12"/>
        <v>2.3314059529544018E-2</v>
      </c>
      <c r="K82" s="40">
        <f t="array" ref="K82">INDEX(Agenda!AB:AB,MATCH(1,('Lançamentos- Credito Débito'!E82=Agenda!C:C)*('Lançamentos- Credito Débito'!F82=Agenda!I:I),0))</f>
        <v>0.74416811224447987</v>
      </c>
      <c r="L82" s="36">
        <f t="shared" si="13"/>
        <v>0</v>
      </c>
      <c r="M82" s="36">
        <f t="shared" si="14"/>
        <v>0</v>
      </c>
      <c r="N82" s="1">
        <f t="shared" si="15"/>
        <v>61056.795306741318</v>
      </c>
      <c r="O82" s="81">
        <f t="array" ref="O82">IF(OR(G82="Amortization",G82="Fim de Mês"),(1+J82)*N82-D82,-INDEX(Agenda!J:J,MATCH(1,('Lançamentos- Credito Débito'!E82=Agenda!C:C)*('Lançamentos- Credito Débito'!G82=Agenda!G:G),0)))</f>
        <v>62480.277067205869</v>
      </c>
      <c r="P82" s="44">
        <f t="shared" si="16"/>
        <v>1423.4817604645509</v>
      </c>
      <c r="Q82" s="64">
        <f t="shared" si="17"/>
        <v>62480.277067205869</v>
      </c>
      <c r="R82" s="14">
        <f t="array" ref="R82">IF(F82="","",INDEX(Agenda!L:L,MATCH(1,('Lançamentos- Credito Débito'!E82=Agenda!C:C)*('Lançamentos- Credito Débito'!F82=Agenda!I:I),0)))</f>
        <v>49947.44</v>
      </c>
      <c r="S82" s="14">
        <f t="shared" si="18"/>
        <v>0</v>
      </c>
      <c r="T82" s="14">
        <f t="shared" si="19"/>
        <v>49947.44</v>
      </c>
      <c r="U82" s="62">
        <f t="shared" si="20"/>
        <v>67118.490000000005</v>
      </c>
      <c r="V82" s="78">
        <f t="shared" si="21"/>
        <v>0</v>
      </c>
      <c r="W82" s="26"/>
      <c r="X82" s="26"/>
      <c r="Y82" s="26"/>
      <c r="Z82" s="26"/>
      <c r="AA82" s="26"/>
      <c r="AB82" s="14"/>
      <c r="AC82" s="14"/>
      <c r="AD82" s="14"/>
      <c r="AE82" s="16"/>
      <c r="AF82" s="14"/>
      <c r="AG82" s="32"/>
      <c r="AH82" s="14"/>
      <c r="AI82" s="14"/>
    </row>
    <row r="83" spans="1:35" x14ac:dyDescent="0.25">
      <c r="A83" s="45">
        <v>44286</v>
      </c>
      <c r="B83" s="33" t="s">
        <v>63</v>
      </c>
      <c r="C83" s="33" t="s">
        <v>28</v>
      </c>
      <c r="D83" s="34">
        <v>0</v>
      </c>
      <c r="E83" s="33" t="s">
        <v>6</v>
      </c>
      <c r="F83" s="30">
        <v>44342</v>
      </c>
      <c r="G83" s="33" t="s">
        <v>86</v>
      </c>
      <c r="H83" s="25">
        <f t="array" ref="H83">IFERROR(INDEX(Agenda!AA:AA,MATCH(1,('Lançamentos- Credito Débito'!E83=Agenda!C:C)*('Lançamentos- Credito Débito'!F83=Agenda!I:I),0)),"")</f>
        <v>8.2342591547712729E-4</v>
      </c>
      <c r="I83">
        <f t="shared" si="11"/>
        <v>31</v>
      </c>
      <c r="J83" s="35">
        <f t="shared" si="12"/>
        <v>2.5844011563361136E-2</v>
      </c>
      <c r="K83" s="40">
        <f t="array" ref="K83">INDEX(Agenda!AB:AB,MATCH(1,('Lançamentos- Credito Débito'!E83=Agenda!C:C)*('Lançamentos- Credito Débito'!F83=Agenda!I:I),0))</f>
        <v>0.74416811224447987</v>
      </c>
      <c r="L83" s="36">
        <f t="shared" si="13"/>
        <v>0</v>
      </c>
      <c r="M83" s="36">
        <f t="shared" si="14"/>
        <v>0</v>
      </c>
      <c r="N83" s="1">
        <f t="shared" si="15"/>
        <v>62480.277067205869</v>
      </c>
      <c r="O83" s="81">
        <f t="array" ref="O83">IF(OR(G83="Amortization",G83="Fim de Mês"),(1+J83)*N83-D83,-INDEX(Agenda!J:J,MATCH(1,('Lançamentos- Credito Débito'!E83=Agenda!C:C)*('Lançamentos- Credito Débito'!G83=Agenda!G:G),0)))</f>
        <v>64095.018070212747</v>
      </c>
      <c r="P83" s="44">
        <f t="shared" si="16"/>
        <v>1614.7410030068761</v>
      </c>
      <c r="Q83" s="64">
        <f t="shared" si="17"/>
        <v>64095.018070212747</v>
      </c>
      <c r="R83" s="14">
        <f t="array" ref="R83">IF(F83="","",INDEX(Agenda!L:L,MATCH(1,('Lançamentos- Credito Débito'!E83=Agenda!C:C)*('Lançamentos- Credito Débito'!F83=Agenda!I:I),0)))</f>
        <v>49947.44</v>
      </c>
      <c r="S83" s="14">
        <f t="shared" si="18"/>
        <v>0</v>
      </c>
      <c r="T83" s="14">
        <f t="shared" si="19"/>
        <v>49947.44</v>
      </c>
      <c r="U83" s="62">
        <f t="shared" si="20"/>
        <v>67118.490000000005</v>
      </c>
      <c r="V83" s="78">
        <f t="shared" si="21"/>
        <v>0</v>
      </c>
      <c r="W83" s="26"/>
      <c r="X83" s="26"/>
      <c r="Y83" s="26"/>
      <c r="Z83" s="26"/>
      <c r="AA83" s="26"/>
      <c r="AB83" s="14"/>
      <c r="AC83" s="14"/>
      <c r="AD83" s="14"/>
      <c r="AE83" s="16"/>
      <c r="AF83" s="14"/>
      <c r="AG83" s="32"/>
      <c r="AH83" s="14"/>
      <c r="AI83" s="14"/>
    </row>
    <row r="84" spans="1:35" x14ac:dyDescent="0.25">
      <c r="A84" s="45">
        <v>44316</v>
      </c>
      <c r="B84" s="33" t="s">
        <v>63</v>
      </c>
      <c r="C84" s="33" t="s">
        <v>28</v>
      </c>
      <c r="D84" s="34">
        <v>0</v>
      </c>
      <c r="E84" s="33" t="s">
        <v>6</v>
      </c>
      <c r="F84" s="30">
        <v>44342</v>
      </c>
      <c r="G84" s="33" t="s">
        <v>86</v>
      </c>
      <c r="H84" s="25">
        <f t="array" ref="H84">IFERROR(INDEX(Agenda!AA:AA,MATCH(1,('Lançamentos- Credito Débito'!E84=Agenda!C:C)*('Lançamentos- Credito Débito'!F84=Agenda!I:I),0)),"")</f>
        <v>8.2342591547712729E-4</v>
      </c>
      <c r="I84">
        <f t="shared" si="11"/>
        <v>30</v>
      </c>
      <c r="J84" s="35">
        <f t="shared" si="12"/>
        <v>2.4999999999997025E-2</v>
      </c>
      <c r="K84" s="40">
        <f t="array" ref="K84">INDEX(Agenda!AB:AB,MATCH(1,('Lançamentos- Credito Débito'!E84=Agenda!C:C)*('Lançamentos- Credito Débito'!F84=Agenda!I:I),0))</f>
        <v>0.74416811224447987</v>
      </c>
      <c r="L84" s="36">
        <f t="shared" si="13"/>
        <v>0</v>
      </c>
      <c r="M84" s="36">
        <f t="shared" si="14"/>
        <v>0</v>
      </c>
      <c r="N84" s="1">
        <f t="shared" si="15"/>
        <v>64095.018070212747</v>
      </c>
      <c r="O84" s="81">
        <f t="array" ref="O84">IF(OR(G84="Amortization",G84="Fim de Mês"),(1+J84)*N84-D84,-INDEX(Agenda!J:J,MATCH(1,('Lançamentos- Credito Débito'!E84=Agenda!C:C)*('Lançamentos- Credito Débito'!G84=Agenda!G:G),0)))</f>
        <v>65697.393521967882</v>
      </c>
      <c r="P84" s="44">
        <f t="shared" si="16"/>
        <v>1602.3754517551279</v>
      </c>
      <c r="Q84" s="64">
        <f t="shared" si="17"/>
        <v>65697.393521967868</v>
      </c>
      <c r="R84" s="14">
        <f t="array" ref="R84">IF(F84="","",INDEX(Agenda!L:L,MATCH(1,('Lançamentos- Credito Débito'!E84=Agenda!C:C)*('Lançamentos- Credito Débito'!F84=Agenda!I:I),0)))</f>
        <v>49947.44</v>
      </c>
      <c r="S84" s="14">
        <f t="shared" si="18"/>
        <v>0</v>
      </c>
      <c r="T84" s="14">
        <f t="shared" si="19"/>
        <v>49947.44</v>
      </c>
      <c r="U84" s="62">
        <f t="shared" si="20"/>
        <v>67118.490000000005</v>
      </c>
      <c r="V84" s="78">
        <f t="shared" si="21"/>
        <v>0</v>
      </c>
      <c r="W84" s="26"/>
      <c r="X84" s="26"/>
      <c r="Y84" s="26"/>
      <c r="Z84" s="26"/>
      <c r="AA84" s="26"/>
      <c r="AB84" s="14"/>
      <c r="AC84" s="14"/>
      <c r="AD84" s="14"/>
      <c r="AE84" s="16"/>
      <c r="AF84" s="14"/>
      <c r="AG84" s="32"/>
      <c r="AH84" s="14"/>
      <c r="AI84" s="14"/>
    </row>
    <row r="85" spans="1:35" x14ac:dyDescent="0.25">
      <c r="A85" s="3">
        <v>44342</v>
      </c>
      <c r="B85" s="33" t="s">
        <v>63</v>
      </c>
      <c r="C85" s="33" t="s">
        <v>28</v>
      </c>
      <c r="D85" s="34">
        <v>67118.490000000005</v>
      </c>
      <c r="E85" s="33" t="s">
        <v>6</v>
      </c>
      <c r="F85" s="30">
        <v>44342</v>
      </c>
      <c r="G85" s="33" t="s">
        <v>51</v>
      </c>
      <c r="H85" s="25">
        <f t="array" ref="H85">IFERROR(INDEX(Agenda!AA:AA,MATCH(1,('Lançamentos- Credito Débito'!E85=Agenda!C:C)*('Lançamentos- Credito Débito'!F85=Agenda!I:I),0)),"")</f>
        <v>8.2342591547712729E-4</v>
      </c>
      <c r="I85">
        <f t="shared" si="11"/>
        <v>26</v>
      </c>
      <c r="J85" s="35">
        <f t="shared" si="12"/>
        <v>2.1630892127647128E-2</v>
      </c>
      <c r="K85" s="40">
        <f t="array" ref="K85">INDEX(Agenda!AB:AB,MATCH(1,('Lançamentos- Credito Débito'!E85=Agenda!C:C)*('Lançamentos- Credito Débito'!F85=Agenda!I:I),0))</f>
        <v>0.74416811224447987</v>
      </c>
      <c r="L85" s="36">
        <f t="shared" si="13"/>
        <v>49947.44</v>
      </c>
      <c r="M85" s="36">
        <f t="shared" si="14"/>
        <v>17171.050000000003</v>
      </c>
      <c r="N85" s="1">
        <f t="shared" si="15"/>
        <v>65697.393521967882</v>
      </c>
      <c r="O85" s="81">
        <f t="array" ref="O85">IF(OR(G85="Amortization",G85="Fim de Mês"),(1+J85)*N85-D85,-INDEX(Agenda!J:J,MATCH(1,('Lançamentos- Credito Débito'!E85=Agenda!C:C)*('Lançamentos- Credito Débito'!G85=Agenda!G:G),0)))</f>
        <v>-3.2456908520543948E-3</v>
      </c>
      <c r="P85" s="44">
        <f t="shared" si="16"/>
        <v>1421.0932323412706</v>
      </c>
      <c r="Q85" s="64">
        <f t="shared" si="17"/>
        <v>67118.486754309153</v>
      </c>
      <c r="R85" s="14">
        <f t="array" ref="R85">IF(F85="","",INDEX(Agenda!L:L,MATCH(1,('Lançamentos- Credito Débito'!E85=Agenda!C:C)*('Lançamentos- Credito Débito'!F85=Agenda!I:I),0)))</f>
        <v>49947.44</v>
      </c>
      <c r="S85" s="14">
        <f t="shared" si="18"/>
        <v>49947.44</v>
      </c>
      <c r="T85" s="14">
        <f t="shared" si="19"/>
        <v>0</v>
      </c>
      <c r="U85" s="62">
        <f t="shared" si="20"/>
        <v>0</v>
      </c>
      <c r="V85" s="78">
        <f t="shared" si="21"/>
        <v>0</v>
      </c>
      <c r="W85" s="26"/>
      <c r="X85" s="26"/>
      <c r="Y85" s="26"/>
      <c r="Z85" s="26"/>
      <c r="AA85" s="26"/>
      <c r="AB85" s="14"/>
      <c r="AC85" s="14"/>
      <c r="AD85" s="14"/>
      <c r="AE85" s="16"/>
      <c r="AF85" s="14"/>
      <c r="AG85" s="32"/>
      <c r="AH85" s="14"/>
      <c r="AI85" s="14"/>
    </row>
    <row r="86" spans="1:35" customFormat="1" x14ac:dyDescent="0.25">
      <c r="A86" s="54">
        <v>43958</v>
      </c>
      <c r="B86" s="33" t="s">
        <v>32</v>
      </c>
      <c r="C86" s="33" t="s">
        <v>63</v>
      </c>
      <c r="D86" s="34">
        <v>42757.99</v>
      </c>
      <c r="E86" s="33" t="s">
        <v>12</v>
      </c>
      <c r="F86" s="33"/>
      <c r="G86" s="33" t="s">
        <v>50</v>
      </c>
      <c r="H86" s="25" t="str">
        <f t="array" ref="H86">IFERROR(INDEX(Agenda!AA:AA,MATCH(1,('Lançamentos- Credito Débito'!E86=Agenda!C:C)*('Lançamentos- Credito Débito'!F86=Agenda!I:I),0)),"")</f>
        <v/>
      </c>
      <c r="I86" t="str">
        <f t="shared" si="11"/>
        <v/>
      </c>
      <c r="J86" s="35" t="str">
        <f t="shared" si="12"/>
        <v/>
      </c>
      <c r="K86" s="40" t="e">
        <f t="array" ref="K86">INDEX(Agenda!AB:AB,MATCH(1,('Lançamentos- Credito Débito'!E86=Agenda!C:C)*('Lançamentos- Credito Débito'!F86=Agenda!I:I),0))</f>
        <v>#N/A</v>
      </c>
      <c r="L86" s="36" t="str">
        <f t="shared" si="13"/>
        <v/>
      </c>
      <c r="M86" s="36" t="str">
        <f t="shared" si="14"/>
        <v/>
      </c>
      <c r="N86" s="1" t="str">
        <f t="shared" si="15"/>
        <v/>
      </c>
      <c r="O86" s="81">
        <f t="array" ref="O86">IF(OR(G86="Amortization",G86="Fim de Mês"),(1+J86)*N86-D86,-INDEX(Agenda!J:J,MATCH(1,('Lançamentos- Credito Débito'!E86=Agenda!C:C)*('Lançamentos- Credito Débito'!G86=Agenda!G:G),0)))</f>
        <v>42757.99</v>
      </c>
      <c r="P86" s="44" t="str">
        <f t="shared" si="16"/>
        <v/>
      </c>
      <c r="Q86" s="64" t="str">
        <f t="shared" si="17"/>
        <v/>
      </c>
      <c r="R86" s="14" t="str">
        <f t="array" ref="R86">IF(F86="","",INDEX(Agenda!L:L,MATCH(1,('Lançamentos- Credito Débito'!E86=Agenda!C:C)*('Lançamentos- Credito Débito'!F86=Agenda!I:I),0)))</f>
        <v/>
      </c>
      <c r="S86" s="14" t="str">
        <f t="shared" si="18"/>
        <v/>
      </c>
      <c r="T86" s="14" t="str">
        <f t="shared" si="19"/>
        <v/>
      </c>
      <c r="U86" s="62" t="str">
        <f t="shared" si="20"/>
        <v/>
      </c>
      <c r="V86" s="78" t="str">
        <f t="shared" si="21"/>
        <v/>
      </c>
    </row>
    <row r="87" spans="1:35" customFormat="1" x14ac:dyDescent="0.25">
      <c r="A87" s="45">
        <v>43982</v>
      </c>
      <c r="B87" s="33" t="s">
        <v>63</v>
      </c>
      <c r="C87" s="33" t="s">
        <v>32</v>
      </c>
      <c r="D87" s="34">
        <v>0</v>
      </c>
      <c r="E87" s="33" t="s">
        <v>12</v>
      </c>
      <c r="F87" s="30">
        <v>44316</v>
      </c>
      <c r="G87" s="33" t="s">
        <v>86</v>
      </c>
      <c r="H87" s="25">
        <f t="array" ref="H87">IFERROR(INDEX(Agenda!AA:AA,MATCH(1,('Lançamentos- Credito Débito'!E87=Agenda!C:C)*('Lançamentos- Credito Débito'!F87=Agenda!I:I),0)),"")</f>
        <v>6.9299131368905087E-4</v>
      </c>
      <c r="I87">
        <f t="shared" si="11"/>
        <v>24</v>
      </c>
      <c r="J87" s="35">
        <f t="shared" si="12"/>
        <v>1.6765012974473859E-2</v>
      </c>
      <c r="K87" s="40">
        <f t="array" ref="K87">INDEX(Agenda!AB:AB,MATCH(1,('Lançamentos- Credito Débito'!E87=Agenda!C:C)*('Lançamentos- Credito Débito'!F87=Agenda!I:I),0))</f>
        <v>0.7803559692828983</v>
      </c>
      <c r="L87" s="36">
        <f t="shared" si="13"/>
        <v>0</v>
      </c>
      <c r="M87" s="36">
        <f t="shared" si="14"/>
        <v>0</v>
      </c>
      <c r="N87" s="1">
        <f t="shared" si="15"/>
        <v>42757.99</v>
      </c>
      <c r="O87" s="81">
        <f t="array" ref="O87">IF(OR(G87="Amortization",G87="Fim de Mês"),(1+J87)*N87-D87,-INDEX(Agenda!J:J,MATCH(1,('Lançamentos- Credito Débito'!E87=Agenda!C:C)*('Lançamentos- Credito Débito'!G87=Agenda!G:G),0)))</f>
        <v>43474.828257112422</v>
      </c>
      <c r="P87" s="44">
        <f t="shared" si="16"/>
        <v>716.83825711242343</v>
      </c>
      <c r="Q87" s="64">
        <f t="shared" si="17"/>
        <v>43474.828257112422</v>
      </c>
      <c r="R87" s="14">
        <f t="array" ref="R87">IF(F87="","",INDEX(Agenda!L:L,MATCH(1,('Lançamentos- Credito Débito'!E87=Agenda!C:C)*('Lançamentos- Credito Débito'!F87=Agenda!I:I),0)))</f>
        <v>42757.99</v>
      </c>
      <c r="S87" s="14">
        <f t="shared" si="18"/>
        <v>0</v>
      </c>
      <c r="T87" s="14">
        <f t="shared" si="19"/>
        <v>42757.99</v>
      </c>
      <c r="U87" s="62">
        <f t="shared" si="20"/>
        <v>54792.93</v>
      </c>
      <c r="V87" s="78">
        <f t="shared" si="21"/>
        <v>0</v>
      </c>
    </row>
    <row r="88" spans="1:35" customFormat="1" x14ac:dyDescent="0.25">
      <c r="A88" s="45">
        <v>44012</v>
      </c>
      <c r="B88" s="33" t="s">
        <v>63</v>
      </c>
      <c r="C88" s="33" t="s">
        <v>32</v>
      </c>
      <c r="D88" s="34">
        <v>0</v>
      </c>
      <c r="E88" s="33" t="s">
        <v>12</v>
      </c>
      <c r="F88" s="30">
        <v>44316</v>
      </c>
      <c r="G88" s="33" t="s">
        <v>86</v>
      </c>
      <c r="H88" s="25">
        <f t="array" ref="H88">IFERROR(INDEX(Agenda!AA:AA,MATCH(1,('Lançamentos- Credito Débito'!E88=Agenda!C:C)*('Lançamentos- Credito Débito'!F88=Agenda!I:I),0)),"")</f>
        <v>6.9299131368905087E-4</v>
      </c>
      <c r="I88">
        <f t="shared" si="11"/>
        <v>30</v>
      </c>
      <c r="J88" s="35">
        <f t="shared" si="12"/>
        <v>2.1000000000002572E-2</v>
      </c>
      <c r="K88" s="40">
        <f t="array" ref="K88">INDEX(Agenda!AB:AB,MATCH(1,('Lançamentos- Credito Débito'!E88=Agenda!C:C)*('Lançamentos- Credito Débito'!F88=Agenda!I:I),0))</f>
        <v>0.7803559692828983</v>
      </c>
      <c r="L88" s="36">
        <f t="shared" si="13"/>
        <v>0</v>
      </c>
      <c r="M88" s="36">
        <f t="shared" si="14"/>
        <v>0</v>
      </c>
      <c r="N88" s="1">
        <f t="shared" si="15"/>
        <v>43474.828257112422</v>
      </c>
      <c r="O88" s="81">
        <f t="array" ref="O88">IF(OR(G88="Amortization",G88="Fim de Mês"),(1+J88)*N88-D88,-INDEX(Agenda!J:J,MATCH(1,('Lançamentos- Credito Débito'!E88=Agenda!C:C)*('Lançamentos- Credito Débito'!G88=Agenda!G:G),0)))</f>
        <v>44387.799650511894</v>
      </c>
      <c r="P88" s="44">
        <f t="shared" si="16"/>
        <v>912.97139339947273</v>
      </c>
      <c r="Q88" s="64">
        <f t="shared" si="17"/>
        <v>44387.799650511894</v>
      </c>
      <c r="R88" s="14">
        <f t="array" ref="R88">IF(F88="","",INDEX(Agenda!L:L,MATCH(1,('Lançamentos- Credito Débito'!E88=Agenda!C:C)*('Lançamentos- Credito Débito'!F88=Agenda!I:I),0)))</f>
        <v>42757.99</v>
      </c>
      <c r="S88" s="14">
        <f t="shared" si="18"/>
        <v>0</v>
      </c>
      <c r="T88" s="14">
        <f t="shared" si="19"/>
        <v>42757.99</v>
      </c>
      <c r="U88" s="62">
        <f t="shared" si="20"/>
        <v>54792.93</v>
      </c>
      <c r="V88" s="78">
        <f t="shared" si="21"/>
        <v>0</v>
      </c>
    </row>
    <row r="89" spans="1:35" customFormat="1" x14ac:dyDescent="0.25">
      <c r="A89" s="45">
        <v>44043</v>
      </c>
      <c r="B89" s="33" t="s">
        <v>63</v>
      </c>
      <c r="C89" s="33" t="s">
        <v>32</v>
      </c>
      <c r="D89" s="34">
        <v>0</v>
      </c>
      <c r="E89" s="33" t="s">
        <v>12</v>
      </c>
      <c r="F89" s="30">
        <v>44316</v>
      </c>
      <c r="G89" s="33" t="s">
        <v>86</v>
      </c>
      <c r="H89" s="25">
        <f t="array" ref="H89">IFERROR(INDEX(Agenda!AA:AA,MATCH(1,('Lançamentos- Credito Débito'!E89=Agenda!C:C)*('Lançamentos- Credito Débito'!F89=Agenda!I:I),0)),"")</f>
        <v>6.9299131368905087E-4</v>
      </c>
      <c r="I89">
        <f t="shared" si="11"/>
        <v>31</v>
      </c>
      <c r="J89" s="35">
        <f t="shared" si="12"/>
        <v>2.1707544131279066E-2</v>
      </c>
      <c r="K89" s="40">
        <f t="array" ref="K89">INDEX(Agenda!AB:AB,MATCH(1,('Lançamentos- Credito Débito'!E89=Agenda!C:C)*('Lançamentos- Credito Débito'!F89=Agenda!I:I),0))</f>
        <v>0.7803559692828983</v>
      </c>
      <c r="L89" s="36">
        <f t="shared" si="13"/>
        <v>0</v>
      </c>
      <c r="M89" s="36">
        <f t="shared" si="14"/>
        <v>0</v>
      </c>
      <c r="N89" s="1">
        <f t="shared" si="15"/>
        <v>44387.799650511894</v>
      </c>
      <c r="O89" s="81">
        <f t="array" ref="O89">IF(OR(G89="Amortization",G89="Fim de Mês"),(1+J89)*N89-D89,-INDEX(Agenda!J:J,MATCH(1,('Lançamentos- Credito Débito'!E89=Agenda!C:C)*('Lançamentos- Credito Débito'!G89=Agenda!G:G),0)))</f>
        <v>45351.349770315755</v>
      </c>
      <c r="P89" s="44">
        <f t="shared" si="16"/>
        <v>963.55011980386041</v>
      </c>
      <c r="Q89" s="64">
        <f t="shared" si="17"/>
        <v>45351.349770315755</v>
      </c>
      <c r="R89" s="14">
        <f t="array" ref="R89">IF(F89="","",INDEX(Agenda!L:L,MATCH(1,('Lançamentos- Credito Débito'!E89=Agenda!C:C)*('Lançamentos- Credito Débito'!F89=Agenda!I:I),0)))</f>
        <v>42757.99</v>
      </c>
      <c r="S89" s="14">
        <f t="shared" si="18"/>
        <v>0</v>
      </c>
      <c r="T89" s="14">
        <f t="shared" si="19"/>
        <v>42757.99</v>
      </c>
      <c r="U89" s="62">
        <f t="shared" si="20"/>
        <v>54792.93</v>
      </c>
      <c r="V89" s="78">
        <f t="shared" si="21"/>
        <v>0</v>
      </c>
    </row>
    <row r="90" spans="1:35" customFormat="1" x14ac:dyDescent="0.25">
      <c r="A90" s="45">
        <v>44074</v>
      </c>
      <c r="B90" s="33" t="s">
        <v>63</v>
      </c>
      <c r="C90" s="33" t="s">
        <v>32</v>
      </c>
      <c r="D90" s="34">
        <v>0</v>
      </c>
      <c r="E90" s="33" t="s">
        <v>12</v>
      </c>
      <c r="F90" s="30">
        <v>44316</v>
      </c>
      <c r="G90" s="33" t="s">
        <v>86</v>
      </c>
      <c r="H90" s="25">
        <f t="array" ref="H90">IFERROR(INDEX(Agenda!AA:AA,MATCH(1,('Lançamentos- Credito Débito'!E90=Agenda!C:C)*('Lançamentos- Credito Débito'!F90=Agenda!I:I),0)),"")</f>
        <v>6.9299131368905087E-4</v>
      </c>
      <c r="I90">
        <f t="shared" si="11"/>
        <v>31</v>
      </c>
      <c r="J90" s="35">
        <f t="shared" si="12"/>
        <v>2.1707544131279066E-2</v>
      </c>
      <c r="K90" s="40">
        <f t="array" ref="K90">INDEX(Agenda!AB:AB,MATCH(1,('Lançamentos- Credito Débito'!E90=Agenda!C:C)*('Lançamentos- Credito Débito'!F90=Agenda!I:I),0))</f>
        <v>0.7803559692828983</v>
      </c>
      <c r="L90" s="36">
        <f t="shared" si="13"/>
        <v>0</v>
      </c>
      <c r="M90" s="36">
        <f t="shared" si="14"/>
        <v>0</v>
      </c>
      <c r="N90" s="1">
        <f t="shared" si="15"/>
        <v>45351.349770315755</v>
      </c>
      <c r="O90" s="81">
        <f t="array" ref="O90">IF(OR(G90="Amortization",G90="Fim de Mês"),(1+J90)*N90-D90,-INDEX(Agenda!J:J,MATCH(1,('Lançamentos- Credito Débito'!E90=Agenda!C:C)*('Lançamentos- Credito Débito'!G90=Agenda!G:G),0)))</f>
        <v>46335.816196867956</v>
      </c>
      <c r="P90" s="44">
        <f t="shared" si="16"/>
        <v>984.46642655220205</v>
      </c>
      <c r="Q90" s="64">
        <f t="shared" si="17"/>
        <v>46335.816196867956</v>
      </c>
      <c r="R90" s="14">
        <f t="array" ref="R90">IF(F90="","",INDEX(Agenda!L:L,MATCH(1,('Lançamentos- Credito Débito'!E90=Agenda!C:C)*('Lançamentos- Credito Débito'!F90=Agenda!I:I),0)))</f>
        <v>42757.99</v>
      </c>
      <c r="S90" s="14">
        <f t="shared" si="18"/>
        <v>0</v>
      </c>
      <c r="T90" s="14">
        <f t="shared" si="19"/>
        <v>42757.99</v>
      </c>
      <c r="U90" s="62">
        <f t="shared" si="20"/>
        <v>54792.93</v>
      </c>
      <c r="V90" s="78">
        <f t="shared" si="21"/>
        <v>0</v>
      </c>
    </row>
    <row r="91" spans="1:35" customFormat="1" x14ac:dyDescent="0.25">
      <c r="A91" s="45">
        <v>44104</v>
      </c>
      <c r="B91" s="33" t="s">
        <v>63</v>
      </c>
      <c r="C91" s="33" t="s">
        <v>32</v>
      </c>
      <c r="D91" s="34">
        <v>0</v>
      </c>
      <c r="E91" s="33" t="s">
        <v>12</v>
      </c>
      <c r="F91" s="30">
        <v>44316</v>
      </c>
      <c r="G91" s="33" t="s">
        <v>86</v>
      </c>
      <c r="H91" s="25">
        <f t="array" ref="H91">IFERROR(INDEX(Agenda!AA:AA,MATCH(1,('Lançamentos- Credito Débito'!E91=Agenda!C:C)*('Lançamentos- Credito Débito'!F91=Agenda!I:I),0)),"")</f>
        <v>6.9299131368905087E-4</v>
      </c>
      <c r="I91">
        <f t="shared" si="11"/>
        <v>30</v>
      </c>
      <c r="J91" s="35">
        <f t="shared" si="12"/>
        <v>2.1000000000002572E-2</v>
      </c>
      <c r="K91" s="40">
        <f t="array" ref="K91">INDEX(Agenda!AB:AB,MATCH(1,('Lançamentos- Credito Débito'!E91=Agenda!C:C)*('Lançamentos- Credito Débito'!F91=Agenda!I:I),0))</f>
        <v>0.7803559692828983</v>
      </c>
      <c r="L91" s="36">
        <f t="shared" si="13"/>
        <v>0</v>
      </c>
      <c r="M91" s="36">
        <f t="shared" si="14"/>
        <v>0</v>
      </c>
      <c r="N91" s="1">
        <f t="shared" si="15"/>
        <v>46335.816196867956</v>
      </c>
      <c r="O91" s="81">
        <f t="array" ref="O91">IF(OR(G91="Amortization",G91="Fim de Mês"),(1+J91)*N91-D91,-INDEX(Agenda!J:J,MATCH(1,('Lançamentos- Credito Débito'!E91=Agenda!C:C)*('Lançamentos- Credito Débito'!G91=Agenda!G:G),0)))</f>
        <v>47308.868337002299</v>
      </c>
      <c r="P91" s="44">
        <f t="shared" si="16"/>
        <v>973.05214013434625</v>
      </c>
      <c r="Q91" s="64">
        <f t="shared" si="17"/>
        <v>47308.868337002299</v>
      </c>
      <c r="R91" s="14">
        <f t="array" ref="R91">IF(F91="","",INDEX(Agenda!L:L,MATCH(1,('Lançamentos- Credito Débito'!E91=Agenda!C:C)*('Lançamentos- Credito Débito'!F91=Agenda!I:I),0)))</f>
        <v>42757.99</v>
      </c>
      <c r="S91" s="14">
        <f t="shared" si="18"/>
        <v>0</v>
      </c>
      <c r="T91" s="14">
        <f t="shared" si="19"/>
        <v>42757.99</v>
      </c>
      <c r="U91" s="62">
        <f t="shared" si="20"/>
        <v>54792.93</v>
      </c>
      <c r="V91" s="78">
        <f t="shared" si="21"/>
        <v>0</v>
      </c>
    </row>
    <row r="92" spans="1:35" customFormat="1" x14ac:dyDescent="0.25">
      <c r="A92" s="45">
        <v>44135</v>
      </c>
      <c r="B92" s="33" t="s">
        <v>63</v>
      </c>
      <c r="C92" s="33" t="s">
        <v>32</v>
      </c>
      <c r="D92" s="34">
        <v>0</v>
      </c>
      <c r="E92" s="33" t="s">
        <v>12</v>
      </c>
      <c r="F92" s="30">
        <v>44316</v>
      </c>
      <c r="G92" s="33" t="s">
        <v>86</v>
      </c>
      <c r="H92" s="25">
        <f t="array" ref="H92">IFERROR(INDEX(Agenda!AA:AA,MATCH(1,('Lançamentos- Credito Débito'!E92=Agenda!C:C)*('Lançamentos- Credito Débito'!F92=Agenda!I:I),0)),"")</f>
        <v>6.9299131368905087E-4</v>
      </c>
      <c r="I92">
        <f t="shared" si="11"/>
        <v>31</v>
      </c>
      <c r="J92" s="35">
        <f t="shared" si="12"/>
        <v>2.1707544131279066E-2</v>
      </c>
      <c r="K92" s="40">
        <f t="array" ref="K92">INDEX(Agenda!AB:AB,MATCH(1,('Lançamentos- Credito Débito'!E92=Agenda!C:C)*('Lançamentos- Credito Débito'!F92=Agenda!I:I),0))</f>
        <v>0.7803559692828983</v>
      </c>
      <c r="L92" s="36">
        <f t="shared" si="13"/>
        <v>0</v>
      </c>
      <c r="M92" s="36">
        <f t="shared" si="14"/>
        <v>0</v>
      </c>
      <c r="N92" s="1">
        <f t="shared" si="15"/>
        <v>47308.868337002299</v>
      </c>
      <c r="O92" s="81">
        <f t="array" ref="O92">IF(OR(G92="Amortization",G92="Fim de Mês"),(1+J92)*N92-D92,-INDEX(Agenda!J:J,MATCH(1,('Lançamentos- Credito Débito'!E92=Agenda!C:C)*('Lançamentos- Credito Débito'!G92=Agenda!G:G),0)))</f>
        <v>48335.82768422865</v>
      </c>
      <c r="P92" s="44">
        <f t="shared" si="16"/>
        <v>1026.9593472263482</v>
      </c>
      <c r="Q92" s="64">
        <f t="shared" si="17"/>
        <v>48335.82768422865</v>
      </c>
      <c r="R92" s="14">
        <f t="array" ref="R92">IF(F92="","",INDEX(Agenda!L:L,MATCH(1,('Lançamentos- Credito Débito'!E92=Agenda!C:C)*('Lançamentos- Credito Débito'!F92=Agenda!I:I),0)))</f>
        <v>42757.99</v>
      </c>
      <c r="S92" s="14">
        <f t="shared" si="18"/>
        <v>0</v>
      </c>
      <c r="T92" s="14">
        <f t="shared" si="19"/>
        <v>42757.99</v>
      </c>
      <c r="U92" s="62">
        <f t="shared" si="20"/>
        <v>54792.93</v>
      </c>
      <c r="V92" s="78">
        <f t="shared" si="21"/>
        <v>0</v>
      </c>
    </row>
    <row r="93" spans="1:35" customFormat="1" x14ac:dyDescent="0.25">
      <c r="A93" s="45">
        <v>44165</v>
      </c>
      <c r="B93" s="33" t="s">
        <v>63</v>
      </c>
      <c r="C93" s="33" t="s">
        <v>32</v>
      </c>
      <c r="D93" s="34">
        <v>0</v>
      </c>
      <c r="E93" s="33" t="s">
        <v>12</v>
      </c>
      <c r="F93" s="30">
        <v>44316</v>
      </c>
      <c r="G93" s="33" t="s">
        <v>86</v>
      </c>
      <c r="H93" s="25">
        <f t="array" ref="H93">IFERROR(INDEX(Agenda!AA:AA,MATCH(1,('Lançamentos- Credito Débito'!E93=Agenda!C:C)*('Lançamentos- Credito Débito'!F93=Agenda!I:I),0)),"")</f>
        <v>6.9299131368905087E-4</v>
      </c>
      <c r="I93">
        <f t="shared" si="11"/>
        <v>30</v>
      </c>
      <c r="J93" s="35">
        <f t="shared" si="12"/>
        <v>2.1000000000002572E-2</v>
      </c>
      <c r="K93" s="40">
        <f t="array" ref="K93">INDEX(Agenda!AB:AB,MATCH(1,('Lançamentos- Credito Débito'!E93=Agenda!C:C)*('Lançamentos- Credito Débito'!F93=Agenda!I:I),0))</f>
        <v>0.7803559692828983</v>
      </c>
      <c r="L93" s="36">
        <f t="shared" si="13"/>
        <v>0</v>
      </c>
      <c r="M93" s="36">
        <f t="shared" si="14"/>
        <v>0</v>
      </c>
      <c r="N93" s="1">
        <f t="shared" si="15"/>
        <v>48335.82768422865</v>
      </c>
      <c r="O93" s="81">
        <f t="array" ref="O93">IF(OR(G93="Amortization",G93="Fim de Mês"),(1+J93)*N93-D93,-INDEX(Agenda!J:J,MATCH(1,('Lançamentos- Credito Débito'!E93=Agenda!C:C)*('Lançamentos- Credito Débito'!G93=Agenda!G:G),0)))</f>
        <v>49350.880065597579</v>
      </c>
      <c r="P93" s="44">
        <f t="shared" si="16"/>
        <v>1015.052381368926</v>
      </c>
      <c r="Q93" s="64">
        <f t="shared" si="17"/>
        <v>49350.880065597579</v>
      </c>
      <c r="R93" s="14">
        <f t="array" ref="R93">IF(F93="","",INDEX(Agenda!L:L,MATCH(1,('Lançamentos- Credito Débito'!E93=Agenda!C:C)*('Lançamentos- Credito Débito'!F93=Agenda!I:I),0)))</f>
        <v>42757.99</v>
      </c>
      <c r="S93" s="14">
        <f t="shared" si="18"/>
        <v>0</v>
      </c>
      <c r="T93" s="14">
        <f t="shared" si="19"/>
        <v>42757.99</v>
      </c>
      <c r="U93" s="62">
        <f t="shared" si="20"/>
        <v>54792.93</v>
      </c>
      <c r="V93" s="78">
        <f t="shared" si="21"/>
        <v>0</v>
      </c>
    </row>
    <row r="94" spans="1:35" customFormat="1" x14ac:dyDescent="0.25">
      <c r="A94" s="45">
        <v>44196</v>
      </c>
      <c r="B94" s="33" t="s">
        <v>63</v>
      </c>
      <c r="C94" s="33" t="s">
        <v>32</v>
      </c>
      <c r="D94" s="34">
        <v>0</v>
      </c>
      <c r="E94" s="33" t="s">
        <v>12</v>
      </c>
      <c r="F94" s="30">
        <v>44316</v>
      </c>
      <c r="G94" s="33" t="s">
        <v>86</v>
      </c>
      <c r="H94" s="25">
        <f t="array" ref="H94">IFERROR(INDEX(Agenda!AA:AA,MATCH(1,('Lançamentos- Credito Débito'!E94=Agenda!C:C)*('Lançamentos- Credito Débito'!F94=Agenda!I:I),0)),"")</f>
        <v>6.9299131368905087E-4</v>
      </c>
      <c r="I94">
        <f t="shared" si="11"/>
        <v>31</v>
      </c>
      <c r="J94" s="35">
        <f t="shared" si="12"/>
        <v>2.1707544131279066E-2</v>
      </c>
      <c r="K94" s="40">
        <f t="array" ref="K94">INDEX(Agenda!AB:AB,MATCH(1,('Lançamentos- Credito Débito'!E94=Agenda!C:C)*('Lançamentos- Credito Débito'!F94=Agenda!I:I),0))</f>
        <v>0.7803559692828983</v>
      </c>
      <c r="L94" s="36">
        <f t="shared" si="13"/>
        <v>0</v>
      </c>
      <c r="M94" s="36">
        <f t="shared" si="14"/>
        <v>0</v>
      </c>
      <c r="N94" s="1">
        <f t="shared" si="15"/>
        <v>49350.880065597579</v>
      </c>
      <c r="O94" s="81">
        <f t="array" ref="O94">IF(OR(G94="Amortization",G94="Fim de Mês"),(1+J94)*N94-D94,-INDEX(Agenda!J:J,MATCH(1,('Lançamentos- Credito Débito'!E94=Agenda!C:C)*('Lançamentos- Credito Débito'!G94=Agenda!G:G),0)))</f>
        <v>50422.166472539</v>
      </c>
      <c r="P94" s="44">
        <f t="shared" si="16"/>
        <v>1071.2864069414197</v>
      </c>
      <c r="Q94" s="64">
        <f t="shared" si="17"/>
        <v>50422.166472539</v>
      </c>
      <c r="R94" s="14">
        <f t="array" ref="R94">IF(F94="","",INDEX(Agenda!L:L,MATCH(1,('Lançamentos- Credito Débito'!E94=Agenda!C:C)*('Lançamentos- Credito Débito'!F94=Agenda!I:I),0)))</f>
        <v>42757.99</v>
      </c>
      <c r="S94" s="14">
        <f t="shared" si="18"/>
        <v>0</v>
      </c>
      <c r="T94" s="14">
        <f t="shared" si="19"/>
        <v>42757.99</v>
      </c>
      <c r="U94" s="62">
        <f t="shared" si="20"/>
        <v>54792.93</v>
      </c>
      <c r="V94" s="78">
        <f t="shared" si="21"/>
        <v>0</v>
      </c>
    </row>
    <row r="95" spans="1:35" customFormat="1" x14ac:dyDescent="0.25">
      <c r="A95" s="45">
        <v>44227</v>
      </c>
      <c r="B95" s="33" t="s">
        <v>63</v>
      </c>
      <c r="C95" s="33" t="s">
        <v>32</v>
      </c>
      <c r="D95" s="34">
        <v>0</v>
      </c>
      <c r="E95" s="33" t="s">
        <v>12</v>
      </c>
      <c r="F95" s="30">
        <v>44316</v>
      </c>
      <c r="G95" s="33" t="s">
        <v>86</v>
      </c>
      <c r="H95" s="25">
        <f t="array" ref="H95">IFERROR(INDEX(Agenda!AA:AA,MATCH(1,('Lançamentos- Credito Débito'!E95=Agenda!C:C)*('Lançamentos- Credito Débito'!F95=Agenda!I:I),0)),"")</f>
        <v>6.9299131368905087E-4</v>
      </c>
      <c r="I95">
        <f t="shared" si="11"/>
        <v>31</v>
      </c>
      <c r="J95" s="35">
        <f t="shared" si="12"/>
        <v>2.1707544131279066E-2</v>
      </c>
      <c r="K95" s="40">
        <f t="array" ref="K95">INDEX(Agenda!AB:AB,MATCH(1,('Lançamentos- Credito Débito'!E95=Agenda!C:C)*('Lançamentos- Credito Débito'!F95=Agenda!I:I),0))</f>
        <v>0.7803559692828983</v>
      </c>
      <c r="L95" s="36">
        <f t="shared" si="13"/>
        <v>0</v>
      </c>
      <c r="M95" s="36">
        <f t="shared" si="14"/>
        <v>0</v>
      </c>
      <c r="N95" s="1">
        <f t="shared" si="15"/>
        <v>50422.166472539</v>
      </c>
      <c r="O95" s="81">
        <f t="array" ref="O95">IF(OR(G95="Amortization",G95="Fim de Mês"),(1+J95)*N95-D95,-INDEX(Agenda!J:J,MATCH(1,('Lançamentos- Credito Débito'!E95=Agenda!C:C)*('Lançamentos- Credito Débito'!G95=Agenda!G:G),0)))</f>
        <v>51516.70787643634</v>
      </c>
      <c r="P95" s="44">
        <f t="shared" si="16"/>
        <v>1094.5414038973402</v>
      </c>
      <c r="Q95" s="64">
        <f t="shared" si="17"/>
        <v>51516.70787643634</v>
      </c>
      <c r="R95" s="14">
        <f t="array" ref="R95">IF(F95="","",INDEX(Agenda!L:L,MATCH(1,('Lançamentos- Credito Débito'!E95=Agenda!C:C)*('Lançamentos- Credito Débito'!F95=Agenda!I:I),0)))</f>
        <v>42757.99</v>
      </c>
      <c r="S95" s="14">
        <f t="shared" si="18"/>
        <v>0</v>
      </c>
      <c r="T95" s="14">
        <f t="shared" si="19"/>
        <v>42757.99</v>
      </c>
      <c r="U95" s="62">
        <f t="shared" si="20"/>
        <v>54792.93</v>
      </c>
      <c r="V95" s="78">
        <f t="shared" si="21"/>
        <v>0</v>
      </c>
    </row>
    <row r="96" spans="1:35" customFormat="1" x14ac:dyDescent="0.25">
      <c r="A96" s="45">
        <v>44255</v>
      </c>
      <c r="B96" s="33" t="s">
        <v>63</v>
      </c>
      <c r="C96" s="33" t="s">
        <v>32</v>
      </c>
      <c r="D96" s="34">
        <v>0</v>
      </c>
      <c r="E96" s="33" t="s">
        <v>12</v>
      </c>
      <c r="F96" s="30">
        <v>44316</v>
      </c>
      <c r="G96" s="33" t="s">
        <v>86</v>
      </c>
      <c r="H96" s="25">
        <f t="array" ref="H96">IFERROR(INDEX(Agenda!AA:AA,MATCH(1,('Lançamentos- Credito Débito'!E96=Agenda!C:C)*('Lançamentos- Credito Débito'!F96=Agenda!I:I),0)),"")</f>
        <v>6.9299131368905087E-4</v>
      </c>
      <c r="I96">
        <f t="shared" si="11"/>
        <v>28</v>
      </c>
      <c r="J96" s="35">
        <f t="shared" si="12"/>
        <v>1.9586381345281678E-2</v>
      </c>
      <c r="K96" s="40">
        <f t="array" ref="K96">INDEX(Agenda!AB:AB,MATCH(1,('Lançamentos- Credito Débito'!E96=Agenda!C:C)*('Lançamentos- Credito Débito'!F96=Agenda!I:I),0))</f>
        <v>0.7803559692828983</v>
      </c>
      <c r="L96" s="36">
        <f t="shared" si="13"/>
        <v>0</v>
      </c>
      <c r="M96" s="36">
        <f t="shared" si="14"/>
        <v>0</v>
      </c>
      <c r="N96" s="1">
        <f t="shared" si="15"/>
        <v>51516.70787643634</v>
      </c>
      <c r="O96" s="81">
        <f t="array" ref="O96">IF(OR(G96="Amortization",G96="Fim de Mês"),(1+J96)*N96-D96,-INDEX(Agenda!J:J,MATCH(1,('Lançamentos- Credito Débito'!E96=Agenda!C:C)*('Lançamentos- Credito Débito'!G96=Agenda!G:G),0)))</f>
        <v>52525.733762557698</v>
      </c>
      <c r="P96" s="44">
        <f t="shared" si="16"/>
        <v>1009.0258861213584</v>
      </c>
      <c r="Q96" s="64">
        <f t="shared" si="17"/>
        <v>52525.733762557698</v>
      </c>
      <c r="R96" s="14">
        <f t="array" ref="R96">IF(F96="","",INDEX(Agenda!L:L,MATCH(1,('Lançamentos- Credito Débito'!E96=Agenda!C:C)*('Lançamentos- Credito Débito'!F96=Agenda!I:I),0)))</f>
        <v>42757.99</v>
      </c>
      <c r="S96" s="14">
        <f t="shared" si="18"/>
        <v>0</v>
      </c>
      <c r="T96" s="14">
        <f t="shared" si="19"/>
        <v>42757.99</v>
      </c>
      <c r="U96" s="62">
        <f t="shared" si="20"/>
        <v>54792.93</v>
      </c>
      <c r="V96" s="78">
        <f t="shared" si="21"/>
        <v>0</v>
      </c>
    </row>
    <row r="97" spans="1:22" customFormat="1" x14ac:dyDescent="0.25">
      <c r="A97" s="45">
        <v>44286</v>
      </c>
      <c r="B97" s="33" t="s">
        <v>63</v>
      </c>
      <c r="C97" s="33" t="s">
        <v>32</v>
      </c>
      <c r="D97" s="34">
        <v>0</v>
      </c>
      <c r="E97" s="33" t="s">
        <v>12</v>
      </c>
      <c r="F97" s="30">
        <v>44316</v>
      </c>
      <c r="G97" s="33" t="s">
        <v>86</v>
      </c>
      <c r="H97" s="25">
        <f t="array" ref="H97">IFERROR(INDEX(Agenda!AA:AA,MATCH(1,('Lançamentos- Credito Débito'!E97=Agenda!C:C)*('Lançamentos- Credito Débito'!F97=Agenda!I:I),0)),"")</f>
        <v>6.9299131368905087E-4</v>
      </c>
      <c r="I97">
        <f t="shared" si="11"/>
        <v>31</v>
      </c>
      <c r="J97" s="35">
        <f t="shared" si="12"/>
        <v>2.1707544131279066E-2</v>
      </c>
      <c r="K97" s="40">
        <f t="array" ref="K97">INDEX(Agenda!AB:AB,MATCH(1,('Lançamentos- Credito Débito'!E97=Agenda!C:C)*('Lançamentos- Credito Débito'!F97=Agenda!I:I),0))</f>
        <v>0.7803559692828983</v>
      </c>
      <c r="L97" s="36">
        <f t="shared" si="13"/>
        <v>0</v>
      </c>
      <c r="M97" s="36">
        <f t="shared" si="14"/>
        <v>0</v>
      </c>
      <c r="N97" s="1">
        <f t="shared" si="15"/>
        <v>52525.733762557698</v>
      </c>
      <c r="O97" s="81">
        <f t="array" ref="O97">IF(OR(G97="Amortization",G97="Fim de Mês"),(1+J97)*N97-D97,-INDEX(Agenda!J:J,MATCH(1,('Lançamentos- Credito Débito'!E97=Agenda!C:C)*('Lançamentos- Credito Débito'!G97=Agenda!G:G),0)))</f>
        <v>53665.938446236236</v>
      </c>
      <c r="P97" s="44">
        <f t="shared" si="16"/>
        <v>1140.2046836785362</v>
      </c>
      <c r="Q97" s="64">
        <f t="shared" si="17"/>
        <v>53665.938446236236</v>
      </c>
      <c r="R97" s="14">
        <f t="array" ref="R97">IF(F97="","",INDEX(Agenda!L:L,MATCH(1,('Lançamentos- Credito Débito'!E97=Agenda!C:C)*('Lançamentos- Credito Débito'!F97=Agenda!I:I),0)))</f>
        <v>42757.99</v>
      </c>
      <c r="S97" s="14">
        <f t="shared" si="18"/>
        <v>0</v>
      </c>
      <c r="T97" s="14">
        <f t="shared" si="19"/>
        <v>42757.99</v>
      </c>
      <c r="U97" s="62">
        <f t="shared" si="20"/>
        <v>54792.93</v>
      </c>
      <c r="V97" s="78">
        <f t="shared" si="21"/>
        <v>0</v>
      </c>
    </row>
    <row r="98" spans="1:22" customFormat="1" x14ac:dyDescent="0.25">
      <c r="A98" s="45">
        <v>44316</v>
      </c>
      <c r="B98" s="33" t="s">
        <v>63</v>
      </c>
      <c r="C98" s="33" t="s">
        <v>32</v>
      </c>
      <c r="D98" s="34">
        <v>54792.93</v>
      </c>
      <c r="E98" s="33" t="s">
        <v>12</v>
      </c>
      <c r="F98" s="30">
        <v>44316</v>
      </c>
      <c r="G98" s="33" t="s">
        <v>51</v>
      </c>
      <c r="H98" s="25">
        <f t="array" ref="H98">IFERROR(INDEX(Agenda!AA:AA,MATCH(1,('Lançamentos- Credito Débito'!E98=Agenda!C:C)*('Lançamentos- Credito Débito'!F98=Agenda!I:I),0)),"")</f>
        <v>6.9299131368905087E-4</v>
      </c>
      <c r="I98">
        <f t="shared" si="11"/>
        <v>30</v>
      </c>
      <c r="J98" s="35">
        <f t="shared" si="12"/>
        <v>2.1000000000002572E-2</v>
      </c>
      <c r="K98" s="40">
        <f t="array" ref="K98">INDEX(Agenda!AB:AB,MATCH(1,('Lançamentos- Credito Débito'!E98=Agenda!C:C)*('Lançamentos- Credito Débito'!F98=Agenda!I:I),0))</f>
        <v>0.7803559692828983</v>
      </c>
      <c r="L98" s="36">
        <f t="shared" si="13"/>
        <v>42757.99</v>
      </c>
      <c r="M98" s="36">
        <f t="shared" si="14"/>
        <v>12034.940000000004</v>
      </c>
      <c r="N98" s="1">
        <f t="shared" si="15"/>
        <v>53665.938446236236</v>
      </c>
      <c r="O98" s="81">
        <f t="array" ref="O98">IF(OR(G98="Amortization",G98="Fim de Mês"),(1+J98)*N98-D98,-INDEX(Agenda!J:J,MATCH(1,('Lançamentos- Credito Débito'!E98=Agenda!C:C)*('Lançamentos- Credito Débito'!G98=Agenda!G:G),0)))</f>
        <v>-6.846392665465828E-3</v>
      </c>
      <c r="P98" s="44">
        <f t="shared" si="16"/>
        <v>1126.9847073710989</v>
      </c>
      <c r="Q98" s="64">
        <f t="shared" si="17"/>
        <v>54792.923153607335</v>
      </c>
      <c r="R98" s="14">
        <f t="array" ref="R98">IF(F98="","",INDEX(Agenda!L:L,MATCH(1,('Lançamentos- Credito Débito'!E98=Agenda!C:C)*('Lançamentos- Credito Débito'!F98=Agenda!I:I),0)))</f>
        <v>42757.99</v>
      </c>
      <c r="S98" s="14">
        <f t="shared" si="18"/>
        <v>42757.99</v>
      </c>
      <c r="T98" s="14">
        <f t="shared" si="19"/>
        <v>0</v>
      </c>
      <c r="U98" s="62">
        <f t="shared" si="20"/>
        <v>0</v>
      </c>
      <c r="V98" s="78">
        <f t="shared" si="21"/>
        <v>0</v>
      </c>
    </row>
    <row r="99" spans="1:22" customFormat="1" x14ac:dyDescent="0.25">
      <c r="A99" s="54">
        <v>43964</v>
      </c>
      <c r="B99" s="33" t="s">
        <v>34</v>
      </c>
      <c r="C99" s="33" t="s">
        <v>63</v>
      </c>
      <c r="D99" s="34">
        <v>50397.4</v>
      </c>
      <c r="E99" s="33" t="s">
        <v>14</v>
      </c>
      <c r="F99" s="33"/>
      <c r="G99" s="33" t="s">
        <v>50</v>
      </c>
      <c r="H99" s="25" t="str">
        <f t="array" ref="H99">IFERROR(INDEX(Agenda!AA:AA,MATCH(1,('Lançamentos- Credito Débito'!E99=Agenda!C:C)*('Lançamentos- Credito Débito'!F99=Agenda!I:I),0)),"")</f>
        <v/>
      </c>
      <c r="I99" t="str">
        <f t="shared" si="11"/>
        <v/>
      </c>
      <c r="J99" s="35" t="str">
        <f t="shared" si="12"/>
        <v/>
      </c>
      <c r="K99" s="40" t="e">
        <f t="array" ref="K99">INDEX(Agenda!AB:AB,MATCH(1,('Lançamentos- Credito Débito'!E99=Agenda!C:C)*('Lançamentos- Credito Débito'!F99=Agenda!I:I),0))</f>
        <v>#N/A</v>
      </c>
      <c r="L99" s="36" t="str">
        <f t="shared" si="13"/>
        <v/>
      </c>
      <c r="M99" s="36" t="str">
        <f t="shared" si="14"/>
        <v/>
      </c>
      <c r="N99" s="1" t="str">
        <f t="shared" si="15"/>
        <v/>
      </c>
      <c r="O99" s="81">
        <f t="array" ref="O99">IF(OR(G99="Amortization",G99="Fim de Mês"),(1+J99)*N99-D99,-INDEX(Agenda!J:J,MATCH(1,('Lançamentos- Credito Débito'!E99=Agenda!C:C)*('Lançamentos- Credito Débito'!G99=Agenda!G:G),0)))</f>
        <v>50397.4</v>
      </c>
      <c r="P99" s="44" t="str">
        <f t="shared" si="16"/>
        <v/>
      </c>
      <c r="Q99" s="64" t="str">
        <f t="shared" si="17"/>
        <v/>
      </c>
      <c r="R99" s="14" t="str">
        <f t="array" ref="R99">IF(F99="","",INDEX(Agenda!L:L,MATCH(1,('Lançamentos- Credito Débito'!E99=Agenda!C:C)*('Lançamentos- Credito Débito'!F99=Agenda!I:I),0)))</f>
        <v/>
      </c>
      <c r="S99" s="14" t="str">
        <f t="shared" si="18"/>
        <v/>
      </c>
      <c r="T99" s="14" t="str">
        <f t="shared" si="19"/>
        <v/>
      </c>
      <c r="U99" s="62" t="str">
        <f t="shared" si="20"/>
        <v/>
      </c>
      <c r="V99" s="78" t="str">
        <f t="shared" si="21"/>
        <v/>
      </c>
    </row>
    <row r="100" spans="1:22" customFormat="1" x14ac:dyDescent="0.25">
      <c r="A100" s="45">
        <v>43982</v>
      </c>
      <c r="B100" s="33" t="s">
        <v>63</v>
      </c>
      <c r="C100" s="33" t="s">
        <v>34</v>
      </c>
      <c r="D100" s="34">
        <v>0</v>
      </c>
      <c r="E100" s="33" t="s">
        <v>14</v>
      </c>
      <c r="F100" s="30">
        <v>44316</v>
      </c>
      <c r="G100" s="33" t="s">
        <v>86</v>
      </c>
      <c r="H100" s="25">
        <f t="array" ref="H100">IFERROR(INDEX(Agenda!AA:AA,MATCH(1,('Lançamentos- Credito Débito'!E100=Agenda!C:C)*('Lançamentos- Credito Débito'!F100=Agenda!I:I),0)),"")</f>
        <v>8.5595768115309667E-4</v>
      </c>
      <c r="I100">
        <f t="shared" si="11"/>
        <v>18</v>
      </c>
      <c r="J100" s="35">
        <f t="shared" si="12"/>
        <v>1.5519849167998645E-2</v>
      </c>
      <c r="K100" s="40">
        <f t="array" ref="K100">INDEX(Agenda!AB:AB,MATCH(1,('Lançamentos- Credito Débito'!E100=Agenda!C:C)*('Lançamentos- Credito Débito'!F100=Agenda!I:I),0))</f>
        <v>0.73995333061513702</v>
      </c>
      <c r="L100" s="36">
        <f t="shared" si="13"/>
        <v>0</v>
      </c>
      <c r="M100" s="36">
        <f t="shared" si="14"/>
        <v>0</v>
      </c>
      <c r="N100" s="1">
        <f t="shared" si="15"/>
        <v>50397.4</v>
      </c>
      <c r="O100" s="81">
        <f t="array" ref="O100">IF(OR(G100="Amortization",G100="Fim de Mês"),(1+J100)*N100-D100,-INDEX(Agenda!J:J,MATCH(1,('Lançamentos- Credito Débito'!E100=Agenda!C:C)*('Lançamentos- Credito Débito'!G100=Agenda!G:G),0)))</f>
        <v>51179.560046459294</v>
      </c>
      <c r="P100" s="44">
        <f t="shared" si="16"/>
        <v>782.1600464592949</v>
      </c>
      <c r="Q100" s="64">
        <f t="shared" si="17"/>
        <v>51179.560046459294</v>
      </c>
      <c r="R100" s="14">
        <f t="array" ref="R100">IF(F100="","",INDEX(Agenda!L:L,MATCH(1,('Lançamentos- Credito Débito'!E100=Agenda!C:C)*('Lançamentos- Credito Débito'!F100=Agenda!I:I),0)))</f>
        <v>50397.4</v>
      </c>
      <c r="S100" s="14">
        <f t="shared" si="18"/>
        <v>0</v>
      </c>
      <c r="T100" s="14">
        <f t="shared" si="19"/>
        <v>50397.4</v>
      </c>
      <c r="U100" s="62">
        <f t="shared" si="20"/>
        <v>68108.89</v>
      </c>
      <c r="V100" s="78">
        <f t="shared" si="21"/>
        <v>0</v>
      </c>
    </row>
    <row r="101" spans="1:22" customFormat="1" x14ac:dyDescent="0.25">
      <c r="A101" s="45">
        <v>44012</v>
      </c>
      <c r="B101" s="33" t="s">
        <v>63</v>
      </c>
      <c r="C101" s="33" t="s">
        <v>34</v>
      </c>
      <c r="D101" s="34">
        <v>0</v>
      </c>
      <c r="E101" s="33" t="s">
        <v>14</v>
      </c>
      <c r="F101" s="30">
        <v>44316</v>
      </c>
      <c r="G101" s="33" t="s">
        <v>86</v>
      </c>
      <c r="H101" s="25">
        <f t="array" ref="H101">IFERROR(INDEX(Agenda!AA:AA,MATCH(1,('Lançamentos- Credito Débito'!E101=Agenda!C:C)*('Lançamentos- Credito Débito'!F101=Agenda!I:I),0)),"")</f>
        <v>8.5595768115309667E-4</v>
      </c>
      <c r="I101">
        <f t="shared" si="11"/>
        <v>30</v>
      </c>
      <c r="J101" s="35">
        <f t="shared" si="12"/>
        <v>2.6000000000001577E-2</v>
      </c>
      <c r="K101" s="40">
        <f t="array" ref="K101">INDEX(Agenda!AB:AB,MATCH(1,('Lançamentos- Credito Débito'!E101=Agenda!C:C)*('Lançamentos- Credito Débito'!F101=Agenda!I:I),0))</f>
        <v>0.73995333061513702</v>
      </c>
      <c r="L101" s="36">
        <f t="shared" si="13"/>
        <v>0</v>
      </c>
      <c r="M101" s="36">
        <f t="shared" si="14"/>
        <v>0</v>
      </c>
      <c r="N101" s="1">
        <f t="shared" si="15"/>
        <v>51179.560046459294</v>
      </c>
      <c r="O101" s="81">
        <f t="array" ref="O101">IF(OR(G101="Amortization",G101="Fim de Mês"),(1+J101)*N101-D101,-INDEX(Agenda!J:J,MATCH(1,('Lançamentos- Credito Débito'!E101=Agenda!C:C)*('Lançamentos- Credito Débito'!G101=Agenda!G:G),0)))</f>
        <v>52510.228607667319</v>
      </c>
      <c r="P101" s="44">
        <f t="shared" si="16"/>
        <v>1330.6685612080223</v>
      </c>
      <c r="Q101" s="64">
        <f t="shared" si="17"/>
        <v>52510.228607667319</v>
      </c>
      <c r="R101" s="14">
        <f t="array" ref="R101">IF(F101="","",INDEX(Agenda!L:L,MATCH(1,('Lançamentos- Credito Débito'!E101=Agenda!C:C)*('Lançamentos- Credito Débito'!F101=Agenda!I:I),0)))</f>
        <v>50397.4</v>
      </c>
      <c r="S101" s="14">
        <f t="shared" si="18"/>
        <v>0</v>
      </c>
      <c r="T101" s="14">
        <f t="shared" si="19"/>
        <v>50397.4</v>
      </c>
      <c r="U101" s="62">
        <f t="shared" si="20"/>
        <v>68108.89</v>
      </c>
      <c r="V101" s="78">
        <f t="shared" si="21"/>
        <v>0</v>
      </c>
    </row>
    <row r="102" spans="1:22" customFormat="1" x14ac:dyDescent="0.25">
      <c r="A102" s="45">
        <v>44043</v>
      </c>
      <c r="B102" s="33" t="s">
        <v>63</v>
      </c>
      <c r="C102" s="33" t="s">
        <v>34</v>
      </c>
      <c r="D102" s="34">
        <v>0</v>
      </c>
      <c r="E102" s="33" t="s">
        <v>14</v>
      </c>
      <c r="F102" s="30">
        <v>44316</v>
      </c>
      <c r="G102" s="33" t="s">
        <v>86</v>
      </c>
      <c r="H102" s="25">
        <f t="array" ref="H102">IFERROR(INDEX(Agenda!AA:AA,MATCH(1,('Lançamentos- Credito Débito'!E102=Agenda!C:C)*('Lançamentos- Credito Débito'!F102=Agenda!I:I),0)),"")</f>
        <v>8.5595768115309667E-4</v>
      </c>
      <c r="I102">
        <f t="shared" si="11"/>
        <v>31</v>
      </c>
      <c r="J102" s="35">
        <f t="shared" si="12"/>
        <v>2.6878212580864425E-2</v>
      </c>
      <c r="K102" s="40">
        <f t="array" ref="K102">INDEX(Agenda!AB:AB,MATCH(1,('Lançamentos- Credito Débito'!E102=Agenda!C:C)*('Lançamentos- Credito Débito'!F102=Agenda!I:I),0))</f>
        <v>0.73995333061513702</v>
      </c>
      <c r="L102" s="36">
        <f t="shared" si="13"/>
        <v>0</v>
      </c>
      <c r="M102" s="36">
        <f t="shared" si="14"/>
        <v>0</v>
      </c>
      <c r="N102" s="1">
        <f t="shared" si="15"/>
        <v>52510.228607667319</v>
      </c>
      <c r="O102" s="81">
        <f t="array" ref="O102">IF(OR(G102="Amortization",G102="Fim de Mês"),(1+J102)*N102-D102,-INDEX(Agenda!J:J,MATCH(1,('Lançamentos- Credito Débito'!E102=Agenda!C:C)*('Lançamentos- Credito Débito'!G102=Agenda!G:G),0)))</f>
        <v>53921.609694853993</v>
      </c>
      <c r="P102" s="44">
        <f t="shared" si="16"/>
        <v>1411.3810871866708</v>
      </c>
      <c r="Q102" s="64">
        <f t="shared" si="17"/>
        <v>53921.609694853993</v>
      </c>
      <c r="R102" s="14">
        <f t="array" ref="R102">IF(F102="","",INDEX(Agenda!L:L,MATCH(1,('Lançamentos- Credito Débito'!E102=Agenda!C:C)*('Lançamentos- Credito Débito'!F102=Agenda!I:I),0)))</f>
        <v>50397.4</v>
      </c>
      <c r="S102" s="14">
        <f t="shared" si="18"/>
        <v>0</v>
      </c>
      <c r="T102" s="14">
        <f t="shared" si="19"/>
        <v>50397.4</v>
      </c>
      <c r="U102" s="62">
        <f t="shared" si="20"/>
        <v>68108.89</v>
      </c>
      <c r="V102" s="78">
        <f t="shared" si="21"/>
        <v>0</v>
      </c>
    </row>
    <row r="103" spans="1:22" customFormat="1" x14ac:dyDescent="0.25">
      <c r="A103" s="45">
        <v>44074</v>
      </c>
      <c r="B103" s="33" t="s">
        <v>63</v>
      </c>
      <c r="C103" s="33" t="s">
        <v>34</v>
      </c>
      <c r="D103" s="34">
        <v>0</v>
      </c>
      <c r="E103" s="33" t="s">
        <v>14</v>
      </c>
      <c r="F103" s="30">
        <v>44316</v>
      </c>
      <c r="G103" s="33" t="s">
        <v>86</v>
      </c>
      <c r="H103" s="25">
        <f t="array" ref="H103">IFERROR(INDEX(Agenda!AA:AA,MATCH(1,('Lançamentos- Credito Débito'!E103=Agenda!C:C)*('Lançamentos- Credito Débito'!F103=Agenda!I:I),0)),"")</f>
        <v>8.5595768115309667E-4</v>
      </c>
      <c r="I103">
        <f t="shared" si="11"/>
        <v>31</v>
      </c>
      <c r="J103" s="35">
        <f t="shared" si="12"/>
        <v>2.6878212580864425E-2</v>
      </c>
      <c r="K103" s="40">
        <f t="array" ref="K103">INDEX(Agenda!AB:AB,MATCH(1,('Lançamentos- Credito Débito'!E103=Agenda!C:C)*('Lançamentos- Credito Débito'!F103=Agenda!I:I),0))</f>
        <v>0.73995333061513702</v>
      </c>
      <c r="L103" s="36">
        <f t="shared" si="13"/>
        <v>0</v>
      </c>
      <c r="M103" s="36">
        <f t="shared" si="14"/>
        <v>0</v>
      </c>
      <c r="N103" s="1">
        <f t="shared" si="15"/>
        <v>53921.609694853993</v>
      </c>
      <c r="O103" s="81">
        <f t="array" ref="O103">IF(OR(G103="Amortization",G103="Fim de Mês"),(1+J103)*N103-D103,-INDEX(Agenda!J:J,MATCH(1,('Lançamentos- Credito Débito'!E103=Agenda!C:C)*('Lançamentos- Credito Débito'!G103=Agenda!G:G),0)))</f>
        <v>55370.92618293468</v>
      </c>
      <c r="P103" s="44">
        <f t="shared" si="16"/>
        <v>1449.3164880806858</v>
      </c>
      <c r="Q103" s="64">
        <f t="shared" si="17"/>
        <v>55370.92618293468</v>
      </c>
      <c r="R103" s="14">
        <f t="array" ref="R103">IF(F103="","",INDEX(Agenda!L:L,MATCH(1,('Lançamentos- Credito Débito'!E103=Agenda!C:C)*('Lançamentos- Credito Débito'!F103=Agenda!I:I),0)))</f>
        <v>50397.4</v>
      </c>
      <c r="S103" s="14">
        <f t="shared" si="18"/>
        <v>0</v>
      </c>
      <c r="T103" s="14">
        <f t="shared" si="19"/>
        <v>50397.4</v>
      </c>
      <c r="U103" s="62">
        <f t="shared" si="20"/>
        <v>68108.89</v>
      </c>
      <c r="V103" s="78">
        <f t="shared" si="21"/>
        <v>0</v>
      </c>
    </row>
    <row r="104" spans="1:22" customFormat="1" x14ac:dyDescent="0.25">
      <c r="A104" s="45">
        <v>44104</v>
      </c>
      <c r="B104" s="33" t="s">
        <v>63</v>
      </c>
      <c r="C104" s="33" t="s">
        <v>34</v>
      </c>
      <c r="D104" s="34">
        <v>0</v>
      </c>
      <c r="E104" s="33" t="s">
        <v>14</v>
      </c>
      <c r="F104" s="30">
        <v>44316</v>
      </c>
      <c r="G104" s="33" t="s">
        <v>86</v>
      </c>
      <c r="H104" s="25">
        <f t="array" ref="H104">IFERROR(INDEX(Agenda!AA:AA,MATCH(1,('Lançamentos- Credito Débito'!E104=Agenda!C:C)*('Lançamentos- Credito Débito'!F104=Agenda!I:I),0)),"")</f>
        <v>8.5595768115309667E-4</v>
      </c>
      <c r="I104">
        <f t="shared" si="11"/>
        <v>30</v>
      </c>
      <c r="J104" s="35">
        <f t="shared" si="12"/>
        <v>2.6000000000001577E-2</v>
      </c>
      <c r="K104" s="40">
        <f t="array" ref="K104">INDEX(Agenda!AB:AB,MATCH(1,('Lançamentos- Credito Débito'!E104=Agenda!C:C)*('Lançamentos- Credito Débito'!F104=Agenda!I:I),0))</f>
        <v>0.73995333061513702</v>
      </c>
      <c r="L104" s="36">
        <f t="shared" si="13"/>
        <v>0</v>
      </c>
      <c r="M104" s="36">
        <f t="shared" si="14"/>
        <v>0</v>
      </c>
      <c r="N104" s="1">
        <f t="shared" si="15"/>
        <v>55370.92618293468</v>
      </c>
      <c r="O104" s="81">
        <f t="array" ref="O104">IF(OR(G104="Amortization",G104="Fim de Mês"),(1+J104)*N104-D104,-INDEX(Agenda!J:J,MATCH(1,('Lançamentos- Credito Débito'!E104=Agenda!C:C)*('Lançamentos- Credito Débito'!G104=Agenda!G:G),0)))</f>
        <v>56810.570263691072</v>
      </c>
      <c r="P104" s="44">
        <f t="shared" si="16"/>
        <v>1439.644080756389</v>
      </c>
      <c r="Q104" s="64">
        <f t="shared" si="17"/>
        <v>56810.570263691072</v>
      </c>
      <c r="R104" s="14">
        <f t="array" ref="R104">IF(F104="","",INDEX(Agenda!L:L,MATCH(1,('Lançamentos- Credito Débito'!E104=Agenda!C:C)*('Lançamentos- Credito Débito'!F104=Agenda!I:I),0)))</f>
        <v>50397.4</v>
      </c>
      <c r="S104" s="14">
        <f t="shared" si="18"/>
        <v>0</v>
      </c>
      <c r="T104" s="14">
        <f t="shared" si="19"/>
        <v>50397.4</v>
      </c>
      <c r="U104" s="62">
        <f t="shared" si="20"/>
        <v>68108.89</v>
      </c>
      <c r="V104" s="78">
        <f t="shared" si="21"/>
        <v>0</v>
      </c>
    </row>
    <row r="105" spans="1:22" customFormat="1" x14ac:dyDescent="0.25">
      <c r="A105" s="45">
        <v>44135</v>
      </c>
      <c r="B105" s="33" t="s">
        <v>63</v>
      </c>
      <c r="C105" s="33" t="s">
        <v>34</v>
      </c>
      <c r="D105" s="34">
        <v>0</v>
      </c>
      <c r="E105" s="33" t="s">
        <v>14</v>
      </c>
      <c r="F105" s="30">
        <v>44316</v>
      </c>
      <c r="G105" s="33" t="s">
        <v>86</v>
      </c>
      <c r="H105" s="25">
        <f t="array" ref="H105">IFERROR(INDEX(Agenda!AA:AA,MATCH(1,('Lançamentos- Credito Débito'!E105=Agenda!C:C)*('Lançamentos- Credito Débito'!F105=Agenda!I:I),0)),"")</f>
        <v>8.5595768115309667E-4</v>
      </c>
      <c r="I105">
        <f t="shared" si="11"/>
        <v>31</v>
      </c>
      <c r="J105" s="35">
        <f t="shared" si="12"/>
        <v>2.6878212580864425E-2</v>
      </c>
      <c r="K105" s="40">
        <f t="array" ref="K105">INDEX(Agenda!AB:AB,MATCH(1,('Lançamentos- Credito Débito'!E105=Agenda!C:C)*('Lançamentos- Credito Débito'!F105=Agenda!I:I),0))</f>
        <v>0.73995333061513702</v>
      </c>
      <c r="L105" s="36">
        <f t="shared" si="13"/>
        <v>0</v>
      </c>
      <c r="M105" s="36">
        <f t="shared" si="14"/>
        <v>0</v>
      </c>
      <c r="N105" s="1">
        <f t="shared" si="15"/>
        <v>56810.570263691072</v>
      </c>
      <c r="O105" s="81">
        <f t="array" ref="O105">IF(OR(G105="Amortization",G105="Fim de Mês"),(1+J105)*N105-D105,-INDEX(Agenda!J:J,MATCH(1,('Lançamentos- Credito Débito'!E105=Agenda!C:C)*('Lançamentos- Credito Débito'!G105=Agenda!G:G),0)))</f>
        <v>58337.536848078693</v>
      </c>
      <c r="P105" s="44">
        <f t="shared" si="16"/>
        <v>1526.9665843876237</v>
      </c>
      <c r="Q105" s="64">
        <f t="shared" si="17"/>
        <v>58337.536848078693</v>
      </c>
      <c r="R105" s="14">
        <f t="array" ref="R105">IF(F105="","",INDEX(Agenda!L:L,MATCH(1,('Lançamentos- Credito Débito'!E105=Agenda!C:C)*('Lançamentos- Credito Débito'!F105=Agenda!I:I),0)))</f>
        <v>50397.4</v>
      </c>
      <c r="S105" s="14">
        <f t="shared" si="18"/>
        <v>0</v>
      </c>
      <c r="T105" s="14">
        <f t="shared" si="19"/>
        <v>50397.4</v>
      </c>
      <c r="U105" s="62">
        <f t="shared" si="20"/>
        <v>68108.89</v>
      </c>
      <c r="V105" s="78">
        <f t="shared" si="21"/>
        <v>0</v>
      </c>
    </row>
    <row r="106" spans="1:22" customFormat="1" x14ac:dyDescent="0.25">
      <c r="A106" s="45">
        <v>44165</v>
      </c>
      <c r="B106" s="33" t="s">
        <v>63</v>
      </c>
      <c r="C106" s="33" t="s">
        <v>34</v>
      </c>
      <c r="D106" s="34">
        <v>0</v>
      </c>
      <c r="E106" s="33" t="s">
        <v>14</v>
      </c>
      <c r="F106" s="30">
        <v>44316</v>
      </c>
      <c r="G106" s="33" t="s">
        <v>86</v>
      </c>
      <c r="H106" s="25">
        <f t="array" ref="H106">IFERROR(INDEX(Agenda!AA:AA,MATCH(1,('Lançamentos- Credito Débito'!E106=Agenda!C:C)*('Lançamentos- Credito Débito'!F106=Agenda!I:I),0)),"")</f>
        <v>8.5595768115309667E-4</v>
      </c>
      <c r="I106">
        <f t="shared" si="11"/>
        <v>30</v>
      </c>
      <c r="J106" s="35">
        <f t="shared" si="12"/>
        <v>2.6000000000001577E-2</v>
      </c>
      <c r="K106" s="40">
        <f t="array" ref="K106">INDEX(Agenda!AB:AB,MATCH(1,('Lançamentos- Credito Débito'!E106=Agenda!C:C)*('Lançamentos- Credito Débito'!F106=Agenda!I:I),0))</f>
        <v>0.73995333061513702</v>
      </c>
      <c r="L106" s="36">
        <f t="shared" si="13"/>
        <v>0</v>
      </c>
      <c r="M106" s="36">
        <f t="shared" si="14"/>
        <v>0</v>
      </c>
      <c r="N106" s="1">
        <f t="shared" si="15"/>
        <v>58337.536848078693</v>
      </c>
      <c r="O106" s="81">
        <f t="array" ref="O106">IF(OR(G106="Amortization",G106="Fim de Mês"),(1+J106)*N106-D106,-INDEX(Agenda!J:J,MATCH(1,('Lançamentos- Credito Débito'!E106=Agenda!C:C)*('Lançamentos- Credito Débito'!G106=Agenda!G:G),0)))</f>
        <v>59854.31280612883</v>
      </c>
      <c r="P106" s="44">
        <f t="shared" si="16"/>
        <v>1516.7759580501381</v>
      </c>
      <c r="Q106" s="64">
        <f t="shared" si="17"/>
        <v>59854.31280612883</v>
      </c>
      <c r="R106" s="14">
        <f t="array" ref="R106">IF(F106="","",INDEX(Agenda!L:L,MATCH(1,('Lançamentos- Credito Débito'!E106=Agenda!C:C)*('Lançamentos- Credito Débito'!F106=Agenda!I:I),0)))</f>
        <v>50397.4</v>
      </c>
      <c r="S106" s="14">
        <f t="shared" si="18"/>
        <v>0</v>
      </c>
      <c r="T106" s="14">
        <f t="shared" si="19"/>
        <v>50397.4</v>
      </c>
      <c r="U106" s="62">
        <f t="shared" si="20"/>
        <v>68108.89</v>
      </c>
      <c r="V106" s="78">
        <f t="shared" si="21"/>
        <v>0</v>
      </c>
    </row>
    <row r="107" spans="1:22" customFormat="1" x14ac:dyDescent="0.25">
      <c r="A107" s="45">
        <v>44196</v>
      </c>
      <c r="B107" s="33" t="s">
        <v>63</v>
      </c>
      <c r="C107" s="33" t="s">
        <v>34</v>
      </c>
      <c r="D107" s="34">
        <v>0</v>
      </c>
      <c r="E107" s="33" t="s">
        <v>14</v>
      </c>
      <c r="F107" s="30">
        <v>44316</v>
      </c>
      <c r="G107" s="33" t="s">
        <v>86</v>
      </c>
      <c r="H107" s="25">
        <f t="array" ref="H107">IFERROR(INDEX(Agenda!AA:AA,MATCH(1,('Lançamentos- Credito Débito'!E107=Agenda!C:C)*('Lançamentos- Credito Débito'!F107=Agenda!I:I),0)),"")</f>
        <v>8.5595768115309667E-4</v>
      </c>
      <c r="I107">
        <f t="shared" si="11"/>
        <v>31</v>
      </c>
      <c r="J107" s="35">
        <f t="shared" si="12"/>
        <v>2.6878212580864425E-2</v>
      </c>
      <c r="K107" s="40">
        <f t="array" ref="K107">INDEX(Agenda!AB:AB,MATCH(1,('Lançamentos- Credito Débito'!E107=Agenda!C:C)*('Lançamentos- Credito Débito'!F107=Agenda!I:I),0))</f>
        <v>0.73995333061513702</v>
      </c>
      <c r="L107" s="36">
        <f t="shared" si="13"/>
        <v>0</v>
      </c>
      <c r="M107" s="36">
        <f t="shared" si="14"/>
        <v>0</v>
      </c>
      <c r="N107" s="1">
        <f t="shared" si="15"/>
        <v>59854.31280612883</v>
      </c>
      <c r="O107" s="81">
        <f t="array" ref="O107">IF(OR(G107="Amortization",G107="Fim de Mês"),(1+J107)*N107-D107,-INDEX(Agenda!J:J,MATCH(1,('Lançamentos- Credito Débito'!E107=Agenda!C:C)*('Lançamentos- Credito Débito'!G107=Agenda!G:G),0)))</f>
        <v>61463.089749613515</v>
      </c>
      <c r="P107" s="44">
        <f t="shared" si="16"/>
        <v>1608.7769434846866</v>
      </c>
      <c r="Q107" s="64">
        <f t="shared" si="17"/>
        <v>61463.089749613515</v>
      </c>
      <c r="R107" s="14">
        <f t="array" ref="R107">IF(F107="","",INDEX(Agenda!L:L,MATCH(1,('Lançamentos- Credito Débito'!E107=Agenda!C:C)*('Lançamentos- Credito Débito'!F107=Agenda!I:I),0)))</f>
        <v>50397.4</v>
      </c>
      <c r="S107" s="14">
        <f t="shared" si="18"/>
        <v>0</v>
      </c>
      <c r="T107" s="14">
        <f t="shared" si="19"/>
        <v>50397.4</v>
      </c>
      <c r="U107" s="62">
        <f t="shared" si="20"/>
        <v>68108.89</v>
      </c>
      <c r="V107" s="78">
        <f t="shared" si="21"/>
        <v>0</v>
      </c>
    </row>
    <row r="108" spans="1:22" customFormat="1" x14ac:dyDescent="0.25">
      <c r="A108" s="45">
        <v>44227</v>
      </c>
      <c r="B108" s="33" t="s">
        <v>63</v>
      </c>
      <c r="C108" s="33" t="s">
        <v>34</v>
      </c>
      <c r="D108" s="34">
        <v>0</v>
      </c>
      <c r="E108" s="33" t="s">
        <v>14</v>
      </c>
      <c r="F108" s="30">
        <v>44316</v>
      </c>
      <c r="G108" s="33" t="s">
        <v>86</v>
      </c>
      <c r="H108" s="25">
        <f t="array" ref="H108">IFERROR(INDEX(Agenda!AA:AA,MATCH(1,('Lançamentos- Credito Débito'!E108=Agenda!C:C)*('Lançamentos- Credito Débito'!F108=Agenda!I:I),0)),"")</f>
        <v>8.5595768115309667E-4</v>
      </c>
      <c r="I108">
        <f t="shared" si="11"/>
        <v>31</v>
      </c>
      <c r="J108" s="35">
        <f t="shared" si="12"/>
        <v>2.6878212580864425E-2</v>
      </c>
      <c r="K108" s="40">
        <f t="array" ref="K108">INDEX(Agenda!AB:AB,MATCH(1,('Lançamentos- Credito Débito'!E108=Agenda!C:C)*('Lançamentos- Credito Débito'!F108=Agenda!I:I),0))</f>
        <v>0.73995333061513702</v>
      </c>
      <c r="L108" s="36">
        <f t="shared" si="13"/>
        <v>0</v>
      </c>
      <c r="M108" s="36">
        <f t="shared" si="14"/>
        <v>0</v>
      </c>
      <c r="N108" s="1">
        <f t="shared" si="15"/>
        <v>61463.089749613515</v>
      </c>
      <c r="O108" s="81">
        <f t="array" ref="O108">IF(OR(G108="Amortization",G108="Fim de Mês"),(1+J108)*N108-D108,-INDEX(Agenda!J:J,MATCH(1,('Lançamentos- Credito Débito'!E108=Agenda!C:C)*('Lançamentos- Credito Débito'!G108=Agenda!G:G),0)))</f>
        <v>63115.107741780375</v>
      </c>
      <c r="P108" s="44">
        <f t="shared" si="16"/>
        <v>1652.0179921668612</v>
      </c>
      <c r="Q108" s="64">
        <f t="shared" si="17"/>
        <v>63115.107741780375</v>
      </c>
      <c r="R108" s="14">
        <f t="array" ref="R108">IF(F108="","",INDEX(Agenda!L:L,MATCH(1,('Lançamentos- Credito Débito'!E108=Agenda!C:C)*('Lançamentos- Credito Débito'!F108=Agenda!I:I),0)))</f>
        <v>50397.4</v>
      </c>
      <c r="S108" s="14">
        <f t="shared" si="18"/>
        <v>0</v>
      </c>
      <c r="T108" s="14">
        <f t="shared" si="19"/>
        <v>50397.4</v>
      </c>
      <c r="U108" s="62">
        <f t="shared" si="20"/>
        <v>68108.89</v>
      </c>
      <c r="V108" s="78">
        <f t="shared" si="21"/>
        <v>0</v>
      </c>
    </row>
    <row r="109" spans="1:22" customFormat="1" x14ac:dyDescent="0.25">
      <c r="A109" s="45">
        <v>44255</v>
      </c>
      <c r="B109" s="33" t="s">
        <v>63</v>
      </c>
      <c r="C109" s="33" t="s">
        <v>34</v>
      </c>
      <c r="D109" s="34">
        <v>0</v>
      </c>
      <c r="E109" s="33" t="s">
        <v>14</v>
      </c>
      <c r="F109" s="30">
        <v>44316</v>
      </c>
      <c r="G109" s="33" t="s">
        <v>86</v>
      </c>
      <c r="H109" s="25">
        <f t="array" ref="H109">IFERROR(INDEX(Agenda!AA:AA,MATCH(1,('Lançamentos- Credito Débito'!E109=Agenda!C:C)*('Lançamentos- Credito Débito'!F109=Agenda!I:I),0)),"")</f>
        <v>8.5595768115309667E-4</v>
      </c>
      <c r="I109">
        <f t="shared" si="11"/>
        <v>28</v>
      </c>
      <c r="J109" s="35">
        <f t="shared" si="12"/>
        <v>2.4245827405701803E-2</v>
      </c>
      <c r="K109" s="40">
        <f t="array" ref="K109">INDEX(Agenda!AB:AB,MATCH(1,('Lançamentos- Credito Débito'!E109=Agenda!C:C)*('Lançamentos- Credito Débito'!F109=Agenda!I:I),0))</f>
        <v>0.73995333061513702</v>
      </c>
      <c r="L109" s="36">
        <f t="shared" si="13"/>
        <v>0</v>
      </c>
      <c r="M109" s="36">
        <f t="shared" si="14"/>
        <v>0</v>
      </c>
      <c r="N109" s="1">
        <f t="shared" si="15"/>
        <v>63115.107741780375</v>
      </c>
      <c r="O109" s="81">
        <f t="array" ref="O109">IF(OR(G109="Amortization",G109="Fim de Mês"),(1+J109)*N109-D109,-INDEX(Agenda!J:J,MATCH(1,('Lançamentos- Credito Débito'!E109=Agenda!C:C)*('Lançamentos- Credito Débito'!G109=Agenda!G:G),0)))</f>
        <v>64645.385750779853</v>
      </c>
      <c r="P109" s="44">
        <f t="shared" si="16"/>
        <v>1530.2780089994806</v>
      </c>
      <c r="Q109" s="64">
        <f t="shared" si="17"/>
        <v>64645.385750779853</v>
      </c>
      <c r="R109" s="14">
        <f t="array" ref="R109">IF(F109="","",INDEX(Agenda!L:L,MATCH(1,('Lançamentos- Credito Débito'!E109=Agenda!C:C)*('Lançamentos- Credito Débito'!F109=Agenda!I:I),0)))</f>
        <v>50397.4</v>
      </c>
      <c r="S109" s="14">
        <f t="shared" si="18"/>
        <v>0</v>
      </c>
      <c r="T109" s="14">
        <f t="shared" si="19"/>
        <v>50397.4</v>
      </c>
      <c r="U109" s="62">
        <f t="shared" si="20"/>
        <v>68108.89</v>
      </c>
      <c r="V109" s="78">
        <f t="shared" si="21"/>
        <v>0</v>
      </c>
    </row>
    <row r="110" spans="1:22" customFormat="1" x14ac:dyDescent="0.25">
      <c r="A110" s="45">
        <v>44286</v>
      </c>
      <c r="B110" s="33" t="s">
        <v>63</v>
      </c>
      <c r="C110" s="33" t="s">
        <v>34</v>
      </c>
      <c r="D110" s="34">
        <v>0</v>
      </c>
      <c r="E110" s="33" t="s">
        <v>14</v>
      </c>
      <c r="F110" s="30">
        <v>44316</v>
      </c>
      <c r="G110" s="33" t="s">
        <v>86</v>
      </c>
      <c r="H110" s="25">
        <f t="array" ref="H110">IFERROR(INDEX(Agenda!AA:AA,MATCH(1,('Lançamentos- Credito Débito'!E110=Agenda!C:C)*('Lançamentos- Credito Débito'!F110=Agenda!I:I),0)),"")</f>
        <v>8.5595768115309667E-4</v>
      </c>
      <c r="I110">
        <f t="shared" si="11"/>
        <v>31</v>
      </c>
      <c r="J110" s="35">
        <f t="shared" si="12"/>
        <v>2.6878212580864425E-2</v>
      </c>
      <c r="K110" s="40">
        <f t="array" ref="K110">INDEX(Agenda!AB:AB,MATCH(1,('Lançamentos- Credito Débito'!E110=Agenda!C:C)*('Lançamentos- Credito Débito'!F110=Agenda!I:I),0))</f>
        <v>0.73995333061513702</v>
      </c>
      <c r="L110" s="36">
        <f t="shared" si="13"/>
        <v>0</v>
      </c>
      <c r="M110" s="36">
        <f t="shared" si="14"/>
        <v>0</v>
      </c>
      <c r="N110" s="1">
        <f t="shared" si="15"/>
        <v>64645.385750779853</v>
      </c>
      <c r="O110" s="81">
        <f t="array" ref="O110">IF(OR(G110="Amortization",G110="Fim de Mês"),(1+J110)*N110-D110,-INDEX(Agenda!J:J,MATCH(1,('Lançamentos- Credito Débito'!E110=Agenda!C:C)*('Lançamentos- Credito Débito'!G110=Agenda!G:G),0)))</f>
        <v>66382.938171361297</v>
      </c>
      <c r="P110" s="44">
        <f t="shared" si="16"/>
        <v>1737.5524205814449</v>
      </c>
      <c r="Q110" s="64">
        <f t="shared" si="17"/>
        <v>66382.938171361297</v>
      </c>
      <c r="R110" s="14">
        <f t="array" ref="R110">IF(F110="","",INDEX(Agenda!L:L,MATCH(1,('Lançamentos- Credito Débito'!E110=Agenda!C:C)*('Lançamentos- Credito Débito'!F110=Agenda!I:I),0)))</f>
        <v>50397.4</v>
      </c>
      <c r="S110" s="14">
        <f t="shared" si="18"/>
        <v>0</v>
      </c>
      <c r="T110" s="14">
        <f t="shared" si="19"/>
        <v>50397.4</v>
      </c>
      <c r="U110" s="62">
        <f t="shared" si="20"/>
        <v>68108.89</v>
      </c>
      <c r="V110" s="78">
        <f t="shared" si="21"/>
        <v>0</v>
      </c>
    </row>
    <row r="111" spans="1:22" customFormat="1" x14ac:dyDescent="0.25">
      <c r="A111" s="30">
        <v>44316</v>
      </c>
      <c r="B111" s="33" t="s">
        <v>63</v>
      </c>
      <c r="C111" s="33" t="s">
        <v>34</v>
      </c>
      <c r="D111" s="34">
        <v>68108.89</v>
      </c>
      <c r="E111" s="33" t="s">
        <v>14</v>
      </c>
      <c r="F111" s="30">
        <v>44316</v>
      </c>
      <c r="G111" s="33" t="s">
        <v>51</v>
      </c>
      <c r="H111" s="25">
        <f t="array" ref="H111">IFERROR(INDEX(Agenda!AA:AA,MATCH(1,('Lançamentos- Credito Débito'!E111=Agenda!C:C)*('Lançamentos- Credito Débito'!F111=Agenda!I:I),0)),"")</f>
        <v>8.5595768115309667E-4</v>
      </c>
      <c r="I111">
        <f t="shared" si="11"/>
        <v>30</v>
      </c>
      <c r="J111" s="35">
        <f t="shared" si="12"/>
        <v>2.6000000000001577E-2</v>
      </c>
      <c r="K111" s="40">
        <f t="array" ref="K111">INDEX(Agenda!AB:AB,MATCH(1,('Lançamentos- Credito Débito'!E111=Agenda!C:C)*('Lançamentos- Credito Débito'!F111=Agenda!I:I),0))</f>
        <v>0.73995333061513702</v>
      </c>
      <c r="L111" s="36">
        <f t="shared" si="13"/>
        <v>50397.4</v>
      </c>
      <c r="M111" s="36">
        <f t="shared" si="14"/>
        <v>17711.490000000002</v>
      </c>
      <c r="N111" s="1">
        <f t="shared" si="15"/>
        <v>66382.938171361297</v>
      </c>
      <c r="O111" s="81">
        <f t="array" ref="O111">IF(OR(G111="Amortization",G111="Fim de Mês"),(1+J111)*N111-D111,-INDEX(Agenda!J:J,MATCH(1,('Lançamentos- Credito Débito'!E111=Agenda!C:C)*('Lançamentos- Credito Débito'!G111=Agenda!G:G),0)))</f>
        <v>4.5638167939614505E-3</v>
      </c>
      <c r="P111" s="44">
        <f t="shared" si="16"/>
        <v>1725.9563924554984</v>
      </c>
      <c r="Q111" s="64">
        <f t="shared" si="17"/>
        <v>68108.894563816793</v>
      </c>
      <c r="R111" s="14">
        <f t="array" ref="R111">IF(F111="","",INDEX(Agenda!L:L,MATCH(1,('Lançamentos- Credito Débito'!E111=Agenda!C:C)*('Lançamentos- Credito Débito'!F111=Agenda!I:I),0)))</f>
        <v>50397.4</v>
      </c>
      <c r="S111" s="14">
        <f t="shared" si="18"/>
        <v>50397.4</v>
      </c>
      <c r="T111" s="14">
        <f t="shared" si="19"/>
        <v>0</v>
      </c>
      <c r="U111" s="62">
        <f t="shared" si="20"/>
        <v>0</v>
      </c>
      <c r="V111" s="78">
        <f t="shared" si="21"/>
        <v>0</v>
      </c>
    </row>
    <row r="112" spans="1:22" customFormat="1" x14ac:dyDescent="0.25">
      <c r="A112" s="54">
        <v>43964</v>
      </c>
      <c r="B112" s="33" t="s">
        <v>34</v>
      </c>
      <c r="C112" s="33" t="s">
        <v>63</v>
      </c>
      <c r="D112" s="34">
        <v>50397.4</v>
      </c>
      <c r="E112" s="33" t="s">
        <v>13</v>
      </c>
      <c r="F112" s="33"/>
      <c r="G112" s="33" t="s">
        <v>50</v>
      </c>
      <c r="H112" s="25" t="str">
        <f t="array" ref="H112">IFERROR(INDEX(Agenda!AA:AA,MATCH(1,('Lançamentos- Credito Débito'!E112=Agenda!C:C)*('Lançamentos- Credito Débito'!F112=Agenda!I:I),0)),"")</f>
        <v/>
      </c>
      <c r="I112" t="str">
        <f t="shared" si="11"/>
        <v/>
      </c>
      <c r="J112" s="35" t="str">
        <f t="shared" si="12"/>
        <v/>
      </c>
      <c r="K112" s="40" t="e">
        <f t="array" ref="K112">INDEX(Agenda!AB:AB,MATCH(1,('Lançamentos- Credito Débito'!E112=Agenda!C:C)*('Lançamentos- Credito Débito'!F112=Agenda!I:I),0))</f>
        <v>#N/A</v>
      </c>
      <c r="L112" s="36" t="str">
        <f t="shared" si="13"/>
        <v/>
      </c>
      <c r="M112" s="36" t="str">
        <f t="shared" si="14"/>
        <v/>
      </c>
      <c r="N112" s="1" t="str">
        <f t="shared" si="15"/>
        <v/>
      </c>
      <c r="O112" s="81">
        <f t="array" ref="O112">IF(OR(G112="Amortization",G112="Fim de Mês"),(1+J112)*N112-D112,-INDEX(Agenda!J:J,MATCH(1,('Lançamentos- Credito Débito'!E112=Agenda!C:C)*('Lançamentos- Credito Débito'!G112=Agenda!G:G),0)))</f>
        <v>50397.4</v>
      </c>
      <c r="P112" s="44" t="str">
        <f t="shared" si="16"/>
        <v/>
      </c>
      <c r="Q112" s="64" t="str">
        <f t="shared" si="17"/>
        <v/>
      </c>
      <c r="R112" s="14" t="str">
        <f t="array" ref="R112">IF(F112="","",INDEX(Agenda!L:L,MATCH(1,('Lançamentos- Credito Débito'!E112=Agenda!C:C)*('Lançamentos- Credito Débito'!F112=Agenda!I:I),0)))</f>
        <v/>
      </c>
      <c r="S112" s="14" t="str">
        <f t="shared" si="18"/>
        <v/>
      </c>
      <c r="T112" s="14" t="str">
        <f t="shared" si="19"/>
        <v/>
      </c>
      <c r="U112" s="62" t="str">
        <f t="shared" si="20"/>
        <v/>
      </c>
      <c r="V112" s="78" t="str">
        <f t="shared" si="21"/>
        <v/>
      </c>
    </row>
    <row r="113" spans="1:22" customFormat="1" x14ac:dyDescent="0.25">
      <c r="A113" s="45">
        <v>43982</v>
      </c>
      <c r="B113" s="33" t="s">
        <v>63</v>
      </c>
      <c r="C113" s="33" t="s">
        <v>34</v>
      </c>
      <c r="D113" s="34">
        <v>0</v>
      </c>
      <c r="E113" s="33" t="s">
        <v>13</v>
      </c>
      <c r="F113" s="30">
        <v>44316</v>
      </c>
      <c r="G113" s="33" t="s">
        <v>86</v>
      </c>
      <c r="H113" s="25">
        <f t="array" ref="H113">IFERROR(INDEX(Agenda!AA:AA,MATCH(1,('Lançamentos- Credito Débito'!E113=Agenda!C:C)*('Lançamentos- Credito Débito'!F113=Agenda!I:I),0)),"")</f>
        <v>8.5595768115309667E-4</v>
      </c>
      <c r="I113">
        <f t="shared" si="11"/>
        <v>18</v>
      </c>
      <c r="J113" s="35">
        <f t="shared" si="12"/>
        <v>1.5519849167998645E-2</v>
      </c>
      <c r="K113" s="40">
        <f t="array" ref="K113">INDEX(Agenda!AB:AB,MATCH(1,('Lançamentos- Credito Débito'!E113=Agenda!C:C)*('Lançamentos- Credito Débito'!F113=Agenda!I:I),0))</f>
        <v>0.73995333061513702</v>
      </c>
      <c r="L113" s="36">
        <f t="shared" si="13"/>
        <v>0</v>
      </c>
      <c r="M113" s="36">
        <f t="shared" si="14"/>
        <v>0</v>
      </c>
      <c r="N113" s="1">
        <f t="shared" si="15"/>
        <v>50397.4</v>
      </c>
      <c r="O113" s="81">
        <f t="array" ref="O113">IF(OR(G113="Amortization",G113="Fim de Mês"),(1+J113)*N113-D113,-INDEX(Agenda!J:J,MATCH(1,('Lançamentos- Credito Débito'!E113=Agenda!C:C)*('Lançamentos- Credito Débito'!G113=Agenda!G:G),0)))</f>
        <v>51179.560046459294</v>
      </c>
      <c r="P113" s="44">
        <f t="shared" si="16"/>
        <v>782.1600464592949</v>
      </c>
      <c r="Q113" s="64">
        <f t="shared" si="17"/>
        <v>51179.560046459294</v>
      </c>
      <c r="R113" s="14">
        <f t="array" ref="R113">IF(F113="","",INDEX(Agenda!L:L,MATCH(1,('Lançamentos- Credito Débito'!E113=Agenda!C:C)*('Lançamentos- Credito Débito'!F113=Agenda!I:I),0)))</f>
        <v>50397.4</v>
      </c>
      <c r="S113" s="14">
        <f t="shared" si="18"/>
        <v>0</v>
      </c>
      <c r="T113" s="14">
        <f t="shared" si="19"/>
        <v>50397.4</v>
      </c>
      <c r="U113" s="62">
        <f t="shared" si="20"/>
        <v>68108.89</v>
      </c>
      <c r="V113" s="78">
        <f t="shared" si="21"/>
        <v>0</v>
      </c>
    </row>
    <row r="114" spans="1:22" customFormat="1" x14ac:dyDescent="0.25">
      <c r="A114" s="45">
        <v>44012</v>
      </c>
      <c r="B114" s="33" t="s">
        <v>63</v>
      </c>
      <c r="C114" s="33" t="s">
        <v>34</v>
      </c>
      <c r="D114" s="34">
        <v>0</v>
      </c>
      <c r="E114" s="33" t="s">
        <v>13</v>
      </c>
      <c r="F114" s="30">
        <v>44316</v>
      </c>
      <c r="G114" s="33" t="s">
        <v>86</v>
      </c>
      <c r="H114" s="25">
        <f t="array" ref="H114">IFERROR(INDEX(Agenda!AA:AA,MATCH(1,('Lançamentos- Credito Débito'!E114=Agenda!C:C)*('Lançamentos- Credito Débito'!F114=Agenda!I:I),0)),"")</f>
        <v>8.5595768115309667E-4</v>
      </c>
      <c r="I114">
        <f t="shared" si="11"/>
        <v>30</v>
      </c>
      <c r="J114" s="35">
        <f t="shared" si="12"/>
        <v>2.6000000000001577E-2</v>
      </c>
      <c r="K114" s="40">
        <f t="array" ref="K114">INDEX(Agenda!AB:AB,MATCH(1,('Lançamentos- Credito Débito'!E114=Agenda!C:C)*('Lançamentos- Credito Débito'!F114=Agenda!I:I),0))</f>
        <v>0.73995333061513702</v>
      </c>
      <c r="L114" s="36">
        <f t="shared" si="13"/>
        <v>0</v>
      </c>
      <c r="M114" s="36">
        <f t="shared" si="14"/>
        <v>0</v>
      </c>
      <c r="N114" s="1">
        <f t="shared" si="15"/>
        <v>51179.560046459294</v>
      </c>
      <c r="O114" s="81">
        <f t="array" ref="O114">IF(OR(G114="Amortization",G114="Fim de Mês"),(1+J114)*N114-D114,-INDEX(Agenda!J:J,MATCH(1,('Lançamentos- Credito Débito'!E114=Agenda!C:C)*('Lançamentos- Credito Débito'!G114=Agenda!G:G),0)))</f>
        <v>52510.228607667319</v>
      </c>
      <c r="P114" s="44">
        <f t="shared" si="16"/>
        <v>1330.6685612080223</v>
      </c>
      <c r="Q114" s="64">
        <f t="shared" si="17"/>
        <v>52510.228607667319</v>
      </c>
      <c r="R114" s="14">
        <f t="array" ref="R114">IF(F114="","",INDEX(Agenda!L:L,MATCH(1,('Lançamentos- Credito Débito'!E114=Agenda!C:C)*('Lançamentos- Credito Débito'!F114=Agenda!I:I),0)))</f>
        <v>50397.4</v>
      </c>
      <c r="S114" s="14">
        <f t="shared" si="18"/>
        <v>0</v>
      </c>
      <c r="T114" s="14">
        <f t="shared" si="19"/>
        <v>50397.4</v>
      </c>
      <c r="U114" s="62">
        <f t="shared" si="20"/>
        <v>68108.89</v>
      </c>
      <c r="V114" s="78">
        <f t="shared" si="21"/>
        <v>0</v>
      </c>
    </row>
    <row r="115" spans="1:22" customFormat="1" x14ac:dyDescent="0.25">
      <c r="A115" s="45">
        <v>44043</v>
      </c>
      <c r="B115" s="33" t="s">
        <v>63</v>
      </c>
      <c r="C115" s="33" t="s">
        <v>34</v>
      </c>
      <c r="D115" s="34">
        <v>0</v>
      </c>
      <c r="E115" s="33" t="s">
        <v>13</v>
      </c>
      <c r="F115" s="30">
        <v>44316</v>
      </c>
      <c r="G115" s="33" t="s">
        <v>86</v>
      </c>
      <c r="H115" s="25">
        <f t="array" ref="H115">IFERROR(INDEX(Agenda!AA:AA,MATCH(1,('Lançamentos- Credito Débito'!E115=Agenda!C:C)*('Lançamentos- Credito Débito'!F115=Agenda!I:I),0)),"")</f>
        <v>8.5595768115309667E-4</v>
      </c>
      <c r="I115">
        <f t="shared" si="11"/>
        <v>31</v>
      </c>
      <c r="J115" s="35">
        <f t="shared" si="12"/>
        <v>2.6878212580864425E-2</v>
      </c>
      <c r="K115" s="40">
        <f t="array" ref="K115">INDEX(Agenda!AB:AB,MATCH(1,('Lançamentos- Credito Débito'!E115=Agenda!C:C)*('Lançamentos- Credito Débito'!F115=Agenda!I:I),0))</f>
        <v>0.73995333061513702</v>
      </c>
      <c r="L115" s="36">
        <f t="shared" si="13"/>
        <v>0</v>
      </c>
      <c r="M115" s="36">
        <f t="shared" si="14"/>
        <v>0</v>
      </c>
      <c r="N115" s="1">
        <f t="shared" si="15"/>
        <v>52510.228607667319</v>
      </c>
      <c r="O115" s="81">
        <f t="array" ref="O115">IF(OR(G115="Amortization",G115="Fim de Mês"),(1+J115)*N115-D115,-INDEX(Agenda!J:J,MATCH(1,('Lançamentos- Credito Débito'!E115=Agenda!C:C)*('Lançamentos- Credito Débito'!G115=Agenda!G:G),0)))</f>
        <v>53921.609694853993</v>
      </c>
      <c r="P115" s="44">
        <f t="shared" si="16"/>
        <v>1411.3810871866708</v>
      </c>
      <c r="Q115" s="64">
        <f t="shared" si="17"/>
        <v>53921.609694853993</v>
      </c>
      <c r="R115" s="14">
        <f t="array" ref="R115">IF(F115="","",INDEX(Agenda!L:L,MATCH(1,('Lançamentos- Credito Débito'!E115=Agenda!C:C)*('Lançamentos- Credito Débito'!F115=Agenda!I:I),0)))</f>
        <v>50397.4</v>
      </c>
      <c r="S115" s="14">
        <f t="shared" si="18"/>
        <v>0</v>
      </c>
      <c r="T115" s="14">
        <f t="shared" si="19"/>
        <v>50397.4</v>
      </c>
      <c r="U115" s="62">
        <f t="shared" si="20"/>
        <v>68108.89</v>
      </c>
      <c r="V115" s="78">
        <f t="shared" si="21"/>
        <v>0</v>
      </c>
    </row>
    <row r="116" spans="1:22" customFormat="1" x14ac:dyDescent="0.25">
      <c r="A116" s="45">
        <v>44074</v>
      </c>
      <c r="B116" s="33" t="s">
        <v>63</v>
      </c>
      <c r="C116" s="33" t="s">
        <v>34</v>
      </c>
      <c r="D116" s="34">
        <v>0</v>
      </c>
      <c r="E116" s="33" t="s">
        <v>13</v>
      </c>
      <c r="F116" s="30">
        <v>44316</v>
      </c>
      <c r="G116" s="33" t="s">
        <v>86</v>
      </c>
      <c r="H116" s="25">
        <f t="array" ref="H116">IFERROR(INDEX(Agenda!AA:AA,MATCH(1,('Lançamentos- Credito Débito'!E116=Agenda!C:C)*('Lançamentos- Credito Débito'!F116=Agenda!I:I),0)),"")</f>
        <v>8.5595768115309667E-4</v>
      </c>
      <c r="I116">
        <f t="shared" si="11"/>
        <v>31</v>
      </c>
      <c r="J116" s="35">
        <f t="shared" si="12"/>
        <v>2.6878212580864425E-2</v>
      </c>
      <c r="K116" s="40">
        <f t="array" ref="K116">INDEX(Agenda!AB:AB,MATCH(1,('Lançamentos- Credito Débito'!E116=Agenda!C:C)*('Lançamentos- Credito Débito'!F116=Agenda!I:I),0))</f>
        <v>0.73995333061513702</v>
      </c>
      <c r="L116" s="36">
        <f t="shared" si="13"/>
        <v>0</v>
      </c>
      <c r="M116" s="36">
        <f t="shared" si="14"/>
        <v>0</v>
      </c>
      <c r="N116" s="1">
        <f t="shared" si="15"/>
        <v>53921.609694853993</v>
      </c>
      <c r="O116" s="81">
        <f t="array" ref="O116">IF(OR(G116="Amortization",G116="Fim de Mês"),(1+J116)*N116-D116,-INDEX(Agenda!J:J,MATCH(1,('Lançamentos- Credito Débito'!E116=Agenda!C:C)*('Lançamentos- Credito Débito'!G116=Agenda!G:G),0)))</f>
        <v>55370.92618293468</v>
      </c>
      <c r="P116" s="44">
        <f t="shared" si="16"/>
        <v>1449.3164880806858</v>
      </c>
      <c r="Q116" s="64">
        <f t="shared" si="17"/>
        <v>55370.92618293468</v>
      </c>
      <c r="R116" s="14">
        <f t="array" ref="R116">IF(F116="","",INDEX(Agenda!L:L,MATCH(1,('Lançamentos- Credito Débito'!E116=Agenda!C:C)*('Lançamentos- Credito Débito'!F116=Agenda!I:I),0)))</f>
        <v>50397.4</v>
      </c>
      <c r="S116" s="14">
        <f t="shared" si="18"/>
        <v>0</v>
      </c>
      <c r="T116" s="14">
        <f t="shared" si="19"/>
        <v>50397.4</v>
      </c>
      <c r="U116" s="62">
        <f t="shared" si="20"/>
        <v>68108.89</v>
      </c>
      <c r="V116" s="78">
        <f t="shared" si="21"/>
        <v>0</v>
      </c>
    </row>
    <row r="117" spans="1:22" customFormat="1" x14ac:dyDescent="0.25">
      <c r="A117" s="45">
        <v>44104</v>
      </c>
      <c r="B117" s="33" t="s">
        <v>63</v>
      </c>
      <c r="C117" s="33" t="s">
        <v>34</v>
      </c>
      <c r="D117" s="34">
        <v>0</v>
      </c>
      <c r="E117" s="33" t="s">
        <v>13</v>
      </c>
      <c r="F117" s="30">
        <v>44316</v>
      </c>
      <c r="G117" s="33" t="s">
        <v>86</v>
      </c>
      <c r="H117" s="25">
        <f t="array" ref="H117">IFERROR(INDEX(Agenda!AA:AA,MATCH(1,('Lançamentos- Credito Débito'!E117=Agenda!C:C)*('Lançamentos- Credito Débito'!F117=Agenda!I:I),0)),"")</f>
        <v>8.5595768115309667E-4</v>
      </c>
      <c r="I117">
        <f t="shared" si="11"/>
        <v>30</v>
      </c>
      <c r="J117" s="35">
        <f t="shared" si="12"/>
        <v>2.6000000000001577E-2</v>
      </c>
      <c r="K117" s="40">
        <f t="array" ref="K117">INDEX(Agenda!AB:AB,MATCH(1,('Lançamentos- Credito Débito'!E117=Agenda!C:C)*('Lançamentos- Credito Débito'!F117=Agenda!I:I),0))</f>
        <v>0.73995333061513702</v>
      </c>
      <c r="L117" s="36">
        <f t="shared" si="13"/>
        <v>0</v>
      </c>
      <c r="M117" s="36">
        <f t="shared" si="14"/>
        <v>0</v>
      </c>
      <c r="N117" s="1">
        <f t="shared" si="15"/>
        <v>55370.92618293468</v>
      </c>
      <c r="O117" s="81">
        <f t="array" ref="O117">IF(OR(G117="Amortization",G117="Fim de Mês"),(1+J117)*N117-D117,-INDEX(Agenda!J:J,MATCH(1,('Lançamentos- Credito Débito'!E117=Agenda!C:C)*('Lançamentos- Credito Débito'!G117=Agenda!G:G),0)))</f>
        <v>56810.570263691072</v>
      </c>
      <c r="P117" s="44">
        <f t="shared" si="16"/>
        <v>1439.644080756389</v>
      </c>
      <c r="Q117" s="64">
        <f t="shared" si="17"/>
        <v>56810.570263691072</v>
      </c>
      <c r="R117" s="14">
        <f t="array" ref="R117">IF(F117="","",INDEX(Agenda!L:L,MATCH(1,('Lançamentos- Credito Débito'!E117=Agenda!C:C)*('Lançamentos- Credito Débito'!F117=Agenda!I:I),0)))</f>
        <v>50397.4</v>
      </c>
      <c r="S117" s="14">
        <f t="shared" si="18"/>
        <v>0</v>
      </c>
      <c r="T117" s="14">
        <f t="shared" si="19"/>
        <v>50397.4</v>
      </c>
      <c r="U117" s="62">
        <f t="shared" si="20"/>
        <v>68108.89</v>
      </c>
      <c r="V117" s="78">
        <f t="shared" si="21"/>
        <v>0</v>
      </c>
    </row>
    <row r="118" spans="1:22" customFormat="1" x14ac:dyDescent="0.25">
      <c r="A118" s="45">
        <v>44135</v>
      </c>
      <c r="B118" s="33" t="s">
        <v>63</v>
      </c>
      <c r="C118" s="33" t="s">
        <v>34</v>
      </c>
      <c r="D118" s="34">
        <v>0</v>
      </c>
      <c r="E118" s="33" t="s">
        <v>13</v>
      </c>
      <c r="F118" s="30">
        <v>44316</v>
      </c>
      <c r="G118" s="33" t="s">
        <v>86</v>
      </c>
      <c r="H118" s="25">
        <f t="array" ref="H118">IFERROR(INDEX(Agenda!AA:AA,MATCH(1,('Lançamentos- Credito Débito'!E118=Agenda!C:C)*('Lançamentos- Credito Débito'!F118=Agenda!I:I),0)),"")</f>
        <v>8.5595768115309667E-4</v>
      </c>
      <c r="I118">
        <f t="shared" si="11"/>
        <v>31</v>
      </c>
      <c r="J118" s="35">
        <f t="shared" si="12"/>
        <v>2.6878212580864425E-2</v>
      </c>
      <c r="K118" s="40">
        <f t="array" ref="K118">INDEX(Agenda!AB:AB,MATCH(1,('Lançamentos- Credito Débito'!E118=Agenda!C:C)*('Lançamentos- Credito Débito'!F118=Agenda!I:I),0))</f>
        <v>0.73995333061513702</v>
      </c>
      <c r="L118" s="36">
        <f t="shared" si="13"/>
        <v>0</v>
      </c>
      <c r="M118" s="36">
        <f t="shared" si="14"/>
        <v>0</v>
      </c>
      <c r="N118" s="1">
        <f t="shared" si="15"/>
        <v>56810.570263691072</v>
      </c>
      <c r="O118" s="81">
        <f t="array" ref="O118">IF(OR(G118="Amortization",G118="Fim de Mês"),(1+J118)*N118-D118,-INDEX(Agenda!J:J,MATCH(1,('Lançamentos- Credito Débito'!E118=Agenda!C:C)*('Lançamentos- Credito Débito'!G118=Agenda!G:G),0)))</f>
        <v>58337.536848078693</v>
      </c>
      <c r="P118" s="44">
        <f t="shared" si="16"/>
        <v>1526.9665843876237</v>
      </c>
      <c r="Q118" s="64">
        <f t="shared" si="17"/>
        <v>58337.536848078693</v>
      </c>
      <c r="R118" s="14">
        <f t="array" ref="R118">IF(F118="","",INDEX(Agenda!L:L,MATCH(1,('Lançamentos- Credito Débito'!E118=Agenda!C:C)*('Lançamentos- Credito Débito'!F118=Agenda!I:I),0)))</f>
        <v>50397.4</v>
      </c>
      <c r="S118" s="14">
        <f t="shared" si="18"/>
        <v>0</v>
      </c>
      <c r="T118" s="14">
        <f t="shared" si="19"/>
        <v>50397.4</v>
      </c>
      <c r="U118" s="62">
        <f t="shared" si="20"/>
        <v>68108.89</v>
      </c>
      <c r="V118" s="78">
        <f t="shared" si="21"/>
        <v>0</v>
      </c>
    </row>
    <row r="119" spans="1:22" customFormat="1" x14ac:dyDescent="0.25">
      <c r="A119" s="45">
        <v>44165</v>
      </c>
      <c r="B119" s="33" t="s">
        <v>63</v>
      </c>
      <c r="C119" s="33" t="s">
        <v>34</v>
      </c>
      <c r="D119" s="34">
        <v>0</v>
      </c>
      <c r="E119" s="33" t="s">
        <v>13</v>
      </c>
      <c r="F119" s="30">
        <v>44316</v>
      </c>
      <c r="G119" s="33" t="s">
        <v>86</v>
      </c>
      <c r="H119" s="25">
        <f t="array" ref="H119">IFERROR(INDEX(Agenda!AA:AA,MATCH(1,('Lançamentos- Credito Débito'!E119=Agenda!C:C)*('Lançamentos- Credito Débito'!F119=Agenda!I:I),0)),"")</f>
        <v>8.5595768115309667E-4</v>
      </c>
      <c r="I119">
        <f t="shared" si="11"/>
        <v>30</v>
      </c>
      <c r="J119" s="35">
        <f t="shared" si="12"/>
        <v>2.6000000000001577E-2</v>
      </c>
      <c r="K119" s="40">
        <f t="array" ref="K119">INDEX(Agenda!AB:AB,MATCH(1,('Lançamentos- Credito Débito'!E119=Agenda!C:C)*('Lançamentos- Credito Débito'!F119=Agenda!I:I),0))</f>
        <v>0.73995333061513702</v>
      </c>
      <c r="L119" s="36">
        <f t="shared" si="13"/>
        <v>0</v>
      </c>
      <c r="M119" s="36">
        <f t="shared" si="14"/>
        <v>0</v>
      </c>
      <c r="N119" s="1">
        <f t="shared" si="15"/>
        <v>58337.536848078693</v>
      </c>
      <c r="O119" s="81">
        <f t="array" ref="O119">IF(OR(G119="Amortization",G119="Fim de Mês"),(1+J119)*N119-D119,-INDEX(Agenda!J:J,MATCH(1,('Lançamentos- Credito Débito'!E119=Agenda!C:C)*('Lançamentos- Credito Débito'!G119=Agenda!G:G),0)))</f>
        <v>59854.31280612883</v>
      </c>
      <c r="P119" s="44">
        <f t="shared" si="16"/>
        <v>1516.7759580501381</v>
      </c>
      <c r="Q119" s="64">
        <f t="shared" si="17"/>
        <v>59854.31280612883</v>
      </c>
      <c r="R119" s="14">
        <f t="array" ref="R119">IF(F119="","",INDEX(Agenda!L:L,MATCH(1,('Lançamentos- Credito Débito'!E119=Agenda!C:C)*('Lançamentos- Credito Débito'!F119=Agenda!I:I),0)))</f>
        <v>50397.4</v>
      </c>
      <c r="S119" s="14">
        <f t="shared" si="18"/>
        <v>0</v>
      </c>
      <c r="T119" s="14">
        <f t="shared" si="19"/>
        <v>50397.4</v>
      </c>
      <c r="U119" s="62">
        <f t="shared" si="20"/>
        <v>68108.89</v>
      </c>
      <c r="V119" s="78">
        <f t="shared" si="21"/>
        <v>0</v>
      </c>
    </row>
    <row r="120" spans="1:22" customFormat="1" x14ac:dyDescent="0.25">
      <c r="A120" s="45">
        <v>44196</v>
      </c>
      <c r="B120" s="33" t="s">
        <v>63</v>
      </c>
      <c r="C120" s="33" t="s">
        <v>34</v>
      </c>
      <c r="D120" s="34">
        <v>0</v>
      </c>
      <c r="E120" s="33" t="s">
        <v>13</v>
      </c>
      <c r="F120" s="30">
        <v>44316</v>
      </c>
      <c r="G120" s="33" t="s">
        <v>86</v>
      </c>
      <c r="H120" s="25">
        <f t="array" ref="H120">IFERROR(INDEX(Agenda!AA:AA,MATCH(1,('Lançamentos- Credito Débito'!E120=Agenda!C:C)*('Lançamentos- Credito Débito'!F120=Agenda!I:I),0)),"")</f>
        <v>8.5595768115309667E-4</v>
      </c>
      <c r="I120">
        <f t="shared" si="11"/>
        <v>31</v>
      </c>
      <c r="J120" s="35">
        <f t="shared" si="12"/>
        <v>2.6878212580864425E-2</v>
      </c>
      <c r="K120" s="40">
        <f t="array" ref="K120">INDEX(Agenda!AB:AB,MATCH(1,('Lançamentos- Credito Débito'!E120=Agenda!C:C)*('Lançamentos- Credito Débito'!F120=Agenda!I:I),0))</f>
        <v>0.73995333061513702</v>
      </c>
      <c r="L120" s="36">
        <f t="shared" si="13"/>
        <v>0</v>
      </c>
      <c r="M120" s="36">
        <f t="shared" si="14"/>
        <v>0</v>
      </c>
      <c r="N120" s="1">
        <f t="shared" si="15"/>
        <v>59854.31280612883</v>
      </c>
      <c r="O120" s="81">
        <f t="array" ref="O120">IF(OR(G120="Amortization",G120="Fim de Mês"),(1+J120)*N120-D120,-INDEX(Agenda!J:J,MATCH(1,('Lançamentos- Credito Débito'!E120=Agenda!C:C)*('Lançamentos- Credito Débito'!G120=Agenda!G:G),0)))</f>
        <v>61463.089749613515</v>
      </c>
      <c r="P120" s="44">
        <f t="shared" si="16"/>
        <v>1608.7769434846866</v>
      </c>
      <c r="Q120" s="64">
        <f t="shared" si="17"/>
        <v>61463.089749613515</v>
      </c>
      <c r="R120" s="14">
        <f t="array" ref="R120">IF(F120="","",INDEX(Agenda!L:L,MATCH(1,('Lançamentos- Credito Débito'!E120=Agenda!C:C)*('Lançamentos- Credito Débito'!F120=Agenda!I:I),0)))</f>
        <v>50397.4</v>
      </c>
      <c r="S120" s="14">
        <f t="shared" si="18"/>
        <v>0</v>
      </c>
      <c r="T120" s="14">
        <f t="shared" si="19"/>
        <v>50397.4</v>
      </c>
      <c r="U120" s="62">
        <f t="shared" si="20"/>
        <v>68108.89</v>
      </c>
      <c r="V120" s="78">
        <f t="shared" si="21"/>
        <v>0</v>
      </c>
    </row>
    <row r="121" spans="1:22" customFormat="1" x14ac:dyDescent="0.25">
      <c r="A121" s="45">
        <v>44227</v>
      </c>
      <c r="B121" s="33" t="s">
        <v>63</v>
      </c>
      <c r="C121" s="33" t="s">
        <v>34</v>
      </c>
      <c r="D121" s="34">
        <v>0</v>
      </c>
      <c r="E121" s="33" t="s">
        <v>13</v>
      </c>
      <c r="F121" s="30">
        <v>44316</v>
      </c>
      <c r="G121" s="33" t="s">
        <v>86</v>
      </c>
      <c r="H121" s="25">
        <f t="array" ref="H121">IFERROR(INDEX(Agenda!AA:AA,MATCH(1,('Lançamentos- Credito Débito'!E121=Agenda!C:C)*('Lançamentos- Credito Débito'!F121=Agenda!I:I),0)),"")</f>
        <v>8.5595768115309667E-4</v>
      </c>
      <c r="I121">
        <f t="shared" si="11"/>
        <v>31</v>
      </c>
      <c r="J121" s="35">
        <f t="shared" si="12"/>
        <v>2.6878212580864425E-2</v>
      </c>
      <c r="K121" s="40">
        <f t="array" ref="K121">INDEX(Agenda!AB:AB,MATCH(1,('Lançamentos- Credito Débito'!E121=Agenda!C:C)*('Lançamentos- Credito Débito'!F121=Agenda!I:I),0))</f>
        <v>0.73995333061513702</v>
      </c>
      <c r="L121" s="36">
        <f t="shared" si="13"/>
        <v>0</v>
      </c>
      <c r="M121" s="36">
        <f t="shared" si="14"/>
        <v>0</v>
      </c>
      <c r="N121" s="1">
        <f t="shared" si="15"/>
        <v>61463.089749613515</v>
      </c>
      <c r="O121" s="81">
        <f t="array" ref="O121">IF(OR(G121="Amortization",G121="Fim de Mês"),(1+J121)*N121-D121,-INDEX(Agenda!J:J,MATCH(1,('Lançamentos- Credito Débito'!E121=Agenda!C:C)*('Lançamentos- Credito Débito'!G121=Agenda!G:G),0)))</f>
        <v>63115.107741780375</v>
      </c>
      <c r="P121" s="44">
        <f t="shared" si="16"/>
        <v>1652.0179921668612</v>
      </c>
      <c r="Q121" s="64">
        <f t="shared" si="17"/>
        <v>63115.107741780375</v>
      </c>
      <c r="R121" s="14">
        <f t="array" ref="R121">IF(F121="","",INDEX(Agenda!L:L,MATCH(1,('Lançamentos- Credito Débito'!E121=Agenda!C:C)*('Lançamentos- Credito Débito'!F121=Agenda!I:I),0)))</f>
        <v>50397.4</v>
      </c>
      <c r="S121" s="14">
        <f t="shared" si="18"/>
        <v>0</v>
      </c>
      <c r="T121" s="14">
        <f t="shared" si="19"/>
        <v>50397.4</v>
      </c>
      <c r="U121" s="62">
        <f t="shared" si="20"/>
        <v>68108.89</v>
      </c>
      <c r="V121" s="78">
        <f t="shared" si="21"/>
        <v>0</v>
      </c>
    </row>
    <row r="122" spans="1:22" customFormat="1" x14ac:dyDescent="0.25">
      <c r="A122" s="45">
        <v>44255</v>
      </c>
      <c r="B122" s="33" t="s">
        <v>63</v>
      </c>
      <c r="C122" s="33" t="s">
        <v>34</v>
      </c>
      <c r="D122" s="34">
        <v>0</v>
      </c>
      <c r="E122" s="33" t="s">
        <v>13</v>
      </c>
      <c r="F122" s="30">
        <v>44316</v>
      </c>
      <c r="G122" s="33" t="s">
        <v>86</v>
      </c>
      <c r="H122" s="25">
        <f t="array" ref="H122">IFERROR(INDEX(Agenda!AA:AA,MATCH(1,('Lançamentos- Credito Débito'!E122=Agenda!C:C)*('Lançamentos- Credito Débito'!F122=Agenda!I:I),0)),"")</f>
        <v>8.5595768115309667E-4</v>
      </c>
      <c r="I122">
        <f t="shared" si="11"/>
        <v>28</v>
      </c>
      <c r="J122" s="35">
        <f t="shared" si="12"/>
        <v>2.4245827405701803E-2</v>
      </c>
      <c r="K122" s="40">
        <f t="array" ref="K122">INDEX(Agenda!AB:AB,MATCH(1,('Lançamentos- Credito Débito'!E122=Agenda!C:C)*('Lançamentos- Credito Débito'!F122=Agenda!I:I),0))</f>
        <v>0.73995333061513702</v>
      </c>
      <c r="L122" s="36">
        <f t="shared" si="13"/>
        <v>0</v>
      </c>
      <c r="M122" s="36">
        <f t="shared" si="14"/>
        <v>0</v>
      </c>
      <c r="N122" s="1">
        <f t="shared" si="15"/>
        <v>63115.107741780375</v>
      </c>
      <c r="O122" s="81">
        <f t="array" ref="O122">IF(OR(G122="Amortization",G122="Fim de Mês"),(1+J122)*N122-D122,-INDEX(Agenda!J:J,MATCH(1,('Lançamentos- Credito Débito'!E122=Agenda!C:C)*('Lançamentos- Credito Débito'!G122=Agenda!G:G),0)))</f>
        <v>64645.385750779853</v>
      </c>
      <c r="P122" s="44">
        <f t="shared" si="16"/>
        <v>1530.2780089994806</v>
      </c>
      <c r="Q122" s="64">
        <f t="shared" si="17"/>
        <v>64645.385750779853</v>
      </c>
      <c r="R122" s="14">
        <f t="array" ref="R122">IF(F122="","",INDEX(Agenda!L:L,MATCH(1,('Lançamentos- Credito Débito'!E122=Agenda!C:C)*('Lançamentos- Credito Débito'!F122=Agenda!I:I),0)))</f>
        <v>50397.4</v>
      </c>
      <c r="S122" s="14">
        <f t="shared" si="18"/>
        <v>0</v>
      </c>
      <c r="T122" s="14">
        <f t="shared" si="19"/>
        <v>50397.4</v>
      </c>
      <c r="U122" s="62">
        <f t="shared" si="20"/>
        <v>68108.89</v>
      </c>
      <c r="V122" s="78">
        <f t="shared" si="21"/>
        <v>0</v>
      </c>
    </row>
    <row r="123" spans="1:22" customFormat="1" x14ac:dyDescent="0.25">
      <c r="A123" s="45">
        <v>44286</v>
      </c>
      <c r="B123" s="33" t="s">
        <v>63</v>
      </c>
      <c r="C123" s="33" t="s">
        <v>34</v>
      </c>
      <c r="D123" s="34">
        <v>0</v>
      </c>
      <c r="E123" s="33" t="s">
        <v>13</v>
      </c>
      <c r="F123" s="30">
        <v>44316</v>
      </c>
      <c r="G123" s="33" t="s">
        <v>86</v>
      </c>
      <c r="H123" s="25">
        <f t="array" ref="H123">IFERROR(INDEX(Agenda!AA:AA,MATCH(1,('Lançamentos- Credito Débito'!E123=Agenda!C:C)*('Lançamentos- Credito Débito'!F123=Agenda!I:I),0)),"")</f>
        <v>8.5595768115309667E-4</v>
      </c>
      <c r="I123">
        <f t="shared" si="11"/>
        <v>31</v>
      </c>
      <c r="J123" s="35">
        <f t="shared" si="12"/>
        <v>2.6878212580864425E-2</v>
      </c>
      <c r="K123" s="40">
        <f t="array" ref="K123">INDEX(Agenda!AB:AB,MATCH(1,('Lançamentos- Credito Débito'!E123=Agenda!C:C)*('Lançamentos- Credito Débito'!F123=Agenda!I:I),0))</f>
        <v>0.73995333061513702</v>
      </c>
      <c r="L123" s="36">
        <f t="shared" si="13"/>
        <v>0</v>
      </c>
      <c r="M123" s="36">
        <f t="shared" si="14"/>
        <v>0</v>
      </c>
      <c r="N123" s="1">
        <f t="shared" si="15"/>
        <v>64645.385750779853</v>
      </c>
      <c r="O123" s="81">
        <f t="array" ref="O123">IF(OR(G123="Amortization",G123="Fim de Mês"),(1+J123)*N123-D123,-INDEX(Agenda!J:J,MATCH(1,('Lançamentos- Credito Débito'!E123=Agenda!C:C)*('Lançamentos- Credito Débito'!G123=Agenda!G:G),0)))</f>
        <v>66382.938171361297</v>
      </c>
      <c r="P123" s="44">
        <f t="shared" si="16"/>
        <v>1737.5524205814449</v>
      </c>
      <c r="Q123" s="64">
        <f t="shared" si="17"/>
        <v>66382.938171361297</v>
      </c>
      <c r="R123" s="14">
        <f t="array" ref="R123">IF(F123="","",INDEX(Agenda!L:L,MATCH(1,('Lançamentos- Credito Débito'!E123=Agenda!C:C)*('Lançamentos- Credito Débito'!F123=Agenda!I:I),0)))</f>
        <v>50397.4</v>
      </c>
      <c r="S123" s="14">
        <f t="shared" si="18"/>
        <v>0</v>
      </c>
      <c r="T123" s="14">
        <f t="shared" si="19"/>
        <v>50397.4</v>
      </c>
      <c r="U123" s="62">
        <f t="shared" si="20"/>
        <v>68108.89</v>
      </c>
      <c r="V123" s="78">
        <f t="shared" si="21"/>
        <v>0</v>
      </c>
    </row>
    <row r="124" spans="1:22" customFormat="1" x14ac:dyDescent="0.25">
      <c r="A124" s="30">
        <v>44316</v>
      </c>
      <c r="B124" s="33" t="s">
        <v>63</v>
      </c>
      <c r="C124" s="33" t="s">
        <v>34</v>
      </c>
      <c r="D124" s="34">
        <v>68108.89</v>
      </c>
      <c r="E124" s="33" t="s">
        <v>13</v>
      </c>
      <c r="F124" s="30">
        <v>44316</v>
      </c>
      <c r="G124" s="33" t="s">
        <v>51</v>
      </c>
      <c r="H124" s="25">
        <f t="array" ref="H124">IFERROR(INDEX(Agenda!AA:AA,MATCH(1,('Lançamentos- Credito Débito'!E124=Agenda!C:C)*('Lançamentos- Credito Débito'!F124=Agenda!I:I),0)),"")</f>
        <v>8.5595768115309667E-4</v>
      </c>
      <c r="I124">
        <f t="shared" si="11"/>
        <v>30</v>
      </c>
      <c r="J124" s="35">
        <f t="shared" si="12"/>
        <v>2.6000000000001577E-2</v>
      </c>
      <c r="K124" s="40">
        <f t="array" ref="K124">INDEX(Agenda!AB:AB,MATCH(1,('Lançamentos- Credito Débito'!E124=Agenda!C:C)*('Lançamentos- Credito Débito'!F124=Agenda!I:I),0))</f>
        <v>0.73995333061513702</v>
      </c>
      <c r="L124" s="36">
        <f t="shared" si="13"/>
        <v>50397.4</v>
      </c>
      <c r="M124" s="36">
        <f t="shared" si="14"/>
        <v>17711.490000000002</v>
      </c>
      <c r="N124" s="1">
        <f t="shared" si="15"/>
        <v>66382.938171361297</v>
      </c>
      <c r="O124" s="81">
        <f t="array" ref="O124">IF(OR(G124="Amortization",G124="Fim de Mês"),(1+J124)*N124-D124,-INDEX(Agenda!J:J,MATCH(1,('Lançamentos- Credito Débito'!E124=Agenda!C:C)*('Lançamentos- Credito Débito'!G124=Agenda!G:G),0)))</f>
        <v>4.5638167939614505E-3</v>
      </c>
      <c r="P124" s="44">
        <f t="shared" si="16"/>
        <v>1725.9563924554984</v>
      </c>
      <c r="Q124" s="64">
        <f t="shared" si="17"/>
        <v>68108.894563816793</v>
      </c>
      <c r="R124" s="14">
        <f t="array" ref="R124">IF(F124="","",INDEX(Agenda!L:L,MATCH(1,('Lançamentos- Credito Débito'!E124=Agenda!C:C)*('Lançamentos- Credito Débito'!F124=Agenda!I:I),0)))</f>
        <v>50397.4</v>
      </c>
      <c r="S124" s="14">
        <f t="shared" si="18"/>
        <v>50397.4</v>
      </c>
      <c r="T124" s="14">
        <f t="shared" si="19"/>
        <v>0</v>
      </c>
      <c r="U124" s="62">
        <f t="shared" si="20"/>
        <v>0</v>
      </c>
      <c r="V124" s="78">
        <f t="shared" si="21"/>
        <v>0</v>
      </c>
    </row>
    <row r="125" spans="1:22" customFormat="1" x14ac:dyDescent="0.25">
      <c r="A125" s="45">
        <v>43964</v>
      </c>
      <c r="B125" s="33" t="s">
        <v>22</v>
      </c>
      <c r="C125" s="33" t="s">
        <v>63</v>
      </c>
      <c r="D125" s="34">
        <v>187596.9</v>
      </c>
      <c r="E125" s="33" t="s">
        <v>11</v>
      </c>
      <c r="F125" s="33"/>
      <c r="G125" s="33" t="s">
        <v>50</v>
      </c>
      <c r="H125" s="25" t="str">
        <f t="array" ref="H125">IFERROR(INDEX(Agenda!AA:AA,MATCH(1,('Lançamentos- Credito Débito'!E125=Agenda!C:C)*('Lançamentos- Credito Débito'!F125=Agenda!I:I),0)),"")</f>
        <v/>
      </c>
      <c r="I125" t="str">
        <f t="shared" si="11"/>
        <v/>
      </c>
      <c r="J125" s="35" t="str">
        <f t="shared" si="12"/>
        <v/>
      </c>
      <c r="K125" s="40" t="e">
        <f t="array" ref="K125">INDEX(Agenda!AB:AB,MATCH(1,('Lançamentos- Credito Débito'!E125=Agenda!C:C)*('Lançamentos- Credito Débito'!F125=Agenda!I:I),0))</f>
        <v>#N/A</v>
      </c>
      <c r="L125" s="36" t="str">
        <f t="shared" si="13"/>
        <v/>
      </c>
      <c r="M125" s="36" t="str">
        <f t="shared" si="14"/>
        <v/>
      </c>
      <c r="N125" s="1" t="str">
        <f t="shared" si="15"/>
        <v/>
      </c>
      <c r="O125" s="81">
        <f t="array" ref="O125">IF(OR(G125="Amortization",G125="Fim de Mês"),(1+J125)*N125-D125,-INDEX(Agenda!J:J,MATCH(1,('Lançamentos- Credito Débito'!E125=Agenda!C:C)*('Lançamentos- Credito Débito'!G125=Agenda!G:G),0)))</f>
        <v>187596.9</v>
      </c>
      <c r="P125" s="44" t="str">
        <f t="shared" si="16"/>
        <v/>
      </c>
      <c r="Q125" s="64" t="str">
        <f t="shared" si="17"/>
        <v/>
      </c>
      <c r="R125" s="14" t="str">
        <f t="array" ref="R125">IF(F125="","",INDEX(Agenda!L:L,MATCH(1,('Lançamentos- Credito Débito'!E125=Agenda!C:C)*('Lançamentos- Credito Débito'!F125=Agenda!I:I),0)))</f>
        <v/>
      </c>
      <c r="S125" s="14" t="str">
        <f t="shared" si="18"/>
        <v/>
      </c>
      <c r="T125" s="14" t="str">
        <f t="shared" si="19"/>
        <v/>
      </c>
      <c r="U125" s="62" t="str">
        <f t="shared" si="20"/>
        <v/>
      </c>
      <c r="V125" s="78" t="str">
        <f t="shared" si="21"/>
        <v/>
      </c>
    </row>
    <row r="126" spans="1:22" customFormat="1" x14ac:dyDescent="0.25">
      <c r="A126" s="45">
        <v>43971</v>
      </c>
      <c r="B126" s="33" t="s">
        <v>63</v>
      </c>
      <c r="C126" s="33" t="s">
        <v>22</v>
      </c>
      <c r="D126" s="34">
        <v>17699.580000000002</v>
      </c>
      <c r="E126" s="33" t="s">
        <v>11</v>
      </c>
      <c r="F126" s="30">
        <v>43971</v>
      </c>
      <c r="G126" s="33" t="s">
        <v>51</v>
      </c>
      <c r="H126" s="25">
        <f t="array" ref="H126">IFERROR(INDEX(Agenda!AA:AA,MATCH(1,('Lançamentos- Credito Débito'!E126=Agenda!C:C)*('Lançamentos- Credito Débito'!F126=Agenda!I:I),0)),"")</f>
        <v>7.256462133005126E-4</v>
      </c>
      <c r="I126">
        <f t="shared" si="11"/>
        <v>7</v>
      </c>
      <c r="J126" s="35">
        <f t="shared" si="12"/>
        <v>5.0905946872072949E-3</v>
      </c>
      <c r="K126" s="40">
        <f t="array" ref="K126">INDEX(Agenda!AB:AB,MATCH(1,('Lançamentos- Credito Débito'!E126=Agenda!C:C)*('Lançamentos- Credito Débito'!F126=Agenda!I:I),0))</f>
        <v>0.94604504739660467</v>
      </c>
      <c r="L126" s="36">
        <f t="shared" si="13"/>
        <v>16744.599999999999</v>
      </c>
      <c r="M126" s="36">
        <f t="shared" si="14"/>
        <v>954.98000000000411</v>
      </c>
      <c r="N126" s="1">
        <f t="shared" si="15"/>
        <v>187596.9</v>
      </c>
      <c r="O126" s="81">
        <f t="array" ref="O126">IF(OR(G126="Amortization",G126="Fim de Mês"),(1+J126)*N126-D126,-INDEX(Agenda!J:J,MATCH(1,('Lançamentos- Credito Débito'!E126=Agenda!C:C)*('Lançamentos- Credito Débito'!G126=Agenda!G:G),0)))</f>
        <v>170852.29978247656</v>
      </c>
      <c r="P126" s="44">
        <f t="shared" si="16"/>
        <v>954.97978247655817</v>
      </c>
      <c r="Q126" s="64">
        <f t="shared" si="17"/>
        <v>188551.87978247655</v>
      </c>
      <c r="R126" s="14">
        <f t="array" ref="R126">IF(F126="","",INDEX(Agenda!L:L,MATCH(1,('Lançamentos- Credito Débito'!E126=Agenda!C:C)*('Lançamentos- Credito Débito'!F126=Agenda!I:I),0)))</f>
        <v>16744.599999999999</v>
      </c>
      <c r="S126" s="14">
        <f t="shared" si="18"/>
        <v>16744.599999999999</v>
      </c>
      <c r="T126" s="14">
        <f t="shared" si="19"/>
        <v>0</v>
      </c>
      <c r="U126" s="62">
        <f t="shared" si="20"/>
        <v>0</v>
      </c>
      <c r="V126" s="78">
        <f t="shared" si="21"/>
        <v>0</v>
      </c>
    </row>
    <row r="127" spans="1:22" customFormat="1" x14ac:dyDescent="0.25">
      <c r="A127" s="45">
        <v>43982</v>
      </c>
      <c r="B127" s="33" t="s">
        <v>63</v>
      </c>
      <c r="C127" s="33" t="s">
        <v>22</v>
      </c>
      <c r="D127" s="34"/>
      <c r="E127" s="33" t="s">
        <v>11</v>
      </c>
      <c r="F127" s="30">
        <v>43971</v>
      </c>
      <c r="G127" s="33" t="s">
        <v>86</v>
      </c>
      <c r="H127" s="25">
        <f t="array" ref="H127">IFERROR(INDEX(Agenda!AA:AA,MATCH(1,('Lançamentos- Credito Débito'!E127=Agenda!C:C)*('Lançamentos- Credito Débito'!F127=Agenda!I:I),0)),"")</f>
        <v>7.256462133005126E-4</v>
      </c>
      <c r="I127">
        <f t="shared" si="11"/>
        <v>11</v>
      </c>
      <c r="J127" s="35">
        <f t="shared" si="12"/>
        <v>8.0111324175500265E-3</v>
      </c>
      <c r="K127" s="40">
        <f t="array" ref="K127">INDEX(Agenda!AB:AB,MATCH(1,('Lançamentos- Credito Débito'!E127=Agenda!C:C)*('Lançamentos- Credito Débito'!F127=Agenda!I:I),0))</f>
        <v>0.94604504739660467</v>
      </c>
      <c r="L127" s="36">
        <f t="shared" si="13"/>
        <v>0</v>
      </c>
      <c r="M127" s="36">
        <f t="shared" si="14"/>
        <v>0</v>
      </c>
      <c r="N127" s="1">
        <f t="shared" si="15"/>
        <v>170852.29978247656</v>
      </c>
      <c r="O127" s="81">
        <f t="array" ref="O127">IF(OR(G127="Amortization",G127="Fim de Mês"),(1+J127)*N127-D127,-INDEX(Agenda!J:J,MATCH(1,('Lançamentos- Credito Débito'!E127=Agenda!C:C)*('Lançamentos- Credito Débito'!G127=Agenda!G:G),0)))</f>
        <v>172221.02017987694</v>
      </c>
      <c r="P127" s="44">
        <f t="shared" si="16"/>
        <v>1368.7203974003733</v>
      </c>
      <c r="Q127" s="64">
        <f t="shared" si="17"/>
        <v>172221.02017987694</v>
      </c>
      <c r="R127" s="14">
        <f t="array" ref="R127">IF(F127="","",INDEX(Agenda!L:L,MATCH(1,('Lançamentos- Credito Débito'!E127=Agenda!C:C)*('Lançamentos- Credito Débito'!F127=Agenda!I:I),0)))</f>
        <v>16744.599999999999</v>
      </c>
      <c r="S127" s="14">
        <f t="shared" si="18"/>
        <v>16744.599999999999</v>
      </c>
      <c r="T127" s="14">
        <f t="shared" si="19"/>
        <v>0</v>
      </c>
      <c r="U127" s="62">
        <f t="shared" si="20"/>
        <v>0</v>
      </c>
      <c r="V127" s="78">
        <f t="shared" si="21"/>
        <v>0</v>
      </c>
    </row>
    <row r="128" spans="1:22" customFormat="1" x14ac:dyDescent="0.25">
      <c r="A128" s="45">
        <v>44002</v>
      </c>
      <c r="B128" s="33" t="s">
        <v>63</v>
      </c>
      <c r="C128" s="33" t="s">
        <v>22</v>
      </c>
      <c r="D128" s="34">
        <v>17699.580000000002</v>
      </c>
      <c r="E128" s="33" t="s">
        <v>11</v>
      </c>
      <c r="F128" s="30">
        <v>44002</v>
      </c>
      <c r="G128" s="33" t="s">
        <v>51</v>
      </c>
      <c r="H128" s="25">
        <f t="array" ref="H128">IFERROR(INDEX(Agenda!AA:AA,MATCH(1,('Lançamentos- Credito Débito'!E128=Agenda!C:C)*('Lançamentos- Credito Débito'!F128=Agenda!I:I),0)),"")</f>
        <v>7.256462133005126E-4</v>
      </c>
      <c r="I128">
        <f t="shared" si="11"/>
        <v>20</v>
      </c>
      <c r="J128" s="35">
        <f t="shared" si="12"/>
        <v>1.4613408065360156E-2</v>
      </c>
      <c r="K128" s="40">
        <f t="array" ref="K128">INDEX(Agenda!AB:AB,MATCH(1,('Lançamentos- Credito Débito'!E128=Agenda!C:C)*('Lançamentos- Credito Débito'!F128=Agenda!I:I),0))</f>
        <v>0.7804772768619368</v>
      </c>
      <c r="L128" s="36">
        <f t="shared" si="13"/>
        <v>13814.12</v>
      </c>
      <c r="M128" s="36">
        <f t="shared" si="14"/>
        <v>3885.4600000000009</v>
      </c>
      <c r="N128" s="1">
        <f t="shared" si="15"/>
        <v>172221.02017987694</v>
      </c>
      <c r="O128" s="81">
        <f t="array" ref="O128">IF(OR(G128="Amortization",G128="Fim de Mês"),(1+J128)*N128-D128,-INDEX(Agenda!J:J,MATCH(1,('Lançamentos- Credito Débito'!E128=Agenda!C:C)*('Lançamentos- Credito Débito'!G128=Agenda!G:G),0)))</f>
        <v>157038.17622519808</v>
      </c>
      <c r="P128" s="44">
        <f t="shared" si="16"/>
        <v>2516.7360453211677</v>
      </c>
      <c r="Q128" s="64">
        <f t="shared" si="17"/>
        <v>174737.7562251981</v>
      </c>
      <c r="R128" s="14">
        <f t="array" ref="R128">IF(F128="","",INDEX(Agenda!L:L,MATCH(1,('Lançamentos- Credito Débito'!E128=Agenda!C:C)*('Lançamentos- Credito Débito'!F128=Agenda!I:I),0)))</f>
        <v>13814.12</v>
      </c>
      <c r="S128" s="14">
        <f t="shared" si="18"/>
        <v>13814.12</v>
      </c>
      <c r="T128" s="14">
        <f t="shared" si="19"/>
        <v>0</v>
      </c>
      <c r="U128" s="62">
        <f t="shared" si="20"/>
        <v>0</v>
      </c>
      <c r="V128" s="78">
        <f t="shared" si="21"/>
        <v>0</v>
      </c>
    </row>
    <row r="129" spans="1:22" customFormat="1" x14ac:dyDescent="0.25">
      <c r="A129" s="45">
        <v>44012</v>
      </c>
      <c r="B129" s="33" t="s">
        <v>63</v>
      </c>
      <c r="C129" s="33" t="s">
        <v>22</v>
      </c>
      <c r="D129" s="34"/>
      <c r="E129" s="33" t="s">
        <v>11</v>
      </c>
      <c r="F129" s="30">
        <v>44002</v>
      </c>
      <c r="G129" s="33" t="s">
        <v>86</v>
      </c>
      <c r="H129" s="25">
        <f t="array" ref="H129">IFERROR(INDEX(Agenda!AA:AA,MATCH(1,('Lançamentos- Credito Débito'!E129=Agenda!C:C)*('Lançamentos- Credito Débito'!F129=Agenda!I:I),0)),"")</f>
        <v>7.256462133005126E-4</v>
      </c>
      <c r="I129">
        <f t="shared" si="11"/>
        <v>10</v>
      </c>
      <c r="J129" s="35">
        <f t="shared" si="12"/>
        <v>7.280203352254988E-3</v>
      </c>
      <c r="K129" s="40">
        <f t="array" ref="K129">INDEX(Agenda!AB:AB,MATCH(1,('Lançamentos- Credito Débito'!E129=Agenda!C:C)*('Lançamentos- Credito Débito'!F129=Agenda!I:I),0))</f>
        <v>0.7804772768619368</v>
      </c>
      <c r="L129" s="36">
        <f t="shared" si="13"/>
        <v>0</v>
      </c>
      <c r="M129" s="36">
        <f t="shared" si="14"/>
        <v>0</v>
      </c>
      <c r="N129" s="1">
        <f t="shared" si="15"/>
        <v>157038.17622519808</v>
      </c>
      <c r="O129" s="81">
        <f t="array" ref="O129">IF(OR(G129="Amortization",G129="Fim de Mês"),(1+J129)*N129-D129,-INDEX(Agenda!J:J,MATCH(1,('Lançamentos- Credito Débito'!E129=Agenda!C:C)*('Lançamentos- Credito Débito'!G129=Agenda!G:G),0)))</f>
        <v>158181.44608218479</v>
      </c>
      <c r="P129" s="44">
        <f t="shared" si="16"/>
        <v>1143.2698569866966</v>
      </c>
      <c r="Q129" s="64">
        <f t="shared" si="17"/>
        <v>158181.44608218479</v>
      </c>
      <c r="R129" s="14">
        <f t="array" ref="R129">IF(F129="","",INDEX(Agenda!L:L,MATCH(1,('Lançamentos- Credito Débito'!E129=Agenda!C:C)*('Lançamentos- Credito Débito'!F129=Agenda!I:I),0)))</f>
        <v>13814.12</v>
      </c>
      <c r="S129" s="14">
        <f t="shared" si="18"/>
        <v>13814.12</v>
      </c>
      <c r="T129" s="14">
        <f t="shared" si="19"/>
        <v>0</v>
      </c>
      <c r="U129" s="62">
        <f t="shared" si="20"/>
        <v>0</v>
      </c>
      <c r="V129" s="78">
        <f t="shared" si="21"/>
        <v>0</v>
      </c>
    </row>
    <row r="130" spans="1:22" customFormat="1" x14ac:dyDescent="0.25">
      <c r="A130" s="45">
        <v>44032</v>
      </c>
      <c r="B130" s="33" t="s">
        <v>63</v>
      </c>
      <c r="C130" s="33" t="s">
        <v>22</v>
      </c>
      <c r="D130" s="34">
        <v>17699.580000000002</v>
      </c>
      <c r="E130" s="33" t="s">
        <v>11</v>
      </c>
      <c r="F130" s="30">
        <v>44032</v>
      </c>
      <c r="G130" s="33" t="s">
        <v>51</v>
      </c>
      <c r="H130" s="25">
        <f t="array" ref="H130">IFERROR(INDEX(Agenda!AA:AA,MATCH(1,('Lançamentos- Credito Débito'!E130=Agenda!C:C)*('Lançamentos- Credito Débito'!F130=Agenda!I:I),0)),"")</f>
        <v>7.256462133005126E-4</v>
      </c>
      <c r="I130">
        <f t="shared" si="11"/>
        <v>20</v>
      </c>
      <c r="J130" s="35">
        <f t="shared" si="12"/>
        <v>1.4613408065360156E-2</v>
      </c>
      <c r="K130" s="40">
        <f t="array" ref="K130">INDEX(Agenda!AB:AB,MATCH(1,('Lançamentos- Credito Débito'!E130=Agenda!C:C)*('Lançamentos- Credito Débito'!F130=Agenda!I:I),0))</f>
        <v>0.80480666772883869</v>
      </c>
      <c r="L130" s="36">
        <f t="shared" si="13"/>
        <v>14244.74</v>
      </c>
      <c r="M130" s="36">
        <f t="shared" si="14"/>
        <v>3454.8400000000015</v>
      </c>
      <c r="N130" s="1">
        <f t="shared" si="15"/>
        <v>158181.44608218479</v>
      </c>
      <c r="O130" s="81">
        <f t="array" ref="O130">IF(OR(G130="Amortization",G130="Fim de Mês"),(1+J130)*N130-D130,-INDEX(Agenda!J:J,MATCH(1,('Lançamentos- Credito Débito'!E130=Agenda!C:C)*('Lançamentos- Credito Débito'!G130=Agenda!G:G),0)))</f>
        <v>142793.43610215251</v>
      </c>
      <c r="P130" s="44">
        <f t="shared" si="16"/>
        <v>2311.5700199677317</v>
      </c>
      <c r="Q130" s="64">
        <f t="shared" si="17"/>
        <v>160493.01610215253</v>
      </c>
      <c r="R130" s="14">
        <f t="array" ref="R130">IF(F130="","",INDEX(Agenda!L:L,MATCH(1,('Lançamentos- Credito Débito'!E130=Agenda!C:C)*('Lançamentos- Credito Débito'!F130=Agenda!I:I),0)))</f>
        <v>14244.74</v>
      </c>
      <c r="S130" s="14">
        <f t="shared" si="18"/>
        <v>14244.74</v>
      </c>
      <c r="T130" s="14">
        <f t="shared" si="19"/>
        <v>0</v>
      </c>
      <c r="U130" s="62">
        <f t="shared" si="20"/>
        <v>0</v>
      </c>
      <c r="V130" s="78">
        <f t="shared" si="21"/>
        <v>0</v>
      </c>
    </row>
    <row r="131" spans="1:22" customFormat="1" x14ac:dyDescent="0.25">
      <c r="A131" s="45">
        <v>44043</v>
      </c>
      <c r="B131" s="33" t="s">
        <v>63</v>
      </c>
      <c r="C131" s="33" t="s">
        <v>22</v>
      </c>
      <c r="D131" s="34"/>
      <c r="E131" s="33" t="s">
        <v>11</v>
      </c>
      <c r="F131" s="30">
        <v>44032</v>
      </c>
      <c r="G131" s="33" t="s">
        <v>86</v>
      </c>
      <c r="H131" s="25">
        <f t="array" ref="H131">IFERROR(INDEX(Agenda!AA:AA,MATCH(1,('Lançamentos- Credito Débito'!E131=Agenda!C:C)*('Lançamentos- Credito Débito'!F131=Agenda!I:I),0)),"")</f>
        <v>7.256462133005126E-4</v>
      </c>
      <c r="I131">
        <f t="shared" ref="I131:I194" si="22">IF(OR(G131="Amortization",G131="Fim de Mês"),A131-A130,"")</f>
        <v>11</v>
      </c>
      <c r="J131" s="35">
        <f t="shared" ref="J131:J194" si="23">IFERROR((1+H131)^I131-1,"")</f>
        <v>8.0111324175500265E-3</v>
      </c>
      <c r="K131" s="40">
        <f t="array" ref="K131">INDEX(Agenda!AB:AB,MATCH(1,('Lançamentos- Credito Débito'!E131=Agenda!C:C)*('Lançamentos- Credito Débito'!F131=Agenda!I:I),0))</f>
        <v>0.80480666772883869</v>
      </c>
      <c r="L131" s="36">
        <f t="shared" ref="L131:L194" si="24">IF(OR(G131="Amortization",G131="Fim de Mês"),K131*D131,"")</f>
        <v>0</v>
      </c>
      <c r="M131" s="36">
        <f t="shared" ref="M131:M194" si="25">IF(J131="","",D131*(1-K131))</f>
        <v>0</v>
      </c>
      <c r="N131" s="1">
        <f t="shared" ref="N131:N194" si="26">IF(E131=E130,O130,"")</f>
        <v>142793.43610215251</v>
      </c>
      <c r="O131" s="81">
        <f t="array" ref="O131">IF(OR(G131="Amortization",G131="Fim de Mês"),(1+J131)*N131-D131,-INDEX(Agenda!J:J,MATCH(1,('Lançamentos- Credito Débito'!E131=Agenda!C:C)*('Lançamentos- Credito Débito'!G131=Agenda!G:G),0)))</f>
        <v>143937.37322712381</v>
      </c>
      <c r="P131" s="44">
        <f t="shared" ref="P131:P194" si="27">IF(J131="","",N131*J131)</f>
        <v>1143.9371249713122</v>
      </c>
      <c r="Q131" s="64">
        <f t="shared" ref="Q131:Q194" si="28">IF(N131="","",N131+P131)</f>
        <v>143937.37322712381</v>
      </c>
      <c r="R131" s="14">
        <f t="array" ref="R131">IF(F131="","",INDEX(Agenda!L:L,MATCH(1,('Lançamentos- Credito Débito'!E131=Agenda!C:C)*('Lançamentos- Credito Débito'!F131=Agenda!I:I),0)))</f>
        <v>14244.74</v>
      </c>
      <c r="S131" s="14">
        <f t="shared" ref="S131:S194" si="29">IF(AND(F131=F130,J131&lt;&gt;""),S130+L131,L131)</f>
        <v>14244.74</v>
      </c>
      <c r="T131" s="14">
        <f t="shared" ref="T131:T194" si="30">IF(R131="","",R131-S131)</f>
        <v>0</v>
      </c>
      <c r="U131" s="62">
        <f t="shared" ref="U131:U194" si="31">IF(S131="","",T131/K131)</f>
        <v>0</v>
      </c>
      <c r="V131" s="78">
        <f t="shared" ref="V131:V194" si="32">IFERROR(IF(F131=F130,V130,IF(F130&lt;&gt;"",U131+U130,0)),S131)</f>
        <v>0</v>
      </c>
    </row>
    <row r="132" spans="1:22" customFormat="1" x14ac:dyDescent="0.25">
      <c r="A132" s="45">
        <v>44063</v>
      </c>
      <c r="B132" s="33" t="s">
        <v>63</v>
      </c>
      <c r="C132" s="33" t="s">
        <v>22</v>
      </c>
      <c r="D132" s="34">
        <v>17699.580000000002</v>
      </c>
      <c r="E132" s="33" t="s">
        <v>11</v>
      </c>
      <c r="F132" s="45">
        <v>44063</v>
      </c>
      <c r="G132" s="33" t="s">
        <v>51</v>
      </c>
      <c r="H132" s="25">
        <f t="array" ref="H132">IFERROR(INDEX(Agenda!AA:AA,MATCH(1,('Lançamentos- Credito Débito'!E132=Agenda!C:C)*('Lançamentos- Credito Débito'!F132=Agenda!I:I),0)),"")</f>
        <v>7.256462133005126E-4</v>
      </c>
      <c r="I132">
        <f t="shared" si="22"/>
        <v>20</v>
      </c>
      <c r="J132" s="35">
        <f t="shared" si="23"/>
        <v>1.4613408065360156E-2</v>
      </c>
      <c r="K132" s="40">
        <f t="array" ref="K132">INDEX(Agenda!AB:AB,MATCH(1,('Lançamentos- Credito Débito'!E132=Agenda!C:C)*('Lançamentos- Credito Débito'!F132=Agenda!I:I),0))</f>
        <v>0.81652954476885886</v>
      </c>
      <c r="L132" s="36">
        <f t="shared" si="24"/>
        <v>14452.23</v>
      </c>
      <c r="M132" s="36">
        <f t="shared" si="25"/>
        <v>3247.3500000000013</v>
      </c>
      <c r="N132" s="1">
        <f t="shared" si="26"/>
        <v>143937.37322712381</v>
      </c>
      <c r="O132" s="81">
        <f t="array" ref="O132">IF(OR(G132="Amortization",G132="Fim de Mês"),(1+J132)*N132-D132,-INDEX(Agenda!J:J,MATCH(1,('Lançamentos- Credito Débito'!E132=Agenda!C:C)*('Lançamentos- Credito Débito'!G132=Agenda!G:G),0)))</f>
        <v>128341.20879794781</v>
      </c>
      <c r="P132" s="44">
        <f t="shared" si="27"/>
        <v>2103.415570824006</v>
      </c>
      <c r="Q132" s="64">
        <f t="shared" si="28"/>
        <v>146040.78879794781</v>
      </c>
      <c r="R132" s="14">
        <f t="array" ref="R132">IF(F132="","",INDEX(Agenda!L:L,MATCH(1,('Lançamentos- Credito Débito'!E132=Agenda!C:C)*('Lançamentos- Credito Débito'!F132=Agenda!I:I),0)))</f>
        <v>14452.23</v>
      </c>
      <c r="S132" s="14">
        <f t="shared" si="29"/>
        <v>14452.23</v>
      </c>
      <c r="T132" s="14">
        <f t="shared" si="30"/>
        <v>0</v>
      </c>
      <c r="U132" s="62">
        <f t="shared" si="31"/>
        <v>0</v>
      </c>
      <c r="V132" s="78">
        <f t="shared" si="32"/>
        <v>0</v>
      </c>
    </row>
    <row r="133" spans="1:22" customFormat="1" x14ac:dyDescent="0.25">
      <c r="A133" s="45">
        <v>44074</v>
      </c>
      <c r="B133" s="33" t="s">
        <v>63</v>
      </c>
      <c r="C133" s="33" t="s">
        <v>22</v>
      </c>
      <c r="D133" s="34"/>
      <c r="E133" s="33" t="s">
        <v>11</v>
      </c>
      <c r="F133" s="45">
        <v>44063</v>
      </c>
      <c r="G133" s="33" t="s">
        <v>86</v>
      </c>
      <c r="H133" s="25">
        <f t="array" ref="H133">IFERROR(INDEX(Agenda!AA:AA,MATCH(1,('Lançamentos- Credito Débito'!E133=Agenda!C:C)*('Lançamentos- Credito Débito'!F133=Agenda!I:I),0)),"")</f>
        <v>7.256462133005126E-4</v>
      </c>
      <c r="I133">
        <f t="shared" si="22"/>
        <v>11</v>
      </c>
      <c r="J133" s="35">
        <f t="shared" si="23"/>
        <v>8.0111324175500265E-3</v>
      </c>
      <c r="K133" s="40">
        <f t="array" ref="K133">INDEX(Agenda!AB:AB,MATCH(1,('Lançamentos- Credito Débito'!E133=Agenda!C:C)*('Lançamentos- Credito Débito'!F133=Agenda!I:I),0))</f>
        <v>0.81652954476885886</v>
      </c>
      <c r="L133" s="36">
        <f t="shared" si="24"/>
        <v>0</v>
      </c>
      <c r="M133" s="36">
        <f t="shared" si="25"/>
        <v>0</v>
      </c>
      <c r="N133" s="1">
        <f t="shared" si="26"/>
        <v>128341.20879794781</v>
      </c>
      <c r="O133" s="81">
        <f t="array" ref="O133">IF(OR(G133="Amortization",G133="Fim de Mês"),(1+J133)*N133-D133,-INDEX(Agenda!J:J,MATCH(1,('Lançamentos- Credito Débito'!E133=Agenda!C:C)*('Lançamentos- Credito Débito'!G133=Agenda!G:G),0)))</f>
        <v>129369.36721625661</v>
      </c>
      <c r="P133" s="44">
        <f t="shared" si="27"/>
        <v>1028.1584183087964</v>
      </c>
      <c r="Q133" s="64">
        <f t="shared" si="28"/>
        <v>129369.36721625661</v>
      </c>
      <c r="R133" s="14">
        <f t="array" ref="R133">IF(F133="","",INDEX(Agenda!L:L,MATCH(1,('Lançamentos- Credito Débito'!E133=Agenda!C:C)*('Lançamentos- Credito Débito'!F133=Agenda!I:I),0)))</f>
        <v>14452.23</v>
      </c>
      <c r="S133" s="14">
        <f t="shared" si="29"/>
        <v>14452.23</v>
      </c>
      <c r="T133" s="14">
        <f t="shared" si="30"/>
        <v>0</v>
      </c>
      <c r="U133" s="62">
        <f t="shared" si="31"/>
        <v>0</v>
      </c>
      <c r="V133" s="78">
        <f t="shared" si="32"/>
        <v>0</v>
      </c>
    </row>
    <row r="134" spans="1:22" customFormat="1" x14ac:dyDescent="0.25">
      <c r="A134" s="45">
        <v>44094</v>
      </c>
      <c r="B134" s="33" t="s">
        <v>63</v>
      </c>
      <c r="C134" s="33" t="s">
        <v>22</v>
      </c>
      <c r="D134" s="34">
        <v>17699.580000000002</v>
      </c>
      <c r="E134" s="33" t="s">
        <v>11</v>
      </c>
      <c r="F134" s="45">
        <v>44094</v>
      </c>
      <c r="G134" s="33" t="s">
        <v>51</v>
      </c>
      <c r="H134" s="25">
        <f t="array" ref="H134">IFERROR(INDEX(Agenda!AA:AA,MATCH(1,('Lançamentos- Credito Débito'!E134=Agenda!C:C)*('Lançamentos- Credito Débito'!F134=Agenda!I:I),0)),"")</f>
        <v>7.256462133005126E-4</v>
      </c>
      <c r="I134">
        <f t="shared" si="22"/>
        <v>20</v>
      </c>
      <c r="J134" s="35">
        <f t="shared" si="23"/>
        <v>1.4613408065360156E-2</v>
      </c>
      <c r="K134" s="40">
        <f t="array" ref="K134">INDEX(Agenda!AB:AB,MATCH(1,('Lançamentos- Credito Débito'!E134=Agenda!C:C)*('Lançamentos- Credito Débito'!F134=Agenda!I:I),0))</f>
        <v>0.83509834696642504</v>
      </c>
      <c r="L134" s="36">
        <f t="shared" si="24"/>
        <v>14780.89</v>
      </c>
      <c r="M134" s="36">
        <f t="shared" si="25"/>
        <v>2918.6900000000028</v>
      </c>
      <c r="N134" s="1">
        <f t="shared" si="26"/>
        <v>129369.36721625661</v>
      </c>
      <c r="O134" s="81">
        <f t="array" ref="O134">IF(OR(G134="Amortization",G134="Fim de Mês"),(1+J134)*N134-D134,-INDEX(Agenda!J:J,MATCH(1,('Lançamentos- Credito Débito'!E134=Agenda!C:C)*('Lançamentos- Credito Débito'!G134=Agenda!G:G),0)))</f>
        <v>113560.31457054518</v>
      </c>
      <c r="P134" s="44">
        <f t="shared" si="27"/>
        <v>1890.5273542885841</v>
      </c>
      <c r="Q134" s="64">
        <f t="shared" si="28"/>
        <v>131259.89457054518</v>
      </c>
      <c r="R134" s="14">
        <f t="array" ref="R134">IF(F134="","",INDEX(Agenda!L:L,MATCH(1,('Lançamentos- Credito Débito'!E134=Agenda!C:C)*('Lançamentos- Credito Débito'!F134=Agenda!I:I),0)))</f>
        <v>14780.89</v>
      </c>
      <c r="S134" s="14">
        <f t="shared" si="29"/>
        <v>14780.89</v>
      </c>
      <c r="T134" s="14">
        <f t="shared" si="30"/>
        <v>0</v>
      </c>
      <c r="U134" s="62">
        <f t="shared" si="31"/>
        <v>0</v>
      </c>
      <c r="V134" s="78">
        <f t="shared" si="32"/>
        <v>0</v>
      </c>
    </row>
    <row r="135" spans="1:22" customFormat="1" x14ac:dyDescent="0.25">
      <c r="A135" s="45">
        <v>44104</v>
      </c>
      <c r="B135" s="33" t="s">
        <v>63</v>
      </c>
      <c r="C135" s="33" t="s">
        <v>22</v>
      </c>
      <c r="D135" s="34"/>
      <c r="E135" s="33" t="s">
        <v>11</v>
      </c>
      <c r="F135" s="45">
        <v>44094</v>
      </c>
      <c r="G135" s="33" t="s">
        <v>86</v>
      </c>
      <c r="H135" s="25">
        <f t="array" ref="H135">IFERROR(INDEX(Agenda!AA:AA,MATCH(1,('Lançamentos- Credito Débito'!E135=Agenda!C:C)*('Lançamentos- Credito Débito'!F135=Agenda!I:I),0)),"")</f>
        <v>7.256462133005126E-4</v>
      </c>
      <c r="I135">
        <f t="shared" si="22"/>
        <v>10</v>
      </c>
      <c r="J135" s="35">
        <f t="shared" si="23"/>
        <v>7.280203352254988E-3</v>
      </c>
      <c r="K135" s="40">
        <f t="array" ref="K135">INDEX(Agenda!AB:AB,MATCH(1,('Lançamentos- Credito Débito'!E135=Agenda!C:C)*('Lançamentos- Credito Débito'!F135=Agenda!I:I),0))</f>
        <v>0.83509834696642504</v>
      </c>
      <c r="L135" s="36">
        <f t="shared" si="24"/>
        <v>0</v>
      </c>
      <c r="M135" s="36">
        <f t="shared" si="25"/>
        <v>0</v>
      </c>
      <c r="N135" s="1">
        <f t="shared" si="26"/>
        <v>113560.31457054518</v>
      </c>
      <c r="O135" s="81">
        <f t="array" ref="O135">IF(OR(G135="Amortization",G135="Fim de Mês"),(1+J135)*N135-D135,-INDEX(Agenda!J:J,MATCH(1,('Lançamentos- Credito Débito'!E135=Agenda!C:C)*('Lançamentos- Credito Débito'!G135=Agenda!G:G),0)))</f>
        <v>114387.05675336478</v>
      </c>
      <c r="P135" s="44">
        <f t="shared" si="27"/>
        <v>826.74218281961396</v>
      </c>
      <c r="Q135" s="64">
        <f t="shared" si="28"/>
        <v>114387.05675336478</v>
      </c>
      <c r="R135" s="14">
        <f t="array" ref="R135">IF(F135="","",INDEX(Agenda!L:L,MATCH(1,('Lançamentos- Credito Débito'!E135=Agenda!C:C)*('Lançamentos- Credito Débito'!F135=Agenda!I:I),0)))</f>
        <v>14780.89</v>
      </c>
      <c r="S135" s="14">
        <f t="shared" si="29"/>
        <v>14780.89</v>
      </c>
      <c r="T135" s="14">
        <f t="shared" si="30"/>
        <v>0</v>
      </c>
      <c r="U135" s="62">
        <f t="shared" si="31"/>
        <v>0</v>
      </c>
      <c r="V135" s="78">
        <f t="shared" si="32"/>
        <v>0</v>
      </c>
    </row>
    <row r="136" spans="1:22" customFormat="1" x14ac:dyDescent="0.25">
      <c r="A136" s="45">
        <v>44124</v>
      </c>
      <c r="B136" s="33" t="s">
        <v>63</v>
      </c>
      <c r="C136" s="33" t="s">
        <v>22</v>
      </c>
      <c r="D136" s="34">
        <v>17699.580000000002</v>
      </c>
      <c r="E136" s="33" t="s">
        <v>11</v>
      </c>
      <c r="F136" s="45">
        <v>44124</v>
      </c>
      <c r="G136" s="33" t="s">
        <v>51</v>
      </c>
      <c r="H136" s="25">
        <f t="array" ref="H136">IFERROR(INDEX(Agenda!AA:AA,MATCH(1,('Lançamentos- Credito Débito'!E136=Agenda!C:C)*('Lançamentos- Credito Débito'!F136=Agenda!I:I),0)),"")</f>
        <v>7.256462133005126E-4</v>
      </c>
      <c r="I136">
        <f t="shared" si="22"/>
        <v>20</v>
      </c>
      <c r="J136" s="35">
        <f t="shared" si="23"/>
        <v>1.4613408065360156E-2</v>
      </c>
      <c r="K136" s="40">
        <f t="array" ref="K136">INDEX(Agenda!AB:AB,MATCH(1,('Lançamentos- Credito Débito'!E136=Agenda!C:C)*('Lançamentos- Credito Débito'!F136=Agenda!I:I),0))</f>
        <v>0.85884806306138328</v>
      </c>
      <c r="L136" s="36">
        <f t="shared" si="24"/>
        <v>15201.25</v>
      </c>
      <c r="M136" s="36">
        <f t="shared" si="25"/>
        <v>2498.3300000000017</v>
      </c>
      <c r="N136" s="1">
        <f t="shared" si="26"/>
        <v>114387.05675336478</v>
      </c>
      <c r="O136" s="81">
        <f t="array" ref="O136">IF(OR(G136="Amortization",G136="Fim de Mês"),(1+J136)*N136-D136,-INDEX(Agenda!J:J,MATCH(1,('Lançamentos- Credito Débito'!E136=Agenda!C:C)*('Lançamentos- Credito Débito'!G136=Agenda!G:G),0)))</f>
        <v>98359.061491097207</v>
      </c>
      <c r="P136" s="44">
        <f t="shared" si="27"/>
        <v>1671.5847377324308</v>
      </c>
      <c r="Q136" s="64">
        <f t="shared" si="28"/>
        <v>116058.64149109721</v>
      </c>
      <c r="R136" s="14">
        <f t="array" ref="R136">IF(F136="","",INDEX(Agenda!L:L,MATCH(1,('Lançamentos- Credito Débito'!E136=Agenda!C:C)*('Lançamentos- Credito Débito'!F136=Agenda!I:I),0)))</f>
        <v>15201.25</v>
      </c>
      <c r="S136" s="14">
        <f t="shared" si="29"/>
        <v>15201.25</v>
      </c>
      <c r="T136" s="14">
        <f t="shared" si="30"/>
        <v>0</v>
      </c>
      <c r="U136" s="62">
        <f t="shared" si="31"/>
        <v>0</v>
      </c>
      <c r="V136" s="78">
        <f t="shared" si="32"/>
        <v>0</v>
      </c>
    </row>
    <row r="137" spans="1:22" customFormat="1" x14ac:dyDescent="0.25">
      <c r="A137" s="45">
        <v>44135</v>
      </c>
      <c r="B137" s="33" t="s">
        <v>63</v>
      </c>
      <c r="C137" s="33" t="s">
        <v>22</v>
      </c>
      <c r="D137" s="34"/>
      <c r="E137" s="33" t="s">
        <v>11</v>
      </c>
      <c r="F137" s="45">
        <v>44124</v>
      </c>
      <c r="G137" s="33" t="s">
        <v>86</v>
      </c>
      <c r="H137" s="25">
        <f t="array" ref="H137">IFERROR(INDEX(Agenda!AA:AA,MATCH(1,('Lançamentos- Credito Débito'!E137=Agenda!C:C)*('Lançamentos- Credito Débito'!F137=Agenda!I:I),0)),"")</f>
        <v>7.256462133005126E-4</v>
      </c>
      <c r="I137">
        <f t="shared" si="22"/>
        <v>11</v>
      </c>
      <c r="J137" s="35">
        <f t="shared" si="23"/>
        <v>8.0111324175500265E-3</v>
      </c>
      <c r="K137" s="40">
        <f t="array" ref="K137">INDEX(Agenda!AB:AB,MATCH(1,('Lançamentos- Credito Débito'!E137=Agenda!C:C)*('Lançamentos- Credito Débito'!F137=Agenda!I:I),0))</f>
        <v>0.85884806306138328</v>
      </c>
      <c r="L137" s="36">
        <f t="shared" si="24"/>
        <v>0</v>
      </c>
      <c r="M137" s="36">
        <f t="shared" si="25"/>
        <v>0</v>
      </c>
      <c r="N137" s="1">
        <f t="shared" si="26"/>
        <v>98359.061491097207</v>
      </c>
      <c r="O137" s="81">
        <f t="array" ref="O137">IF(OR(G137="Amortization",G137="Fim de Mês"),(1+J137)*N137-D137,-INDEX(Agenda!J:J,MATCH(1,('Lançamentos- Credito Débito'!E137=Agenda!C:C)*('Lançamentos- Credito Débito'!G137=Agenda!G:G),0)))</f>
        <v>99147.028957168339</v>
      </c>
      <c r="P137" s="44">
        <f t="shared" si="27"/>
        <v>787.96746607112527</v>
      </c>
      <c r="Q137" s="64">
        <f t="shared" si="28"/>
        <v>99147.028957168339</v>
      </c>
      <c r="R137" s="14">
        <f t="array" ref="R137">IF(F137="","",INDEX(Agenda!L:L,MATCH(1,('Lançamentos- Credito Débito'!E137=Agenda!C:C)*('Lançamentos- Credito Débito'!F137=Agenda!I:I),0)))</f>
        <v>15201.25</v>
      </c>
      <c r="S137" s="14">
        <f t="shared" si="29"/>
        <v>15201.25</v>
      </c>
      <c r="T137" s="14">
        <f t="shared" si="30"/>
        <v>0</v>
      </c>
      <c r="U137" s="62">
        <f t="shared" si="31"/>
        <v>0</v>
      </c>
      <c r="V137" s="78">
        <f t="shared" si="32"/>
        <v>0</v>
      </c>
    </row>
    <row r="138" spans="1:22" customFormat="1" x14ac:dyDescent="0.25">
      <c r="A138" s="45">
        <v>44155</v>
      </c>
      <c r="B138" s="33" t="s">
        <v>63</v>
      </c>
      <c r="C138" s="33" t="s">
        <v>22</v>
      </c>
      <c r="D138" s="34">
        <v>17699.580000000002</v>
      </c>
      <c r="E138" s="33" t="s">
        <v>11</v>
      </c>
      <c r="F138" s="45">
        <v>44155</v>
      </c>
      <c r="G138" s="33" t="s">
        <v>51</v>
      </c>
      <c r="H138" s="25">
        <f t="array" ref="H138">IFERROR(INDEX(Agenda!AA:AA,MATCH(1,('Lançamentos- Credito Débito'!E138=Agenda!C:C)*('Lançamentos- Credito Débito'!F138=Agenda!I:I),0)),"")</f>
        <v>7.256462133005126E-4</v>
      </c>
      <c r="I138">
        <f t="shared" si="22"/>
        <v>20</v>
      </c>
      <c r="J138" s="35">
        <f t="shared" si="23"/>
        <v>1.4613408065360156E-2</v>
      </c>
      <c r="K138" s="40">
        <f t="array" ref="K138">INDEX(Agenda!AB:AB,MATCH(1,('Lançamentos- Credito Débito'!E138=Agenda!C:C)*('Lançamentos- Credito Débito'!F138=Agenda!I:I),0))</f>
        <v>0.8736212949685811</v>
      </c>
      <c r="L138" s="36">
        <f t="shared" si="24"/>
        <v>15462.73</v>
      </c>
      <c r="M138" s="36">
        <f t="shared" si="25"/>
        <v>2236.8500000000017</v>
      </c>
      <c r="N138" s="1">
        <f t="shared" si="26"/>
        <v>99147.028957168339</v>
      </c>
      <c r="O138" s="81">
        <f t="array" ref="O138">IF(OR(G138="Amortization",G138="Fim de Mês"),(1+J138)*N138-D138,-INDEX(Agenda!J:J,MATCH(1,('Lançamentos- Credito Débito'!E138=Agenda!C:C)*('Lançamentos- Credito Débito'!G138=Agenda!G:G),0)))</f>
        <v>82896.324949787522</v>
      </c>
      <c r="P138" s="44">
        <f t="shared" si="27"/>
        <v>1448.8759926191808</v>
      </c>
      <c r="Q138" s="64">
        <f t="shared" si="28"/>
        <v>100595.90494978752</v>
      </c>
      <c r="R138" s="14">
        <f t="array" ref="R138">IF(F138="","",INDEX(Agenda!L:L,MATCH(1,('Lançamentos- Credito Débito'!E138=Agenda!C:C)*('Lançamentos- Credito Débito'!F138=Agenda!I:I),0)))</f>
        <v>15462.73</v>
      </c>
      <c r="S138" s="14">
        <f t="shared" si="29"/>
        <v>15462.73</v>
      </c>
      <c r="T138" s="14">
        <f t="shared" si="30"/>
        <v>0</v>
      </c>
      <c r="U138" s="62">
        <f t="shared" si="31"/>
        <v>0</v>
      </c>
      <c r="V138" s="78">
        <f t="shared" si="32"/>
        <v>0</v>
      </c>
    </row>
    <row r="139" spans="1:22" customFormat="1" x14ac:dyDescent="0.25">
      <c r="A139" s="45">
        <v>44165</v>
      </c>
      <c r="B139" s="33" t="s">
        <v>63</v>
      </c>
      <c r="C139" s="33" t="s">
        <v>22</v>
      </c>
      <c r="D139" s="34"/>
      <c r="E139" s="33" t="s">
        <v>11</v>
      </c>
      <c r="F139" s="45">
        <v>44155</v>
      </c>
      <c r="G139" s="33" t="s">
        <v>86</v>
      </c>
      <c r="H139" s="25">
        <f t="array" ref="H139">IFERROR(INDEX(Agenda!AA:AA,MATCH(1,('Lançamentos- Credito Débito'!E139=Agenda!C:C)*('Lançamentos- Credito Débito'!F139=Agenda!I:I),0)),"")</f>
        <v>7.256462133005126E-4</v>
      </c>
      <c r="I139">
        <f t="shared" si="22"/>
        <v>10</v>
      </c>
      <c r="J139" s="35">
        <f t="shared" si="23"/>
        <v>7.280203352254988E-3</v>
      </c>
      <c r="K139" s="40">
        <f t="array" ref="K139">INDEX(Agenda!AB:AB,MATCH(1,('Lançamentos- Credito Débito'!E139=Agenda!C:C)*('Lançamentos- Credito Débito'!F139=Agenda!I:I),0))</f>
        <v>0.8736212949685811</v>
      </c>
      <c r="L139" s="36">
        <f t="shared" si="24"/>
        <v>0</v>
      </c>
      <c r="M139" s="36">
        <f t="shared" si="25"/>
        <v>0</v>
      </c>
      <c r="N139" s="1">
        <f t="shared" si="26"/>
        <v>82896.324949787522</v>
      </c>
      <c r="O139" s="81">
        <f t="array" ref="O139">IF(OR(G139="Amortization",G139="Fim de Mês"),(1+J139)*N139-D139,-INDEX(Agenda!J:J,MATCH(1,('Lançamentos- Credito Débito'!E139=Agenda!C:C)*('Lançamentos- Credito Débito'!G139=Agenda!G:G),0)))</f>
        <v>83499.827052576584</v>
      </c>
      <c r="P139" s="44">
        <f t="shared" si="27"/>
        <v>603.50210278906195</v>
      </c>
      <c r="Q139" s="64">
        <f t="shared" si="28"/>
        <v>83499.827052576584</v>
      </c>
      <c r="R139" s="14">
        <f t="array" ref="R139">IF(F139="","",INDEX(Agenda!L:L,MATCH(1,('Lançamentos- Credito Débito'!E139=Agenda!C:C)*('Lançamentos- Credito Débito'!F139=Agenda!I:I),0)))</f>
        <v>15462.73</v>
      </c>
      <c r="S139" s="14">
        <f t="shared" si="29"/>
        <v>15462.73</v>
      </c>
      <c r="T139" s="14">
        <f t="shared" si="30"/>
        <v>0</v>
      </c>
      <c r="U139" s="62">
        <f t="shared" si="31"/>
        <v>0</v>
      </c>
      <c r="V139" s="78">
        <f t="shared" si="32"/>
        <v>0</v>
      </c>
    </row>
    <row r="140" spans="1:22" customFormat="1" x14ac:dyDescent="0.25">
      <c r="A140" s="45">
        <v>44185</v>
      </c>
      <c r="B140" s="33" t="s">
        <v>63</v>
      </c>
      <c r="C140" s="33" t="s">
        <v>22</v>
      </c>
      <c r="D140" s="34">
        <v>17699.580000000002</v>
      </c>
      <c r="E140" s="33" t="s">
        <v>11</v>
      </c>
      <c r="F140" s="45">
        <v>44185</v>
      </c>
      <c r="G140" s="33" t="s">
        <v>51</v>
      </c>
      <c r="H140" s="25">
        <f t="array" ref="H140">IFERROR(INDEX(Agenda!AA:AA,MATCH(1,('Lançamentos- Credito Débito'!E140=Agenda!C:C)*('Lançamentos- Credito Débito'!F140=Agenda!I:I),0)),"")</f>
        <v>7.256462133005126E-4</v>
      </c>
      <c r="I140">
        <f t="shared" si="22"/>
        <v>20</v>
      </c>
      <c r="J140" s="35">
        <f t="shared" si="23"/>
        <v>1.4613408065360156E-2</v>
      </c>
      <c r="K140" s="40">
        <f t="array" ref="K140">INDEX(Agenda!AB:AB,MATCH(1,('Lançamentos- Credito Débito'!E140=Agenda!C:C)*('Lançamentos- Credito Débito'!F140=Agenda!I:I),0))</f>
        <v>0.89696252679442101</v>
      </c>
      <c r="L140" s="36">
        <f t="shared" si="24"/>
        <v>15875.86</v>
      </c>
      <c r="M140" s="36">
        <f t="shared" si="25"/>
        <v>1823.7200000000018</v>
      </c>
      <c r="N140" s="1">
        <f t="shared" si="26"/>
        <v>83499.827052576584</v>
      </c>
      <c r="O140" s="81">
        <f t="array" ref="O140">IF(OR(G140="Amortization",G140="Fim de Mês"),(1+J140)*N140-D140,-INDEX(Agenda!J:J,MATCH(1,('Lançamentos- Credito Débito'!E140=Agenda!C:C)*('Lançamentos- Credito Débito'!G140=Agenda!G:G),0)))</f>
        <v>67020.464098682889</v>
      </c>
      <c r="P140" s="44">
        <f t="shared" si="27"/>
        <v>1220.2170461063008</v>
      </c>
      <c r="Q140" s="64">
        <f t="shared" si="28"/>
        <v>84720.044098682891</v>
      </c>
      <c r="R140" s="14">
        <f t="array" ref="R140">IF(F140="","",INDEX(Agenda!L:L,MATCH(1,('Lançamentos- Credito Débito'!E140=Agenda!C:C)*('Lançamentos- Credito Débito'!F140=Agenda!I:I),0)))</f>
        <v>15875.86</v>
      </c>
      <c r="S140" s="14">
        <f t="shared" si="29"/>
        <v>15875.86</v>
      </c>
      <c r="T140" s="14">
        <f t="shared" si="30"/>
        <v>0</v>
      </c>
      <c r="U140" s="62">
        <f t="shared" si="31"/>
        <v>0</v>
      </c>
      <c r="V140" s="78">
        <f t="shared" si="32"/>
        <v>0</v>
      </c>
    </row>
    <row r="141" spans="1:22" customFormat="1" x14ac:dyDescent="0.25">
      <c r="A141" s="45">
        <v>44196</v>
      </c>
      <c r="B141" s="33" t="s">
        <v>63</v>
      </c>
      <c r="C141" s="33" t="s">
        <v>22</v>
      </c>
      <c r="D141" s="34"/>
      <c r="E141" s="33" t="s">
        <v>11</v>
      </c>
      <c r="F141" s="45">
        <v>44185</v>
      </c>
      <c r="G141" s="33" t="s">
        <v>86</v>
      </c>
      <c r="H141" s="25">
        <f t="array" ref="H141">IFERROR(INDEX(Agenda!AA:AA,MATCH(1,('Lançamentos- Credito Débito'!E141=Agenda!C:C)*('Lançamentos- Credito Débito'!F141=Agenda!I:I),0)),"")</f>
        <v>7.256462133005126E-4</v>
      </c>
      <c r="I141">
        <f t="shared" si="22"/>
        <v>11</v>
      </c>
      <c r="J141" s="35">
        <f t="shared" si="23"/>
        <v>8.0111324175500265E-3</v>
      </c>
      <c r="K141" s="40">
        <f t="array" ref="K141">INDEX(Agenda!AB:AB,MATCH(1,('Lançamentos- Credito Débito'!E141=Agenda!C:C)*('Lançamentos- Credito Débito'!F141=Agenda!I:I),0))</f>
        <v>0.89696252679442101</v>
      </c>
      <c r="L141" s="36">
        <f t="shared" si="24"/>
        <v>0</v>
      </c>
      <c r="M141" s="36">
        <f t="shared" si="25"/>
        <v>0</v>
      </c>
      <c r="N141" s="1">
        <f t="shared" si="26"/>
        <v>67020.464098682889</v>
      </c>
      <c r="O141" s="81">
        <f t="array" ref="O141">IF(OR(G141="Amortization",G141="Fim de Mês"),(1+J141)*N141-D141,-INDEX(Agenda!J:J,MATCH(1,('Lançamentos- Credito Débito'!E141=Agenda!C:C)*('Lançamentos- Credito Débito'!G141=Agenda!G:G),0)))</f>
        <v>67557.373911263101</v>
      </c>
      <c r="P141" s="44">
        <f t="shared" si="27"/>
        <v>536.90981258020622</v>
      </c>
      <c r="Q141" s="64">
        <f t="shared" si="28"/>
        <v>67557.373911263101</v>
      </c>
      <c r="R141" s="14">
        <f t="array" ref="R141">IF(F141="","",INDEX(Agenda!L:L,MATCH(1,('Lançamentos- Credito Débito'!E141=Agenda!C:C)*('Lançamentos- Credito Débito'!F141=Agenda!I:I),0)))</f>
        <v>15875.86</v>
      </c>
      <c r="S141" s="14">
        <f t="shared" si="29"/>
        <v>15875.86</v>
      </c>
      <c r="T141" s="14">
        <f t="shared" si="30"/>
        <v>0</v>
      </c>
      <c r="U141" s="62">
        <f t="shared" si="31"/>
        <v>0</v>
      </c>
      <c r="V141" s="78">
        <f t="shared" si="32"/>
        <v>0</v>
      </c>
    </row>
    <row r="142" spans="1:22" customFormat="1" x14ac:dyDescent="0.25">
      <c r="A142" s="45">
        <v>44216</v>
      </c>
      <c r="B142" s="33" t="s">
        <v>63</v>
      </c>
      <c r="C142" s="33" t="s">
        <v>22</v>
      </c>
      <c r="D142" s="34">
        <v>17699.580000000002</v>
      </c>
      <c r="E142" s="33" t="s">
        <v>11</v>
      </c>
      <c r="F142" s="45">
        <v>44216</v>
      </c>
      <c r="G142" s="33" t="s">
        <v>51</v>
      </c>
      <c r="H142" s="25">
        <f t="array" ref="H142">IFERROR(INDEX(Agenda!AA:AA,MATCH(1,('Lançamentos- Credito Débito'!E142=Agenda!C:C)*('Lançamentos- Credito Débito'!F142=Agenda!I:I),0)),"")</f>
        <v>7.256462133005126E-4</v>
      </c>
      <c r="I142">
        <f t="shared" si="22"/>
        <v>20</v>
      </c>
      <c r="J142" s="35">
        <f t="shared" si="23"/>
        <v>1.4613408065360156E-2</v>
      </c>
      <c r="K142" s="40">
        <f t="array" ref="K142">INDEX(Agenda!AB:AB,MATCH(1,('Lançamentos- Credito Débito'!E142=Agenda!C:C)*('Lançamentos- Credito Débito'!F142=Agenda!I:I),0))</f>
        <v>0.91388722218267315</v>
      </c>
      <c r="L142" s="36">
        <f t="shared" si="24"/>
        <v>16175.42</v>
      </c>
      <c r="M142" s="36">
        <f t="shared" si="25"/>
        <v>1524.1600000000021</v>
      </c>
      <c r="N142" s="1">
        <f t="shared" si="26"/>
        <v>67557.373911263101</v>
      </c>
      <c r="O142" s="81">
        <f t="array" ref="O142">IF(OR(G142="Amortization",G142="Fim de Mês"),(1+J142)*N142-D142,-INDEX(Agenda!J:J,MATCH(1,('Lançamentos- Credito Débito'!E142=Agenda!C:C)*('Lançamentos- Credito Débito'!G142=Agenda!G:G),0)))</f>
        <v>50845.037384052499</v>
      </c>
      <c r="P142" s="44">
        <f t="shared" si="27"/>
        <v>987.243472789404</v>
      </c>
      <c r="Q142" s="64">
        <f t="shared" si="28"/>
        <v>68544.617384052501</v>
      </c>
      <c r="R142" s="14">
        <f t="array" ref="R142">IF(F142="","",INDEX(Agenda!L:L,MATCH(1,('Lançamentos- Credito Débito'!E142=Agenda!C:C)*('Lançamentos- Credito Débito'!F142=Agenda!I:I),0)))</f>
        <v>16175.42</v>
      </c>
      <c r="S142" s="14">
        <f t="shared" si="29"/>
        <v>16175.42</v>
      </c>
      <c r="T142" s="14">
        <f t="shared" si="30"/>
        <v>0</v>
      </c>
      <c r="U142" s="62">
        <f t="shared" si="31"/>
        <v>0</v>
      </c>
      <c r="V142" s="78">
        <f t="shared" si="32"/>
        <v>0</v>
      </c>
    </row>
    <row r="143" spans="1:22" customFormat="1" x14ac:dyDescent="0.25">
      <c r="A143" s="45">
        <v>44227</v>
      </c>
      <c r="B143" s="33" t="s">
        <v>63</v>
      </c>
      <c r="C143" s="33" t="s">
        <v>22</v>
      </c>
      <c r="D143" s="34"/>
      <c r="E143" s="33" t="s">
        <v>11</v>
      </c>
      <c r="F143" s="45">
        <v>44216</v>
      </c>
      <c r="G143" s="33" t="s">
        <v>86</v>
      </c>
      <c r="H143" s="25">
        <f t="array" ref="H143">IFERROR(INDEX(Agenda!AA:AA,MATCH(1,('Lançamentos- Credito Débito'!E143=Agenda!C:C)*('Lançamentos- Credito Débito'!F143=Agenda!I:I),0)),"")</f>
        <v>7.256462133005126E-4</v>
      </c>
      <c r="I143">
        <f t="shared" si="22"/>
        <v>11</v>
      </c>
      <c r="J143" s="35">
        <f t="shared" si="23"/>
        <v>8.0111324175500265E-3</v>
      </c>
      <c r="K143" s="40">
        <f t="array" ref="K143">INDEX(Agenda!AB:AB,MATCH(1,('Lançamentos- Credito Débito'!E143=Agenda!C:C)*('Lançamentos- Credito Débito'!F143=Agenda!I:I),0))</f>
        <v>0.91388722218267315</v>
      </c>
      <c r="L143" s="36">
        <f t="shared" si="24"/>
        <v>0</v>
      </c>
      <c r="M143" s="36">
        <f t="shared" si="25"/>
        <v>0</v>
      </c>
      <c r="N143" s="1">
        <f t="shared" si="26"/>
        <v>50845.037384052499</v>
      </c>
      <c r="O143" s="81">
        <f t="array" ref="O143">IF(OR(G143="Amortization",G143="Fim de Mês"),(1+J143)*N143-D143,-INDEX(Agenda!J:J,MATCH(1,('Lançamentos- Credito Débito'!E143=Agenda!C:C)*('Lançamentos- Credito Débito'!G143=Agenda!G:G),0)))</f>
        <v>51252.363711311424</v>
      </c>
      <c r="P143" s="44">
        <f t="shared" si="27"/>
        <v>407.32632725892597</v>
      </c>
      <c r="Q143" s="64">
        <f t="shared" si="28"/>
        <v>51252.363711311424</v>
      </c>
      <c r="R143" s="14">
        <f t="array" ref="R143">IF(F143="","",INDEX(Agenda!L:L,MATCH(1,('Lançamentos- Credito Débito'!E143=Agenda!C:C)*('Lançamentos- Credito Débito'!F143=Agenda!I:I),0)))</f>
        <v>16175.42</v>
      </c>
      <c r="S143" s="14">
        <f t="shared" si="29"/>
        <v>16175.42</v>
      </c>
      <c r="T143" s="14">
        <f t="shared" si="30"/>
        <v>0</v>
      </c>
      <c r="U143" s="62">
        <f t="shared" si="31"/>
        <v>0</v>
      </c>
      <c r="V143" s="78">
        <f t="shared" si="32"/>
        <v>0</v>
      </c>
    </row>
    <row r="144" spans="1:22" customFormat="1" x14ac:dyDescent="0.25">
      <c r="A144" s="45">
        <v>44247</v>
      </c>
      <c r="B144" s="33" t="s">
        <v>63</v>
      </c>
      <c r="C144" s="33" t="s">
        <v>22</v>
      </c>
      <c r="D144" s="34">
        <v>17699.580000000002</v>
      </c>
      <c r="E144" s="33" t="s">
        <v>11</v>
      </c>
      <c r="F144" s="45">
        <v>44247</v>
      </c>
      <c r="G144" s="33" t="s">
        <v>51</v>
      </c>
      <c r="H144" s="25">
        <f t="array" ref="H144">IFERROR(INDEX(Agenda!AA:AA,MATCH(1,('Lançamentos- Credito Débito'!E144=Agenda!C:C)*('Lançamentos- Credito Débito'!F144=Agenda!I:I),0)),"")</f>
        <v>7.256462133005126E-4</v>
      </c>
      <c r="I144">
        <f t="shared" si="22"/>
        <v>20</v>
      </c>
      <c r="J144" s="35">
        <f t="shared" si="23"/>
        <v>1.4613408065360156E-2</v>
      </c>
      <c r="K144" s="40">
        <f t="array" ref="K144">INDEX(Agenda!AB:AB,MATCH(1,('Lançamentos- Credito Débito'!E144=Agenda!C:C)*('Lançamentos- Credito Débito'!F144=Agenda!I:I),0))</f>
        <v>0.93467076619897183</v>
      </c>
      <c r="L144" s="36">
        <f t="shared" si="24"/>
        <v>16543.28</v>
      </c>
      <c r="M144" s="36">
        <f t="shared" si="25"/>
        <v>1156.3000000000025</v>
      </c>
      <c r="N144" s="1">
        <f t="shared" si="26"/>
        <v>51252.363711311424</v>
      </c>
      <c r="O144" s="81">
        <f t="array" ref="O144">IF(OR(G144="Amortization",G144="Fim de Mês"),(1+J144)*N144-D144,-INDEX(Agenda!J:J,MATCH(1,('Lançamentos- Credito Débito'!E144=Agenda!C:C)*('Lançamentos- Credito Débito'!G144=Agenda!G:G),0)))</f>
        <v>34301.755416539076</v>
      </c>
      <c r="P144" s="44">
        <f t="shared" si="27"/>
        <v>748.97170522765055</v>
      </c>
      <c r="Q144" s="64">
        <f t="shared" si="28"/>
        <v>52001.335416539077</v>
      </c>
      <c r="R144" s="14">
        <f t="array" ref="R144">IF(F144="","",INDEX(Agenda!L:L,MATCH(1,('Lançamentos- Credito Débito'!E144=Agenda!C:C)*('Lançamentos- Credito Débito'!F144=Agenda!I:I),0)))</f>
        <v>16543.28</v>
      </c>
      <c r="S144" s="14">
        <f t="shared" si="29"/>
        <v>16543.28</v>
      </c>
      <c r="T144" s="14">
        <f t="shared" si="30"/>
        <v>0</v>
      </c>
      <c r="U144" s="62">
        <f t="shared" si="31"/>
        <v>0</v>
      </c>
      <c r="V144" s="78">
        <f t="shared" si="32"/>
        <v>0</v>
      </c>
    </row>
    <row r="145" spans="1:35" customFormat="1" x14ac:dyDescent="0.25">
      <c r="A145" s="45">
        <v>44255</v>
      </c>
      <c r="B145" s="33" t="s">
        <v>63</v>
      </c>
      <c r="C145" s="33" t="s">
        <v>22</v>
      </c>
      <c r="D145" s="34"/>
      <c r="E145" s="33" t="s">
        <v>11</v>
      </c>
      <c r="F145" s="45">
        <v>44247</v>
      </c>
      <c r="G145" s="33" t="s">
        <v>86</v>
      </c>
      <c r="H145" s="25">
        <f t="array" ref="H145">IFERROR(INDEX(Agenda!AA:AA,MATCH(1,('Lançamentos- Credito Débito'!E145=Agenda!C:C)*('Lançamentos- Credito Débito'!F145=Agenda!I:I),0)),"")</f>
        <v>7.256462133005126E-4</v>
      </c>
      <c r="I145">
        <f t="shared" si="22"/>
        <v>8</v>
      </c>
      <c r="J145" s="35">
        <f t="shared" si="23"/>
        <v>5.8199348712661969E-3</v>
      </c>
      <c r="K145" s="40">
        <f t="array" ref="K145">INDEX(Agenda!AB:AB,MATCH(1,('Lançamentos- Credito Débito'!E145=Agenda!C:C)*('Lançamentos- Credito Débito'!F145=Agenda!I:I),0))</f>
        <v>0.93467076619897183</v>
      </c>
      <c r="L145" s="36">
        <f t="shared" si="24"/>
        <v>0</v>
      </c>
      <c r="M145" s="36">
        <f t="shared" si="25"/>
        <v>0</v>
      </c>
      <c r="N145" s="1">
        <f t="shared" si="26"/>
        <v>34301.755416539076</v>
      </c>
      <c r="O145" s="81">
        <f t="array" ref="O145">IF(OR(G145="Amortization",G145="Fim de Mês"),(1+J145)*N145-D145,-INDEX(Agenda!J:J,MATCH(1,('Lançamentos- Credito Débito'!E145=Agenda!C:C)*('Lançamentos- Credito Débito'!G145=Agenda!G:G),0)))</f>
        <v>34501.389399033433</v>
      </c>
      <c r="P145" s="44">
        <f t="shared" si="27"/>
        <v>199.63398249435991</v>
      </c>
      <c r="Q145" s="64">
        <f t="shared" si="28"/>
        <v>34501.389399033433</v>
      </c>
      <c r="R145" s="14">
        <f t="array" ref="R145">IF(F145="","",INDEX(Agenda!L:L,MATCH(1,('Lançamentos- Credito Débito'!E145=Agenda!C:C)*('Lançamentos- Credito Débito'!F145=Agenda!I:I),0)))</f>
        <v>16543.28</v>
      </c>
      <c r="S145" s="14">
        <f t="shared" si="29"/>
        <v>16543.28</v>
      </c>
      <c r="T145" s="14">
        <f t="shared" si="30"/>
        <v>0</v>
      </c>
      <c r="U145" s="62">
        <f t="shared" si="31"/>
        <v>0</v>
      </c>
      <c r="V145" s="78">
        <f t="shared" si="32"/>
        <v>0</v>
      </c>
    </row>
    <row r="146" spans="1:35" customFormat="1" x14ac:dyDescent="0.25">
      <c r="A146" s="45">
        <v>44275</v>
      </c>
      <c r="B146" s="33" t="s">
        <v>63</v>
      </c>
      <c r="C146" s="33" t="s">
        <v>22</v>
      </c>
      <c r="D146" s="34">
        <v>17699.580000000002</v>
      </c>
      <c r="E146" s="33" t="s">
        <v>11</v>
      </c>
      <c r="F146" s="45">
        <v>44275</v>
      </c>
      <c r="G146" s="33" t="s">
        <v>51</v>
      </c>
      <c r="H146" s="25">
        <f t="array" ref="H146">IFERROR(INDEX(Agenda!AA:AA,MATCH(1,('Lançamentos- Credito Débito'!E146=Agenda!C:C)*('Lançamentos- Credito Débito'!F146=Agenda!I:I),0)),"")</f>
        <v>7.256462133005126E-4</v>
      </c>
      <c r="I146">
        <f t="shared" si="22"/>
        <v>20</v>
      </c>
      <c r="J146" s="35">
        <f t="shared" si="23"/>
        <v>1.4613408065360156E-2</v>
      </c>
      <c r="K146" s="40">
        <f t="array" ref="K146">INDEX(Agenda!AB:AB,MATCH(1,('Lançamentos- Credito Débito'!E146=Agenda!C:C)*('Lançamentos- Credito Débito'!F146=Agenda!I:I),0))</f>
        <v>0.96023521462091177</v>
      </c>
      <c r="L146" s="36">
        <f t="shared" si="24"/>
        <v>16995.759999999998</v>
      </c>
      <c r="M146" s="36">
        <f t="shared" si="25"/>
        <v>703.82000000000255</v>
      </c>
      <c r="N146" s="1">
        <f t="shared" si="26"/>
        <v>34501.389399033433</v>
      </c>
      <c r="O146" s="81">
        <f t="array" ref="O146">IF(OR(G146="Amortization",G146="Fim de Mês"),(1+J146)*N146-D146,-INDEX(Agenda!J:J,MATCH(1,('Lançamentos- Credito Débito'!E146=Agenda!C:C)*('Lançamentos- Credito Débito'!G146=Agenda!G:G),0)))</f>
        <v>17305.992281143401</v>
      </c>
      <c r="P146" s="44">
        <f t="shared" si="27"/>
        <v>504.18288210996656</v>
      </c>
      <c r="Q146" s="64">
        <f t="shared" si="28"/>
        <v>35005.572281143403</v>
      </c>
      <c r="R146" s="14">
        <f t="array" ref="R146">IF(F146="","",INDEX(Agenda!L:L,MATCH(1,('Lançamentos- Credito Débito'!E146=Agenda!C:C)*('Lançamentos- Credito Débito'!F146=Agenda!I:I),0)))</f>
        <v>16995.759999999998</v>
      </c>
      <c r="S146" s="14">
        <f t="shared" si="29"/>
        <v>16995.759999999998</v>
      </c>
      <c r="T146" s="14">
        <f t="shared" si="30"/>
        <v>0</v>
      </c>
      <c r="U146" s="62">
        <f t="shared" si="31"/>
        <v>0</v>
      </c>
      <c r="V146" s="78">
        <f t="shared" si="32"/>
        <v>0</v>
      </c>
    </row>
    <row r="147" spans="1:35" customFormat="1" x14ac:dyDescent="0.25">
      <c r="A147" s="45">
        <v>44286</v>
      </c>
      <c r="B147" s="33" t="s">
        <v>63</v>
      </c>
      <c r="C147" s="33" t="s">
        <v>22</v>
      </c>
      <c r="D147" s="34"/>
      <c r="E147" s="33" t="s">
        <v>11</v>
      </c>
      <c r="F147" s="45">
        <v>44275</v>
      </c>
      <c r="G147" s="33" t="s">
        <v>86</v>
      </c>
      <c r="H147" s="25">
        <f t="array" ref="H147">IFERROR(INDEX(Agenda!AA:AA,MATCH(1,('Lançamentos- Credito Débito'!E147=Agenda!C:C)*('Lançamentos- Credito Débito'!F147=Agenda!I:I),0)),"")</f>
        <v>7.256462133005126E-4</v>
      </c>
      <c r="I147">
        <f t="shared" si="22"/>
        <v>11</v>
      </c>
      <c r="J147" s="35">
        <f t="shared" si="23"/>
        <v>8.0111324175500265E-3</v>
      </c>
      <c r="K147" s="40">
        <f t="array" ref="K147">INDEX(Agenda!AB:AB,MATCH(1,('Lançamentos- Credito Débito'!E147=Agenda!C:C)*('Lançamentos- Credito Débito'!F147=Agenda!I:I),0))</f>
        <v>0.96023521462091177</v>
      </c>
      <c r="L147" s="36">
        <f t="shared" si="24"/>
        <v>0</v>
      </c>
      <c r="M147" s="36">
        <f t="shared" si="25"/>
        <v>0</v>
      </c>
      <c r="N147" s="1">
        <f t="shared" si="26"/>
        <v>17305.992281143401</v>
      </c>
      <c r="O147" s="81">
        <f t="array" ref="O147">IF(OR(G147="Amortization",G147="Fim de Mês"),(1+J147)*N147-D147,-INDEX(Agenda!J:J,MATCH(1,('Lançamentos- Credito Débito'!E147=Agenda!C:C)*('Lançamentos- Credito Débito'!G147=Agenda!G:G),0)))</f>
        <v>17444.632876924738</v>
      </c>
      <c r="P147" s="44">
        <f t="shared" si="27"/>
        <v>138.64059578133842</v>
      </c>
      <c r="Q147" s="64">
        <f t="shared" si="28"/>
        <v>17444.632876924738</v>
      </c>
      <c r="R147" s="14">
        <f t="array" ref="R147">IF(F147="","",INDEX(Agenda!L:L,MATCH(1,('Lançamentos- Credito Débito'!E147=Agenda!C:C)*('Lançamentos- Credito Débito'!F147=Agenda!I:I),0)))</f>
        <v>16995.759999999998</v>
      </c>
      <c r="S147" s="14">
        <f t="shared" si="29"/>
        <v>16995.759999999998</v>
      </c>
      <c r="T147" s="14">
        <f t="shared" si="30"/>
        <v>0</v>
      </c>
      <c r="U147" s="62">
        <f t="shared" si="31"/>
        <v>0</v>
      </c>
      <c r="V147" s="78">
        <f t="shared" si="32"/>
        <v>0</v>
      </c>
    </row>
    <row r="148" spans="1:35" customFormat="1" x14ac:dyDescent="0.25">
      <c r="A148" s="45">
        <v>44306</v>
      </c>
      <c r="B148" s="33" t="s">
        <v>63</v>
      </c>
      <c r="C148" s="33" t="s">
        <v>22</v>
      </c>
      <c r="D148" s="34">
        <v>17699.580000000002</v>
      </c>
      <c r="E148" s="33" t="s">
        <v>11</v>
      </c>
      <c r="F148" s="45">
        <v>44306</v>
      </c>
      <c r="G148" s="33" t="s">
        <v>51</v>
      </c>
      <c r="H148" s="25">
        <f t="array" ref="H148">IFERROR(INDEX(Agenda!AA:AA,MATCH(1,('Lançamentos- Credito Débito'!E148=Agenda!C:C)*('Lançamentos- Credito Débito'!F148=Agenda!I:I),0)),"")</f>
        <v>7.256462133005126E-4</v>
      </c>
      <c r="I148">
        <f t="shared" si="22"/>
        <v>20</v>
      </c>
      <c r="J148" s="35">
        <f t="shared" si="23"/>
        <v>1.4613408065360156E-2</v>
      </c>
      <c r="K148" s="40">
        <f t="array" ref="K148">INDEX(Agenda!AB:AB,MATCH(1,('Lançamentos- Credito Débito'!E148=Agenda!C:C)*('Lançamentos- Credito Débito'!F148=Agenda!I:I),0))</f>
        <v>0.97776387914289475</v>
      </c>
      <c r="L148" s="36">
        <f t="shared" si="24"/>
        <v>17306.009999999998</v>
      </c>
      <c r="M148" s="36">
        <f t="shared" si="25"/>
        <v>393.57000000000289</v>
      </c>
      <c r="N148" s="1">
        <f t="shared" si="26"/>
        <v>17444.632876924738</v>
      </c>
      <c r="O148" s="81">
        <f t="array" ref="O148">IF(OR(G148="Amortization",G148="Fim de Mês"),(1+J148)*N148-D148,-INDEX(Agenda!J:J,MATCH(1,('Lançamentos- Credito Débito'!E148=Agenda!C:C)*('Lançamentos- Credito Débito'!G148=Agenda!G:G),0)))</f>
        <v>-2.1584294365311507E-2</v>
      </c>
      <c r="P148" s="44">
        <f t="shared" si="27"/>
        <v>254.9255387808989</v>
      </c>
      <c r="Q148" s="64">
        <f t="shared" si="28"/>
        <v>17699.558415705636</v>
      </c>
      <c r="R148" s="14">
        <f t="array" ref="R148">IF(F148="","",INDEX(Agenda!L:L,MATCH(1,('Lançamentos- Credito Débito'!E148=Agenda!C:C)*('Lançamentos- Credito Débito'!F148=Agenda!I:I),0)))</f>
        <v>17306.009999999998</v>
      </c>
      <c r="S148" s="14">
        <f t="shared" si="29"/>
        <v>17306.009999999998</v>
      </c>
      <c r="T148" s="14">
        <f t="shared" si="30"/>
        <v>0</v>
      </c>
      <c r="U148" s="62">
        <f t="shared" si="31"/>
        <v>0</v>
      </c>
      <c r="V148" s="78">
        <f t="shared" si="32"/>
        <v>0</v>
      </c>
    </row>
    <row r="149" spans="1:35" x14ac:dyDescent="0.25">
      <c r="A149" s="45">
        <v>44006</v>
      </c>
      <c r="B149" s="33" t="s">
        <v>22</v>
      </c>
      <c r="C149" s="33" t="s">
        <v>63</v>
      </c>
      <c r="D149" s="34">
        <v>25960.3</v>
      </c>
      <c r="E149" s="33" t="s">
        <v>3</v>
      </c>
      <c r="F149" s="33"/>
      <c r="G149" s="33" t="s">
        <v>50</v>
      </c>
      <c r="H149" s="25" t="str">
        <f t="array" ref="H149">IFERROR(INDEX(Agenda!AA:AA,MATCH(1,('Lançamentos- Credito Débito'!E149=Agenda!C:C)*('Lançamentos- Credito Débito'!F149=Agenda!I:I),0)),"")</f>
        <v/>
      </c>
      <c r="I149" t="str">
        <f t="shared" si="22"/>
        <v/>
      </c>
      <c r="J149" s="35" t="str">
        <f t="shared" si="23"/>
        <v/>
      </c>
      <c r="K149" s="40" t="e">
        <f t="array" ref="K149">INDEX(Agenda!AB:AB,MATCH(1,('Lançamentos- Credito Débito'!E149=Agenda!C:C)*('Lançamentos- Credito Débito'!F149=Agenda!I:I),0))</f>
        <v>#N/A</v>
      </c>
      <c r="L149" s="36" t="str">
        <f t="shared" si="24"/>
        <v/>
      </c>
      <c r="M149" s="36" t="str">
        <f t="shared" si="25"/>
        <v/>
      </c>
      <c r="N149" s="1" t="str">
        <f t="shared" si="26"/>
        <v/>
      </c>
      <c r="O149" s="81">
        <f t="array" ref="O149">IF(OR(G149="Amortization",G149="Fim de Mês"),(1+J149)*N149-D149,-INDEX(Agenda!J:J,MATCH(1,('Lançamentos- Credito Débito'!E149=Agenda!C:C)*('Lançamentos- Credito Débito'!G149=Agenda!G:G),0)))</f>
        <v>25960.3</v>
      </c>
      <c r="P149" s="44" t="str">
        <f t="shared" si="27"/>
        <v/>
      </c>
      <c r="Q149" s="64" t="str">
        <f t="shared" si="28"/>
        <v/>
      </c>
      <c r="R149" s="14" t="str">
        <f t="array" ref="R149">IF(F149="","",INDEX(Agenda!L:L,MATCH(1,('Lançamentos- Credito Débito'!E149=Agenda!C:C)*('Lançamentos- Credito Débito'!F149=Agenda!I:I),0)))</f>
        <v/>
      </c>
      <c r="S149" s="14" t="str">
        <f t="shared" si="29"/>
        <v/>
      </c>
      <c r="T149" s="14" t="str">
        <f t="shared" si="30"/>
        <v/>
      </c>
      <c r="U149" s="62" t="str">
        <f t="shared" si="31"/>
        <v/>
      </c>
      <c r="V149" s="78" t="str">
        <f t="shared" si="32"/>
        <v/>
      </c>
      <c r="W149" s="26"/>
      <c r="X149" s="26"/>
      <c r="Y149" s="26"/>
      <c r="Z149" s="26"/>
      <c r="AA149" s="26"/>
      <c r="AB149" s="14"/>
      <c r="AC149" s="14"/>
      <c r="AD149" s="14"/>
      <c r="AE149" s="16"/>
      <c r="AF149" s="14"/>
      <c r="AG149" s="32"/>
      <c r="AH149" s="14"/>
      <c r="AI149" s="14"/>
    </row>
    <row r="150" spans="1:35" x14ac:dyDescent="0.25">
      <c r="A150" s="45">
        <v>44012</v>
      </c>
      <c r="B150" s="33" t="s">
        <v>63</v>
      </c>
      <c r="C150" s="33" t="s">
        <v>22</v>
      </c>
      <c r="D150" s="34">
        <v>0</v>
      </c>
      <c r="E150" s="33" t="s">
        <v>3</v>
      </c>
      <c r="F150" s="30">
        <v>44367</v>
      </c>
      <c r="G150" s="33" t="s">
        <v>86</v>
      </c>
      <c r="H150" s="25">
        <f t="array" ref="H150">IFERROR(INDEX(Agenda!AA:AA,MATCH(1,('Lançamentos- Credito Débito'!E150=Agenda!C:C)*('Lançamentos- Credito Débito'!F150=Agenda!I:I),0)),"")</f>
        <v>7.256462133005126E-4</v>
      </c>
      <c r="I150">
        <f t="shared" si="22"/>
        <v>6</v>
      </c>
      <c r="J150" s="35">
        <f t="shared" si="23"/>
        <v>4.3617833623268432E-3</v>
      </c>
      <c r="K150" s="40">
        <f t="array" ref="K150">INDEX(Agenda!AB:AB,MATCH(1,('Lançamentos- Credito Débito'!E150=Agenda!C:C)*('Lançamentos- Credito Débito'!F150=Agenda!I:I),0))</f>
        <v>0.76961616578455327</v>
      </c>
      <c r="L150" s="36">
        <f t="shared" si="24"/>
        <v>0</v>
      </c>
      <c r="M150" s="36">
        <f t="shared" si="25"/>
        <v>0</v>
      </c>
      <c r="N150" s="1">
        <f t="shared" si="26"/>
        <v>25960.3</v>
      </c>
      <c r="O150" s="81">
        <f t="array" ref="O150">IF(OR(G150="Amortization",G150="Fim de Mês"),(1+J150)*N150-D150,-INDEX(Agenda!J:J,MATCH(1,('Lançamentos- Credito Débito'!E150=Agenda!C:C)*('Lançamentos- Credito Débito'!G150=Agenda!G:G),0)))</f>
        <v>26073.533204621013</v>
      </c>
      <c r="P150" s="44">
        <f t="shared" si="27"/>
        <v>113.23320462101354</v>
      </c>
      <c r="Q150" s="64">
        <f t="shared" si="28"/>
        <v>26073.533204621013</v>
      </c>
      <c r="R150" s="14">
        <f t="array" ref="R150">IF(F150="","",INDEX(Agenda!L:L,MATCH(1,('Lançamentos- Credito Débito'!E150=Agenda!C:C)*('Lançamentos- Credito Débito'!F150=Agenda!I:I),0)))</f>
        <v>25960.3</v>
      </c>
      <c r="S150" s="14">
        <f t="shared" si="29"/>
        <v>0</v>
      </c>
      <c r="T150" s="14">
        <f t="shared" si="30"/>
        <v>25960.3</v>
      </c>
      <c r="U150" s="62">
        <f t="shared" si="31"/>
        <v>33731.49</v>
      </c>
      <c r="V150" s="78">
        <f t="shared" si="32"/>
        <v>0</v>
      </c>
      <c r="W150" s="26"/>
      <c r="X150" s="26"/>
      <c r="Y150" s="26"/>
      <c r="Z150" s="26"/>
      <c r="AA150" s="26"/>
      <c r="AB150" s="14"/>
      <c r="AC150" s="14"/>
      <c r="AD150" s="14"/>
      <c r="AE150" s="16"/>
      <c r="AF150" s="14"/>
      <c r="AG150" s="32"/>
      <c r="AH150" s="14"/>
      <c r="AI150" s="14"/>
    </row>
    <row r="151" spans="1:35" x14ac:dyDescent="0.25">
      <c r="A151" s="45">
        <v>44043</v>
      </c>
      <c r="B151" s="33" t="s">
        <v>63</v>
      </c>
      <c r="C151" s="33" t="s">
        <v>22</v>
      </c>
      <c r="D151" s="34">
        <v>0</v>
      </c>
      <c r="E151" s="33" t="s">
        <v>3</v>
      </c>
      <c r="F151" s="30">
        <v>44367</v>
      </c>
      <c r="G151" s="33" t="s">
        <v>86</v>
      </c>
      <c r="H151" s="25">
        <f t="array" ref="H151">IFERROR(INDEX(Agenda!AA:AA,MATCH(1,('Lançamentos- Credito Débito'!E151=Agenda!C:C)*('Lançamentos- Credito Débito'!F151=Agenda!I:I),0)),"")</f>
        <v>7.256462133005126E-4</v>
      </c>
      <c r="I151">
        <f t="shared" si="22"/>
        <v>31</v>
      </c>
      <c r="J151" s="35">
        <f t="shared" si="23"/>
        <v>2.2741610429993342E-2</v>
      </c>
      <c r="K151" s="40">
        <f t="array" ref="K151">INDEX(Agenda!AB:AB,MATCH(1,('Lançamentos- Credito Débito'!E151=Agenda!C:C)*('Lançamentos- Credito Débito'!F151=Agenda!I:I),0))</f>
        <v>0.76961616578455327</v>
      </c>
      <c r="L151" s="36">
        <f t="shared" si="24"/>
        <v>0</v>
      </c>
      <c r="M151" s="36">
        <f t="shared" si="25"/>
        <v>0</v>
      </c>
      <c r="N151" s="1">
        <f t="shared" si="26"/>
        <v>26073.533204621013</v>
      </c>
      <c r="O151" s="81">
        <f t="array" ref="O151">IF(OR(G151="Amortization",G151="Fim de Mês"),(1+J151)*N151-D151,-INDEX(Agenda!J:J,MATCH(1,('Lançamentos- Credito Débito'!E151=Agenda!C:C)*('Lançamentos- Credito Débito'!G151=Agenda!G:G),0)))</f>
        <v>26666.487339293999</v>
      </c>
      <c r="P151" s="44">
        <f t="shared" si="27"/>
        <v>592.95413467298692</v>
      </c>
      <c r="Q151" s="64">
        <f t="shared" si="28"/>
        <v>26666.487339293999</v>
      </c>
      <c r="R151" s="14">
        <f t="array" ref="R151">IF(F151="","",INDEX(Agenda!L:L,MATCH(1,('Lançamentos- Credito Débito'!E151=Agenda!C:C)*('Lançamentos- Credito Débito'!F151=Agenda!I:I),0)))</f>
        <v>25960.3</v>
      </c>
      <c r="S151" s="14">
        <f t="shared" si="29"/>
        <v>0</v>
      </c>
      <c r="T151" s="14">
        <f t="shared" si="30"/>
        <v>25960.3</v>
      </c>
      <c r="U151" s="62">
        <f t="shared" si="31"/>
        <v>33731.49</v>
      </c>
      <c r="V151" s="78">
        <f t="shared" si="32"/>
        <v>0</v>
      </c>
      <c r="W151" s="26"/>
      <c r="X151" s="26"/>
      <c r="Y151" s="26"/>
      <c r="Z151" s="26"/>
      <c r="AA151" s="26"/>
      <c r="AB151" s="14"/>
      <c r="AC151" s="14"/>
      <c r="AD151" s="14"/>
      <c r="AE151" s="16"/>
      <c r="AF151" s="14"/>
      <c r="AG151" s="32"/>
      <c r="AH151" s="14"/>
      <c r="AI151" s="14"/>
    </row>
    <row r="152" spans="1:35" x14ac:dyDescent="0.25">
      <c r="A152" s="45">
        <v>44074</v>
      </c>
      <c r="B152" s="33" t="s">
        <v>63</v>
      </c>
      <c r="C152" s="33" t="s">
        <v>22</v>
      </c>
      <c r="D152" s="34">
        <v>0</v>
      </c>
      <c r="E152" s="33" t="s">
        <v>3</v>
      </c>
      <c r="F152" s="30">
        <v>44367</v>
      </c>
      <c r="G152" s="33" t="s">
        <v>86</v>
      </c>
      <c r="H152" s="25">
        <f t="array" ref="H152">IFERROR(INDEX(Agenda!AA:AA,MATCH(1,('Lançamentos- Credito Débito'!E152=Agenda!C:C)*('Lançamentos- Credito Débito'!F152=Agenda!I:I),0)),"")</f>
        <v>7.256462133005126E-4</v>
      </c>
      <c r="I152">
        <f t="shared" si="22"/>
        <v>31</v>
      </c>
      <c r="J152" s="35">
        <f t="shared" si="23"/>
        <v>2.2741610429993342E-2</v>
      </c>
      <c r="K152" s="40">
        <f t="array" ref="K152">INDEX(Agenda!AB:AB,MATCH(1,('Lançamentos- Credito Débito'!E152=Agenda!C:C)*('Lançamentos- Credito Débito'!F152=Agenda!I:I),0))</f>
        <v>0.76961616578455327</v>
      </c>
      <c r="L152" s="36">
        <f t="shared" si="24"/>
        <v>0</v>
      </c>
      <c r="M152" s="36">
        <f t="shared" si="25"/>
        <v>0</v>
      </c>
      <c r="N152" s="1">
        <f t="shared" si="26"/>
        <v>26666.487339293999</v>
      </c>
      <c r="O152" s="81">
        <f t="array" ref="O152">IF(OR(G152="Amortization",G152="Fim de Mês"),(1+J152)*N152-D152,-INDEX(Agenda!J:J,MATCH(1,('Lançamentos- Credito Débito'!E152=Agenda!C:C)*('Lançamentos- Credito Débito'!G152=Agenda!G:G),0)))</f>
        <v>27272.926205900574</v>
      </c>
      <c r="P152" s="44">
        <f t="shared" si="27"/>
        <v>606.43886660657381</v>
      </c>
      <c r="Q152" s="64">
        <f t="shared" si="28"/>
        <v>27272.926205900574</v>
      </c>
      <c r="R152" s="14">
        <f t="array" ref="R152">IF(F152="","",INDEX(Agenda!L:L,MATCH(1,('Lançamentos- Credito Débito'!E152=Agenda!C:C)*('Lançamentos- Credito Débito'!F152=Agenda!I:I),0)))</f>
        <v>25960.3</v>
      </c>
      <c r="S152" s="14">
        <f t="shared" si="29"/>
        <v>0</v>
      </c>
      <c r="T152" s="14">
        <f t="shared" si="30"/>
        <v>25960.3</v>
      </c>
      <c r="U152" s="62">
        <f t="shared" si="31"/>
        <v>33731.49</v>
      </c>
      <c r="V152" s="78">
        <f t="shared" si="32"/>
        <v>0</v>
      </c>
      <c r="W152" s="26"/>
      <c r="X152" s="26"/>
      <c r="Y152" s="26"/>
      <c r="Z152" s="26"/>
      <c r="AA152" s="26"/>
      <c r="AB152" s="14"/>
      <c r="AC152" s="14"/>
      <c r="AD152" s="14"/>
      <c r="AE152" s="16"/>
      <c r="AF152" s="14"/>
      <c r="AG152" s="32"/>
      <c r="AH152" s="14"/>
      <c r="AI152" s="14"/>
    </row>
    <row r="153" spans="1:35" x14ac:dyDescent="0.25">
      <c r="A153" s="45">
        <v>44104</v>
      </c>
      <c r="B153" s="33" t="s">
        <v>63</v>
      </c>
      <c r="C153" s="33" t="s">
        <v>22</v>
      </c>
      <c r="D153" s="34">
        <v>0</v>
      </c>
      <c r="E153" s="33" t="s">
        <v>3</v>
      </c>
      <c r="F153" s="30">
        <v>44367</v>
      </c>
      <c r="G153" s="33" t="s">
        <v>86</v>
      </c>
      <c r="H153" s="25">
        <f t="array" ref="H153">IFERROR(INDEX(Agenda!AA:AA,MATCH(1,('Lançamentos- Credito Débito'!E153=Agenda!C:C)*('Lançamentos- Credito Débito'!F153=Agenda!I:I),0)),"")</f>
        <v>7.256462133005126E-4</v>
      </c>
      <c r="I153">
        <f t="shared" si="22"/>
        <v>30</v>
      </c>
      <c r="J153" s="35">
        <f t="shared" si="23"/>
        <v>2.2000000000000464E-2</v>
      </c>
      <c r="K153" s="40">
        <f t="array" ref="K153">INDEX(Agenda!AB:AB,MATCH(1,('Lançamentos- Credito Débito'!E153=Agenda!C:C)*('Lançamentos- Credito Débito'!F153=Agenda!I:I),0))</f>
        <v>0.76961616578455327</v>
      </c>
      <c r="L153" s="36">
        <f t="shared" si="24"/>
        <v>0</v>
      </c>
      <c r="M153" s="36">
        <f t="shared" si="25"/>
        <v>0</v>
      </c>
      <c r="N153" s="1">
        <f t="shared" si="26"/>
        <v>27272.926205900574</v>
      </c>
      <c r="O153" s="81">
        <f t="array" ref="O153">IF(OR(G153="Amortization",G153="Fim de Mês"),(1+J153)*N153-D153,-INDEX(Agenda!J:J,MATCH(1,('Lançamentos- Credito Débito'!E153=Agenda!C:C)*('Lançamentos- Credito Débito'!G153=Agenda!G:G),0)))</f>
        <v>27872.930582430399</v>
      </c>
      <c r="P153" s="44">
        <f t="shared" si="27"/>
        <v>600.00437652982532</v>
      </c>
      <c r="Q153" s="64">
        <f t="shared" si="28"/>
        <v>27872.930582430399</v>
      </c>
      <c r="R153" s="14">
        <f t="array" ref="R153">IF(F153="","",INDEX(Agenda!L:L,MATCH(1,('Lançamentos- Credito Débito'!E153=Agenda!C:C)*('Lançamentos- Credito Débito'!F153=Agenda!I:I),0)))</f>
        <v>25960.3</v>
      </c>
      <c r="S153" s="14">
        <f t="shared" si="29"/>
        <v>0</v>
      </c>
      <c r="T153" s="14">
        <f t="shared" si="30"/>
        <v>25960.3</v>
      </c>
      <c r="U153" s="62">
        <f t="shared" si="31"/>
        <v>33731.49</v>
      </c>
      <c r="V153" s="78">
        <f t="shared" si="32"/>
        <v>0</v>
      </c>
      <c r="W153" s="26"/>
      <c r="X153" s="26"/>
      <c r="Y153" s="26"/>
      <c r="Z153" s="26"/>
      <c r="AA153" s="26"/>
      <c r="AB153" s="14"/>
      <c r="AC153" s="14"/>
      <c r="AD153" s="14"/>
      <c r="AE153" s="16"/>
      <c r="AF153" s="14"/>
      <c r="AG153" s="32"/>
      <c r="AH153" s="14"/>
      <c r="AI153" s="14"/>
    </row>
    <row r="154" spans="1:35" x14ac:dyDescent="0.25">
      <c r="A154" s="45">
        <v>44135</v>
      </c>
      <c r="B154" s="33" t="s">
        <v>63</v>
      </c>
      <c r="C154" s="33" t="s">
        <v>22</v>
      </c>
      <c r="D154" s="34">
        <v>0</v>
      </c>
      <c r="E154" s="33" t="s">
        <v>3</v>
      </c>
      <c r="F154" s="30">
        <v>44367</v>
      </c>
      <c r="G154" s="33" t="s">
        <v>86</v>
      </c>
      <c r="H154" s="25">
        <f t="array" ref="H154">IFERROR(INDEX(Agenda!AA:AA,MATCH(1,('Lançamentos- Credito Débito'!E154=Agenda!C:C)*('Lançamentos- Credito Débito'!F154=Agenda!I:I),0)),"")</f>
        <v>7.256462133005126E-4</v>
      </c>
      <c r="I154">
        <f t="shared" si="22"/>
        <v>31</v>
      </c>
      <c r="J154" s="35">
        <f t="shared" si="23"/>
        <v>2.2741610429993342E-2</v>
      </c>
      <c r="K154" s="40">
        <f t="array" ref="K154">INDEX(Agenda!AB:AB,MATCH(1,('Lançamentos- Credito Débito'!E154=Agenda!C:C)*('Lançamentos- Credito Débito'!F154=Agenda!I:I),0))</f>
        <v>0.76961616578455327</v>
      </c>
      <c r="L154" s="36">
        <f t="shared" si="24"/>
        <v>0</v>
      </c>
      <c r="M154" s="36">
        <f t="shared" si="25"/>
        <v>0</v>
      </c>
      <c r="N154" s="1">
        <f t="shared" si="26"/>
        <v>27872.930582430399</v>
      </c>
      <c r="O154" s="81">
        <f t="array" ref="O154">IF(OR(G154="Amortization",G154="Fim de Mês"),(1+J154)*N154-D154,-INDEX(Agenda!J:J,MATCH(1,('Lançamentos- Credito Débito'!E154=Agenda!C:C)*('Lançamentos- Credito Débito'!G154=Agenda!G:G),0)))</f>
        <v>28506.805911278279</v>
      </c>
      <c r="P154" s="44">
        <f t="shared" si="27"/>
        <v>633.87532884787959</v>
      </c>
      <c r="Q154" s="64">
        <f t="shared" si="28"/>
        <v>28506.805911278279</v>
      </c>
      <c r="R154" s="14">
        <f t="array" ref="R154">IF(F154="","",INDEX(Agenda!L:L,MATCH(1,('Lançamentos- Credito Débito'!E154=Agenda!C:C)*('Lançamentos- Credito Débito'!F154=Agenda!I:I),0)))</f>
        <v>25960.3</v>
      </c>
      <c r="S154" s="14">
        <f t="shared" si="29"/>
        <v>0</v>
      </c>
      <c r="T154" s="14">
        <f t="shared" si="30"/>
        <v>25960.3</v>
      </c>
      <c r="U154" s="62">
        <f t="shared" si="31"/>
        <v>33731.49</v>
      </c>
      <c r="V154" s="78">
        <f t="shared" si="32"/>
        <v>0</v>
      </c>
      <c r="W154" s="26"/>
      <c r="X154" s="26"/>
      <c r="Y154" s="26"/>
      <c r="Z154" s="26"/>
      <c r="AA154" s="26"/>
      <c r="AB154" s="14"/>
      <c r="AC154" s="14"/>
      <c r="AD154" s="14"/>
      <c r="AE154" s="16"/>
      <c r="AF154" s="14"/>
      <c r="AG154" s="32"/>
      <c r="AH154" s="14"/>
      <c r="AI154" s="14"/>
    </row>
    <row r="155" spans="1:35" x14ac:dyDescent="0.25">
      <c r="A155" s="45">
        <v>44165</v>
      </c>
      <c r="B155" s="33" t="s">
        <v>63</v>
      </c>
      <c r="C155" s="33" t="s">
        <v>22</v>
      </c>
      <c r="D155" s="34">
        <v>0</v>
      </c>
      <c r="E155" s="33" t="s">
        <v>3</v>
      </c>
      <c r="F155" s="30">
        <v>44367</v>
      </c>
      <c r="G155" s="33" t="s">
        <v>86</v>
      </c>
      <c r="H155" s="25">
        <f t="array" ref="H155">IFERROR(INDEX(Agenda!AA:AA,MATCH(1,('Lançamentos- Credito Débito'!E155=Agenda!C:C)*('Lançamentos- Credito Débito'!F155=Agenda!I:I),0)),"")</f>
        <v>7.256462133005126E-4</v>
      </c>
      <c r="I155">
        <f t="shared" si="22"/>
        <v>30</v>
      </c>
      <c r="J155" s="35">
        <f t="shared" si="23"/>
        <v>2.2000000000000464E-2</v>
      </c>
      <c r="K155" s="40">
        <f t="array" ref="K155">INDEX(Agenda!AB:AB,MATCH(1,('Lançamentos- Credito Débito'!E155=Agenda!C:C)*('Lançamentos- Credito Débito'!F155=Agenda!I:I),0))</f>
        <v>0.76961616578455327</v>
      </c>
      <c r="L155" s="36">
        <f t="shared" si="24"/>
        <v>0</v>
      </c>
      <c r="M155" s="36">
        <f t="shared" si="25"/>
        <v>0</v>
      </c>
      <c r="N155" s="1">
        <f t="shared" si="26"/>
        <v>28506.805911278279</v>
      </c>
      <c r="O155" s="81">
        <f t="array" ref="O155">IF(OR(G155="Amortization",G155="Fim de Mês"),(1+J155)*N155-D155,-INDEX(Agenda!J:J,MATCH(1,('Lançamentos- Credito Débito'!E155=Agenda!C:C)*('Lançamentos- Credito Débito'!G155=Agenda!G:G),0)))</f>
        <v>29133.955641326414</v>
      </c>
      <c r="P155" s="44">
        <f t="shared" si="27"/>
        <v>627.14973004813532</v>
      </c>
      <c r="Q155" s="64">
        <f t="shared" si="28"/>
        <v>29133.955641326414</v>
      </c>
      <c r="R155" s="14">
        <f t="array" ref="R155">IF(F155="","",INDEX(Agenda!L:L,MATCH(1,('Lançamentos- Credito Débito'!E155=Agenda!C:C)*('Lançamentos- Credito Débito'!F155=Agenda!I:I),0)))</f>
        <v>25960.3</v>
      </c>
      <c r="S155" s="14">
        <f t="shared" si="29"/>
        <v>0</v>
      </c>
      <c r="T155" s="14">
        <f t="shared" si="30"/>
        <v>25960.3</v>
      </c>
      <c r="U155" s="62">
        <f t="shared" si="31"/>
        <v>33731.49</v>
      </c>
      <c r="V155" s="78">
        <f t="shared" si="32"/>
        <v>0</v>
      </c>
      <c r="W155" s="26"/>
      <c r="X155" s="26"/>
      <c r="Y155" s="26"/>
      <c r="Z155" s="26"/>
      <c r="AA155" s="26"/>
      <c r="AB155" s="14"/>
      <c r="AC155" s="14"/>
      <c r="AD155" s="14"/>
      <c r="AE155" s="16"/>
      <c r="AF155" s="14"/>
      <c r="AG155" s="32"/>
      <c r="AH155" s="14"/>
      <c r="AI155" s="14"/>
    </row>
    <row r="156" spans="1:35" x14ac:dyDescent="0.25">
      <c r="A156" s="45">
        <v>44196</v>
      </c>
      <c r="B156" s="33" t="s">
        <v>63</v>
      </c>
      <c r="C156" s="33" t="s">
        <v>22</v>
      </c>
      <c r="D156" s="34">
        <v>0</v>
      </c>
      <c r="E156" s="33" t="s">
        <v>3</v>
      </c>
      <c r="F156" s="30">
        <v>44367</v>
      </c>
      <c r="G156" s="33" t="s">
        <v>86</v>
      </c>
      <c r="H156" s="25">
        <f t="array" ref="H156">IFERROR(INDEX(Agenda!AA:AA,MATCH(1,('Lançamentos- Credito Débito'!E156=Agenda!C:C)*('Lançamentos- Credito Débito'!F156=Agenda!I:I),0)),"")</f>
        <v>7.256462133005126E-4</v>
      </c>
      <c r="I156">
        <f t="shared" si="22"/>
        <v>31</v>
      </c>
      <c r="J156" s="35">
        <f t="shared" si="23"/>
        <v>2.2741610429993342E-2</v>
      </c>
      <c r="K156" s="40">
        <f t="array" ref="K156">INDEX(Agenda!AB:AB,MATCH(1,('Lançamentos- Credito Débito'!E156=Agenda!C:C)*('Lançamentos- Credito Débito'!F156=Agenda!I:I),0))</f>
        <v>0.76961616578455327</v>
      </c>
      <c r="L156" s="36">
        <f t="shared" si="24"/>
        <v>0</v>
      </c>
      <c r="M156" s="36">
        <f t="shared" si="25"/>
        <v>0</v>
      </c>
      <c r="N156" s="1">
        <f t="shared" si="26"/>
        <v>29133.955641326414</v>
      </c>
      <c r="O156" s="81">
        <f t="array" ref="O156">IF(OR(G156="Amortization",G156="Fim de Mês"),(1+J156)*N156-D156,-INDEX(Agenda!J:J,MATCH(1,('Lançamentos- Credito Débito'!E156=Agenda!C:C)*('Lançamentos- Credito Débito'!G156=Agenda!G:G),0)))</f>
        <v>29796.508710806167</v>
      </c>
      <c r="P156" s="44">
        <f t="shared" si="27"/>
        <v>662.55306947975214</v>
      </c>
      <c r="Q156" s="64">
        <f t="shared" si="28"/>
        <v>29796.508710806167</v>
      </c>
      <c r="R156" s="14">
        <f t="array" ref="R156">IF(F156="","",INDEX(Agenda!L:L,MATCH(1,('Lançamentos- Credito Débito'!E156=Agenda!C:C)*('Lançamentos- Credito Débito'!F156=Agenda!I:I),0)))</f>
        <v>25960.3</v>
      </c>
      <c r="S156" s="14">
        <f t="shared" si="29"/>
        <v>0</v>
      </c>
      <c r="T156" s="14">
        <f t="shared" si="30"/>
        <v>25960.3</v>
      </c>
      <c r="U156" s="62">
        <f t="shared" si="31"/>
        <v>33731.49</v>
      </c>
      <c r="V156" s="78">
        <f t="shared" si="32"/>
        <v>0</v>
      </c>
      <c r="W156" s="26"/>
      <c r="X156" s="26"/>
      <c r="Y156" s="26"/>
      <c r="Z156" s="26"/>
      <c r="AA156" s="26"/>
      <c r="AB156" s="14"/>
      <c r="AC156" s="14"/>
      <c r="AD156" s="14"/>
      <c r="AE156" s="16"/>
      <c r="AF156" s="14"/>
      <c r="AG156" s="32"/>
      <c r="AH156" s="14"/>
      <c r="AI156" s="14"/>
    </row>
    <row r="157" spans="1:35" x14ac:dyDescent="0.25">
      <c r="A157" s="45">
        <v>44227</v>
      </c>
      <c r="B157" s="33" t="s">
        <v>63</v>
      </c>
      <c r="C157" s="33" t="s">
        <v>22</v>
      </c>
      <c r="D157" s="34">
        <v>0</v>
      </c>
      <c r="E157" s="33" t="s">
        <v>3</v>
      </c>
      <c r="F157" s="30">
        <v>44367</v>
      </c>
      <c r="G157" s="33" t="s">
        <v>86</v>
      </c>
      <c r="H157" s="25">
        <f t="array" ref="H157">IFERROR(INDEX(Agenda!AA:AA,MATCH(1,('Lançamentos- Credito Débito'!E157=Agenda!C:C)*('Lançamentos- Credito Débito'!F157=Agenda!I:I),0)),"")</f>
        <v>7.256462133005126E-4</v>
      </c>
      <c r="I157">
        <f t="shared" si="22"/>
        <v>31</v>
      </c>
      <c r="J157" s="35">
        <f t="shared" si="23"/>
        <v>2.2741610429993342E-2</v>
      </c>
      <c r="K157" s="40">
        <f t="array" ref="K157">INDEX(Agenda!AB:AB,MATCH(1,('Lançamentos- Credito Débito'!E157=Agenda!C:C)*('Lançamentos- Credito Débito'!F157=Agenda!I:I),0))</f>
        <v>0.76961616578455327</v>
      </c>
      <c r="L157" s="36">
        <f t="shared" si="24"/>
        <v>0</v>
      </c>
      <c r="M157" s="36">
        <f t="shared" si="25"/>
        <v>0</v>
      </c>
      <c r="N157" s="1">
        <f t="shared" si="26"/>
        <v>29796.508710806167</v>
      </c>
      <c r="O157" s="81">
        <f t="array" ref="O157">IF(OR(G157="Amortization",G157="Fim de Mês"),(1+J157)*N157-D157,-INDEX(Agenda!J:J,MATCH(1,('Lançamentos- Credito Débito'!E157=Agenda!C:C)*('Lançamentos- Credito Débito'!G157=Agenda!G:G),0)))</f>
        <v>30474.129304081223</v>
      </c>
      <c r="P157" s="44">
        <f t="shared" si="27"/>
        <v>677.62059327505699</v>
      </c>
      <c r="Q157" s="64">
        <f t="shared" si="28"/>
        <v>30474.129304081223</v>
      </c>
      <c r="R157" s="14">
        <f t="array" ref="R157">IF(F157="","",INDEX(Agenda!L:L,MATCH(1,('Lançamentos- Credito Débito'!E157=Agenda!C:C)*('Lançamentos- Credito Débito'!F157=Agenda!I:I),0)))</f>
        <v>25960.3</v>
      </c>
      <c r="S157" s="14">
        <f t="shared" si="29"/>
        <v>0</v>
      </c>
      <c r="T157" s="14">
        <f t="shared" si="30"/>
        <v>25960.3</v>
      </c>
      <c r="U157" s="62">
        <f t="shared" si="31"/>
        <v>33731.49</v>
      </c>
      <c r="V157" s="78">
        <f t="shared" si="32"/>
        <v>0</v>
      </c>
      <c r="W157" s="26"/>
      <c r="X157" s="26"/>
      <c r="Y157" s="26"/>
      <c r="Z157" s="26"/>
      <c r="AA157" s="26"/>
      <c r="AB157" s="14"/>
      <c r="AC157" s="14"/>
      <c r="AD157" s="14"/>
      <c r="AE157" s="16"/>
      <c r="AF157" s="14"/>
      <c r="AG157" s="32"/>
      <c r="AH157" s="14"/>
      <c r="AI157" s="14"/>
    </row>
    <row r="158" spans="1:35" x14ac:dyDescent="0.25">
      <c r="A158" s="45">
        <v>44255</v>
      </c>
      <c r="B158" s="33" t="s">
        <v>63</v>
      </c>
      <c r="C158" s="33" t="s">
        <v>22</v>
      </c>
      <c r="D158" s="34">
        <v>0</v>
      </c>
      <c r="E158" s="33" t="s">
        <v>3</v>
      </c>
      <c r="F158" s="30">
        <v>44367</v>
      </c>
      <c r="G158" s="33" t="s">
        <v>86</v>
      </c>
      <c r="H158" s="25">
        <f t="array" ref="H158">IFERROR(INDEX(Agenda!AA:AA,MATCH(1,('Lançamentos- Credito Débito'!E158=Agenda!C:C)*('Lançamentos- Credito Débito'!F158=Agenda!I:I),0)),"")</f>
        <v>7.256462133005126E-4</v>
      </c>
      <c r="I158">
        <f t="shared" si="22"/>
        <v>28</v>
      </c>
      <c r="J158" s="35">
        <f t="shared" si="23"/>
        <v>2.051839201981398E-2</v>
      </c>
      <c r="K158" s="40">
        <f t="array" ref="K158">INDEX(Agenda!AB:AB,MATCH(1,('Lançamentos- Credito Débito'!E158=Agenda!C:C)*('Lançamentos- Credito Débito'!F158=Agenda!I:I),0))</f>
        <v>0.76961616578455327</v>
      </c>
      <c r="L158" s="36">
        <f t="shared" si="24"/>
        <v>0</v>
      </c>
      <c r="M158" s="36">
        <f t="shared" si="25"/>
        <v>0</v>
      </c>
      <c r="N158" s="1">
        <f t="shared" si="26"/>
        <v>30474.129304081223</v>
      </c>
      <c r="O158" s="81">
        <f t="array" ref="O158">IF(OR(G158="Amortization",G158="Fim de Mês"),(1+J158)*N158-D158,-INDEX(Agenda!J:J,MATCH(1,('Lançamentos- Credito Débito'!E158=Agenda!C:C)*('Lançamentos- Credito Débito'!G158=Agenda!G:G),0)))</f>
        <v>31099.409435604863</v>
      </c>
      <c r="P158" s="44">
        <f t="shared" si="27"/>
        <v>625.28013152363951</v>
      </c>
      <c r="Q158" s="64">
        <f t="shared" si="28"/>
        <v>31099.409435604863</v>
      </c>
      <c r="R158" s="14">
        <f t="array" ref="R158">IF(F158="","",INDEX(Agenda!L:L,MATCH(1,('Lançamentos- Credito Débito'!E158=Agenda!C:C)*('Lançamentos- Credito Débito'!F158=Agenda!I:I),0)))</f>
        <v>25960.3</v>
      </c>
      <c r="S158" s="14">
        <f t="shared" si="29"/>
        <v>0</v>
      </c>
      <c r="T158" s="14">
        <f t="shared" si="30"/>
        <v>25960.3</v>
      </c>
      <c r="U158" s="62">
        <f t="shared" si="31"/>
        <v>33731.49</v>
      </c>
      <c r="V158" s="78">
        <f t="shared" si="32"/>
        <v>0</v>
      </c>
      <c r="W158" s="26"/>
      <c r="X158" s="26"/>
      <c r="Y158" s="26"/>
      <c r="Z158" s="26"/>
      <c r="AA158" s="26"/>
      <c r="AB158" s="14"/>
      <c r="AC158" s="14"/>
      <c r="AD158" s="14"/>
      <c r="AE158" s="16"/>
      <c r="AF158" s="14"/>
      <c r="AG158" s="32"/>
      <c r="AH158" s="14"/>
      <c r="AI158" s="14"/>
    </row>
    <row r="159" spans="1:35" x14ac:dyDescent="0.25">
      <c r="A159" s="45">
        <v>44286</v>
      </c>
      <c r="B159" s="33" t="s">
        <v>63</v>
      </c>
      <c r="C159" s="33" t="s">
        <v>22</v>
      </c>
      <c r="D159" s="34">
        <v>0</v>
      </c>
      <c r="E159" s="33" t="s">
        <v>3</v>
      </c>
      <c r="F159" s="30">
        <v>44367</v>
      </c>
      <c r="G159" s="33" t="s">
        <v>86</v>
      </c>
      <c r="H159" s="25">
        <f t="array" ref="H159">IFERROR(INDEX(Agenda!AA:AA,MATCH(1,('Lançamentos- Credito Débito'!E159=Agenda!C:C)*('Lançamentos- Credito Débito'!F159=Agenda!I:I),0)),"")</f>
        <v>7.256462133005126E-4</v>
      </c>
      <c r="I159">
        <f t="shared" si="22"/>
        <v>31</v>
      </c>
      <c r="J159" s="35">
        <f t="shared" si="23"/>
        <v>2.2741610429993342E-2</v>
      </c>
      <c r="K159" s="40">
        <f t="array" ref="K159">INDEX(Agenda!AB:AB,MATCH(1,('Lançamentos- Credito Débito'!E159=Agenda!C:C)*('Lançamentos- Credito Débito'!F159=Agenda!I:I),0))</f>
        <v>0.76961616578455327</v>
      </c>
      <c r="L159" s="36">
        <f t="shared" si="24"/>
        <v>0</v>
      </c>
      <c r="M159" s="36">
        <f t="shared" si="25"/>
        <v>0</v>
      </c>
      <c r="N159" s="1">
        <f t="shared" si="26"/>
        <v>31099.409435604863</v>
      </c>
      <c r="O159" s="81">
        <f t="array" ref="O159">IF(OR(G159="Amortization",G159="Fim de Mês"),(1+J159)*N159-D159,-INDEX(Agenda!J:J,MATCH(1,('Lançamentos- Credito Débito'!E159=Agenda!C:C)*('Lançamentos- Credito Débito'!G159=Agenda!G:G),0)))</f>
        <v>31806.660089592249</v>
      </c>
      <c r="P159" s="44">
        <f t="shared" si="27"/>
        <v>707.25065398738491</v>
      </c>
      <c r="Q159" s="64">
        <f t="shared" si="28"/>
        <v>31806.660089592249</v>
      </c>
      <c r="R159" s="14">
        <f t="array" ref="R159">IF(F159="","",INDEX(Agenda!L:L,MATCH(1,('Lançamentos- Credito Débito'!E159=Agenda!C:C)*('Lançamentos- Credito Débito'!F159=Agenda!I:I),0)))</f>
        <v>25960.3</v>
      </c>
      <c r="S159" s="14">
        <f t="shared" si="29"/>
        <v>0</v>
      </c>
      <c r="T159" s="14">
        <f t="shared" si="30"/>
        <v>25960.3</v>
      </c>
      <c r="U159" s="62">
        <f t="shared" si="31"/>
        <v>33731.49</v>
      </c>
      <c r="V159" s="78">
        <f t="shared" si="32"/>
        <v>0</v>
      </c>
      <c r="W159" s="26"/>
      <c r="X159" s="26"/>
      <c r="Y159" s="26"/>
      <c r="Z159" s="26"/>
      <c r="AA159" s="26"/>
      <c r="AB159" s="14"/>
      <c r="AC159" s="14"/>
      <c r="AD159" s="14"/>
      <c r="AE159" s="16"/>
      <c r="AF159" s="14"/>
      <c r="AG159" s="32"/>
      <c r="AH159" s="14"/>
      <c r="AI159" s="14"/>
    </row>
    <row r="160" spans="1:35" x14ac:dyDescent="0.25">
      <c r="A160" s="30">
        <v>44316</v>
      </c>
      <c r="B160" s="33" t="s">
        <v>63</v>
      </c>
      <c r="C160" s="33" t="s">
        <v>22</v>
      </c>
      <c r="D160" s="34">
        <v>0</v>
      </c>
      <c r="E160" s="33" t="s">
        <v>3</v>
      </c>
      <c r="F160" s="30">
        <v>44367</v>
      </c>
      <c r="G160" s="33" t="s">
        <v>86</v>
      </c>
      <c r="H160" s="25">
        <f t="array" ref="H160">IFERROR(INDEX(Agenda!AA:AA,MATCH(1,('Lançamentos- Credito Débito'!E160=Agenda!C:C)*('Lançamentos- Credito Débito'!F160=Agenda!I:I),0)),"")</f>
        <v>7.256462133005126E-4</v>
      </c>
      <c r="I160">
        <f t="shared" si="22"/>
        <v>30</v>
      </c>
      <c r="J160" s="35">
        <f t="shared" si="23"/>
        <v>2.2000000000000464E-2</v>
      </c>
      <c r="K160" s="40">
        <f t="array" ref="K160">INDEX(Agenda!AB:AB,MATCH(1,('Lançamentos- Credito Débito'!E160=Agenda!C:C)*('Lançamentos- Credito Débito'!F160=Agenda!I:I),0))</f>
        <v>0.76961616578455327</v>
      </c>
      <c r="L160" s="36">
        <f t="shared" si="24"/>
        <v>0</v>
      </c>
      <c r="M160" s="36">
        <f t="shared" si="25"/>
        <v>0</v>
      </c>
      <c r="N160" s="1">
        <f t="shared" si="26"/>
        <v>31806.660089592249</v>
      </c>
      <c r="O160" s="81">
        <f t="array" ref="O160">IF(OR(G160="Amortization",G160="Fim de Mês"),(1+J160)*N160-D160,-INDEX(Agenda!J:J,MATCH(1,('Lançamentos- Credito Débito'!E160=Agenda!C:C)*('Lançamentos- Credito Débito'!G160=Agenda!G:G),0)))</f>
        <v>32506.406611563292</v>
      </c>
      <c r="P160" s="44">
        <f t="shared" si="27"/>
        <v>699.74652197104422</v>
      </c>
      <c r="Q160" s="64">
        <f t="shared" si="28"/>
        <v>32506.406611563292</v>
      </c>
      <c r="R160" s="14">
        <f t="array" ref="R160">IF(F160="","",INDEX(Agenda!L:L,MATCH(1,('Lançamentos- Credito Débito'!E160=Agenda!C:C)*('Lançamentos- Credito Débito'!F160=Agenda!I:I),0)))</f>
        <v>25960.3</v>
      </c>
      <c r="S160" s="14">
        <f t="shared" si="29"/>
        <v>0</v>
      </c>
      <c r="T160" s="14">
        <f t="shared" si="30"/>
        <v>25960.3</v>
      </c>
      <c r="U160" s="62">
        <f t="shared" si="31"/>
        <v>33731.49</v>
      </c>
      <c r="V160" s="78">
        <f t="shared" si="32"/>
        <v>0</v>
      </c>
      <c r="W160" s="26"/>
      <c r="X160" s="26"/>
      <c r="Y160" s="26"/>
      <c r="Z160" s="26"/>
      <c r="AA160" s="26"/>
      <c r="AB160" s="14"/>
      <c r="AC160" s="14"/>
      <c r="AD160" s="14"/>
      <c r="AE160" s="16"/>
      <c r="AF160" s="14"/>
      <c r="AG160" s="32"/>
      <c r="AH160" s="14"/>
      <c r="AI160" s="14"/>
    </row>
    <row r="161" spans="1:35" x14ac:dyDescent="0.25">
      <c r="A161" s="45">
        <v>44347</v>
      </c>
      <c r="B161" s="33" t="s">
        <v>63</v>
      </c>
      <c r="C161" s="33" t="s">
        <v>22</v>
      </c>
      <c r="D161" s="34">
        <v>0</v>
      </c>
      <c r="E161" s="33" t="s">
        <v>3</v>
      </c>
      <c r="F161" s="30">
        <v>44367</v>
      </c>
      <c r="G161" s="33" t="s">
        <v>86</v>
      </c>
      <c r="H161" s="25">
        <f t="array" ref="H161">IFERROR(INDEX(Agenda!AA:AA,MATCH(1,('Lançamentos- Credito Débito'!E161=Agenda!C:C)*('Lançamentos- Credito Débito'!F161=Agenda!I:I),0)),"")</f>
        <v>7.256462133005126E-4</v>
      </c>
      <c r="I161">
        <f t="shared" si="22"/>
        <v>31</v>
      </c>
      <c r="J161" s="35">
        <f t="shared" si="23"/>
        <v>2.2741610429993342E-2</v>
      </c>
      <c r="K161" s="40">
        <f t="array" ref="K161">INDEX(Agenda!AB:AB,MATCH(1,('Lançamentos- Credito Débito'!E161=Agenda!C:C)*('Lançamentos- Credito Débito'!F161=Agenda!I:I),0))</f>
        <v>0.76961616578455327</v>
      </c>
      <c r="L161" s="36">
        <f t="shared" si="24"/>
        <v>0</v>
      </c>
      <c r="M161" s="36">
        <f t="shared" si="25"/>
        <v>0</v>
      </c>
      <c r="N161" s="1">
        <f t="shared" si="26"/>
        <v>32506.406611563292</v>
      </c>
      <c r="O161" s="81">
        <f t="array" ref="O161">IF(OR(G161="Amortization",G161="Fim de Mês"),(1+J161)*N161-D161,-INDEX(Agenda!J:J,MATCH(1,('Lançamentos- Credito Débito'!E161=Agenda!C:C)*('Lançamentos- Credito Débito'!G161=Agenda!G:G),0)))</f>
        <v>33245.654647202427</v>
      </c>
      <c r="P161" s="44">
        <f t="shared" si="27"/>
        <v>739.24803563913224</v>
      </c>
      <c r="Q161" s="64">
        <f t="shared" si="28"/>
        <v>33245.654647202427</v>
      </c>
      <c r="R161" s="14">
        <f t="array" ref="R161">IF(F161="","",INDEX(Agenda!L:L,MATCH(1,('Lançamentos- Credito Débito'!E161=Agenda!C:C)*('Lançamentos- Credito Débito'!F161=Agenda!I:I),0)))</f>
        <v>25960.3</v>
      </c>
      <c r="S161" s="14">
        <f t="shared" si="29"/>
        <v>0</v>
      </c>
      <c r="T161" s="14">
        <f t="shared" si="30"/>
        <v>25960.3</v>
      </c>
      <c r="U161" s="62">
        <f t="shared" si="31"/>
        <v>33731.49</v>
      </c>
      <c r="V161" s="78">
        <f t="shared" si="32"/>
        <v>0</v>
      </c>
      <c r="W161" s="26"/>
      <c r="X161" s="26"/>
      <c r="Y161" s="26"/>
      <c r="Z161" s="26"/>
      <c r="AA161" s="26"/>
      <c r="AB161" s="14"/>
      <c r="AC161" s="14"/>
      <c r="AD161" s="14"/>
      <c r="AE161" s="16"/>
      <c r="AF161" s="14"/>
      <c r="AG161" s="32"/>
      <c r="AH161" s="14"/>
      <c r="AI161" s="14"/>
    </row>
    <row r="162" spans="1:35" x14ac:dyDescent="0.25">
      <c r="A162" s="30">
        <v>44367</v>
      </c>
      <c r="B162" s="33" t="s">
        <v>63</v>
      </c>
      <c r="C162" s="33" t="s">
        <v>22</v>
      </c>
      <c r="D162" s="34">
        <v>33731.49</v>
      </c>
      <c r="E162" s="33" t="s">
        <v>3</v>
      </c>
      <c r="F162" s="30">
        <v>44367</v>
      </c>
      <c r="G162" s="33" t="s">
        <v>51</v>
      </c>
      <c r="H162" s="25">
        <f t="array" ref="H162">IFERROR(INDEX(Agenda!AA:AA,MATCH(1,('Lançamentos- Credito Débito'!E162=Agenda!C:C)*('Lançamentos- Credito Débito'!F162=Agenda!I:I),0)),"")</f>
        <v>7.256462133005126E-4</v>
      </c>
      <c r="I162">
        <f t="shared" si="22"/>
        <v>20</v>
      </c>
      <c r="J162" s="35">
        <f t="shared" si="23"/>
        <v>1.4613408065360156E-2</v>
      </c>
      <c r="K162" s="40">
        <f t="array" ref="K162">INDEX(Agenda!AB:AB,MATCH(1,('Lançamentos- Credito Débito'!E162=Agenda!C:C)*('Lançamentos- Credito Débito'!F162=Agenda!I:I),0))</f>
        <v>0.76961616578455327</v>
      </c>
      <c r="L162" s="36">
        <f t="shared" si="24"/>
        <v>25960.3</v>
      </c>
      <c r="M162" s="36">
        <f t="shared" si="25"/>
        <v>7771.1899999999987</v>
      </c>
      <c r="N162" s="1">
        <f t="shared" si="26"/>
        <v>33245.654647202427</v>
      </c>
      <c r="O162" s="81">
        <f t="array" ref="O162">IF(OR(G162="Amortization",G162="Fim de Mês"),(1+J162)*N162-D162,-INDEX(Agenda!J:J,MATCH(1,('Lançamentos- Credito Débito'!E162=Agenda!C:C)*('Lançamentos- Credito Débito'!G162=Agenda!G:G),0)))</f>
        <v>-3.0350379674928263E-3</v>
      </c>
      <c r="P162" s="44">
        <f t="shared" si="27"/>
        <v>485.83231775960633</v>
      </c>
      <c r="Q162" s="64">
        <f t="shared" si="28"/>
        <v>33731.48696496203</v>
      </c>
      <c r="R162" s="14">
        <f t="array" ref="R162">IF(F162="","",INDEX(Agenda!L:L,MATCH(1,('Lançamentos- Credito Débito'!E162=Agenda!C:C)*('Lançamentos- Credito Débito'!F162=Agenda!I:I),0)))</f>
        <v>25960.3</v>
      </c>
      <c r="S162" s="14">
        <f t="shared" si="29"/>
        <v>25960.3</v>
      </c>
      <c r="T162" s="14">
        <f t="shared" si="30"/>
        <v>0</v>
      </c>
      <c r="U162" s="62">
        <f t="shared" si="31"/>
        <v>0</v>
      </c>
      <c r="V162" s="78">
        <f t="shared" si="32"/>
        <v>0</v>
      </c>
      <c r="W162" s="26"/>
      <c r="X162" s="26"/>
      <c r="Y162" s="26"/>
      <c r="Z162" s="26"/>
      <c r="AA162" s="26"/>
      <c r="AB162" s="14"/>
      <c r="AC162" s="14"/>
      <c r="AD162" s="14"/>
      <c r="AE162" s="16"/>
      <c r="AF162" s="14"/>
      <c r="AG162" s="32"/>
      <c r="AH162" s="14"/>
      <c r="AI162" s="14"/>
    </row>
    <row r="163" spans="1:35" customFormat="1" x14ac:dyDescent="0.25">
      <c r="A163" s="45">
        <v>43966</v>
      </c>
      <c r="B163" s="33" t="s">
        <v>24</v>
      </c>
      <c r="C163" s="33" t="s">
        <v>63</v>
      </c>
      <c r="D163" s="34">
        <v>50737.06</v>
      </c>
      <c r="E163" s="33" t="s">
        <v>10</v>
      </c>
      <c r="F163" s="33"/>
      <c r="G163" s="33" t="s">
        <v>50</v>
      </c>
      <c r="H163" s="25" t="str">
        <f t="array" ref="H163">IFERROR(INDEX(Agenda!AA:AA,MATCH(1,('Lançamentos- Credito Débito'!E163=Agenda!C:C)*('Lançamentos- Credito Débito'!F163=Agenda!I:I),0)),"")</f>
        <v/>
      </c>
      <c r="I163" t="str">
        <f t="shared" si="22"/>
        <v/>
      </c>
      <c r="J163" s="35" t="str">
        <f t="shared" si="23"/>
        <v/>
      </c>
      <c r="K163" s="40" t="e">
        <f t="array" ref="K163">INDEX(Agenda!AB:AB,MATCH(1,('Lançamentos- Credito Débito'!E163=Agenda!C:C)*('Lançamentos- Credito Débito'!F163=Agenda!I:I),0))</f>
        <v>#N/A</v>
      </c>
      <c r="L163" s="36" t="str">
        <f t="shared" si="24"/>
        <v/>
      </c>
      <c r="M163" s="36" t="str">
        <f t="shared" si="25"/>
        <v/>
      </c>
      <c r="N163" s="1" t="str">
        <f t="shared" si="26"/>
        <v/>
      </c>
      <c r="O163" s="81">
        <f t="array" ref="O163">IF(OR(G163="Amortization",G163="Fim de Mês"),(1+J163)*N163-D163,-INDEX(Agenda!J:J,MATCH(1,('Lançamentos- Credito Débito'!E163=Agenda!C:C)*('Lançamentos- Credito Débito'!G163=Agenda!G:G),0)))</f>
        <v>50737.06</v>
      </c>
      <c r="P163" s="44" t="str">
        <f t="shared" si="27"/>
        <v/>
      </c>
      <c r="Q163" s="64" t="str">
        <f t="shared" si="28"/>
        <v/>
      </c>
      <c r="R163" s="14" t="str">
        <f t="array" ref="R163">IF(F163="","",INDEX(Agenda!L:L,MATCH(1,('Lançamentos- Credito Débito'!E163=Agenda!C:C)*('Lançamentos- Credito Débito'!F163=Agenda!I:I),0)))</f>
        <v/>
      </c>
      <c r="S163" s="14" t="str">
        <f t="shared" si="29"/>
        <v/>
      </c>
      <c r="T163" s="14" t="str">
        <f t="shared" si="30"/>
        <v/>
      </c>
      <c r="U163" s="62" t="str">
        <f t="shared" si="31"/>
        <v/>
      </c>
      <c r="V163" s="78" t="str">
        <f t="shared" si="32"/>
        <v/>
      </c>
    </row>
    <row r="164" spans="1:35" customFormat="1" x14ac:dyDescent="0.25">
      <c r="A164" s="45">
        <v>43982</v>
      </c>
      <c r="B164" s="33" t="s">
        <v>63</v>
      </c>
      <c r="C164" s="33" t="s">
        <v>24</v>
      </c>
      <c r="D164" s="34">
        <v>0</v>
      </c>
      <c r="E164" s="33" t="s">
        <v>10</v>
      </c>
      <c r="F164" s="30">
        <v>44315</v>
      </c>
      <c r="G164" s="33" t="s">
        <v>86</v>
      </c>
      <c r="H164" s="25">
        <f t="array" ref="H164">IFERROR(INDEX(Agenda!AA:AA,MATCH(1,('Lançamentos- Credito Débito'!E164=Agenda!C:C)*('Lançamentos- Credito Débito'!F164=Agenda!I:I),0)),"")</f>
        <v>7.9086345495804622E-4</v>
      </c>
      <c r="I164">
        <f t="shared" si="22"/>
        <v>16</v>
      </c>
      <c r="J164" s="35">
        <f t="shared" si="23"/>
        <v>1.2729148801356782E-2</v>
      </c>
      <c r="K164" s="40">
        <f t="array" ref="K164">INDEX(Agenda!AB:AB,MATCH(1,('Lançamentos- Credito Débito'!E164=Agenda!C:C)*('Lançamentos- Credito Débito'!F164=Agenda!I:I),0))</f>
        <v>0.75888711445994061</v>
      </c>
      <c r="L164" s="36">
        <f t="shared" si="24"/>
        <v>0</v>
      </c>
      <c r="M164" s="36">
        <f t="shared" si="25"/>
        <v>0</v>
      </c>
      <c r="N164" s="1">
        <f t="shared" si="26"/>
        <v>50737.06</v>
      </c>
      <c r="O164" s="81">
        <f t="array" ref="O164">IF(OR(G164="Amortization",G164="Fim de Mês"),(1+J164)*N164-D164,-INDEX(Agenda!J:J,MATCH(1,('Lançamentos- Credito Débito'!E164=Agenda!C:C)*('Lançamentos- Credito Débito'!G164=Agenda!G:G),0)))</f>
        <v>51382.899586483363</v>
      </c>
      <c r="P164" s="44">
        <f t="shared" si="27"/>
        <v>645.83958648336716</v>
      </c>
      <c r="Q164" s="64">
        <f t="shared" si="28"/>
        <v>51382.899586483363</v>
      </c>
      <c r="R164" s="14">
        <f t="array" ref="R164">IF(F164="","",INDEX(Agenda!L:L,MATCH(1,('Lançamentos- Credito Débito'!E164=Agenda!C:C)*('Lançamentos- Credito Débito'!F164=Agenda!I:I),0)))</f>
        <v>50737.06</v>
      </c>
      <c r="S164" s="14">
        <f t="shared" si="29"/>
        <v>0</v>
      </c>
      <c r="T164" s="14">
        <f t="shared" si="30"/>
        <v>50737.06</v>
      </c>
      <c r="U164" s="62">
        <f t="shared" si="31"/>
        <v>66857.19</v>
      </c>
      <c r="V164" s="78">
        <f t="shared" si="32"/>
        <v>0</v>
      </c>
    </row>
    <row r="165" spans="1:35" customFormat="1" x14ac:dyDescent="0.25">
      <c r="A165" s="45">
        <v>44012</v>
      </c>
      <c r="B165" s="33" t="s">
        <v>63</v>
      </c>
      <c r="C165" s="33" t="s">
        <v>24</v>
      </c>
      <c r="D165" s="34">
        <v>0</v>
      </c>
      <c r="E165" s="33" t="s">
        <v>10</v>
      </c>
      <c r="F165" s="30">
        <v>44315</v>
      </c>
      <c r="G165" s="33" t="s">
        <v>86</v>
      </c>
      <c r="H165" s="25">
        <f t="array" ref="H165">IFERROR(INDEX(Agenda!AA:AA,MATCH(1,('Lançamentos- Credito Débito'!E165=Agenda!C:C)*('Lançamentos- Credito Débito'!F165=Agenda!I:I),0)),"")</f>
        <v>7.9086345495804622E-4</v>
      </c>
      <c r="I165">
        <f t="shared" si="22"/>
        <v>30</v>
      </c>
      <c r="J165" s="35">
        <f t="shared" si="23"/>
        <v>2.4000000000002242E-2</v>
      </c>
      <c r="K165" s="40">
        <f t="array" ref="K165">INDEX(Agenda!AB:AB,MATCH(1,('Lançamentos- Credito Débito'!E165=Agenda!C:C)*('Lançamentos- Credito Débito'!F165=Agenda!I:I),0))</f>
        <v>0.75888711445994061</v>
      </c>
      <c r="L165" s="36">
        <f t="shared" si="24"/>
        <v>0</v>
      </c>
      <c r="M165" s="36">
        <f t="shared" si="25"/>
        <v>0</v>
      </c>
      <c r="N165" s="1">
        <f t="shared" si="26"/>
        <v>51382.899586483363</v>
      </c>
      <c r="O165" s="81">
        <f t="array" ref="O165">IF(OR(G165="Amortization",G165="Fim de Mês"),(1+J165)*N165-D165,-INDEX(Agenda!J:J,MATCH(1,('Lançamentos- Credito Débito'!E165=Agenda!C:C)*('Lançamentos- Credito Débito'!G165=Agenda!G:G),0)))</f>
        <v>52616.089176559079</v>
      </c>
      <c r="P165" s="44">
        <f t="shared" si="27"/>
        <v>1233.1895900757158</v>
      </c>
      <c r="Q165" s="64">
        <f t="shared" si="28"/>
        <v>52616.089176559079</v>
      </c>
      <c r="R165" s="14">
        <f t="array" ref="R165">IF(F165="","",INDEX(Agenda!L:L,MATCH(1,('Lançamentos- Credito Débito'!E165=Agenda!C:C)*('Lançamentos- Credito Débito'!F165=Agenda!I:I),0)))</f>
        <v>50737.06</v>
      </c>
      <c r="S165" s="14">
        <f t="shared" si="29"/>
        <v>0</v>
      </c>
      <c r="T165" s="14">
        <f t="shared" si="30"/>
        <v>50737.06</v>
      </c>
      <c r="U165" s="62">
        <f t="shared" si="31"/>
        <v>66857.19</v>
      </c>
      <c r="V165" s="78">
        <f t="shared" si="32"/>
        <v>0</v>
      </c>
    </row>
    <row r="166" spans="1:35" customFormat="1" x14ac:dyDescent="0.25">
      <c r="A166" s="45">
        <v>44043</v>
      </c>
      <c r="B166" s="33" t="s">
        <v>63</v>
      </c>
      <c r="C166" s="33" t="s">
        <v>24</v>
      </c>
      <c r="D166" s="34">
        <v>0</v>
      </c>
      <c r="E166" s="33" t="s">
        <v>10</v>
      </c>
      <c r="F166" s="30">
        <v>44315</v>
      </c>
      <c r="G166" s="33" t="s">
        <v>86</v>
      </c>
      <c r="H166" s="25">
        <f t="array" ref="H166">IFERROR(INDEX(Agenda!AA:AA,MATCH(1,('Lançamentos- Credito Débito'!E166=Agenda!C:C)*('Lançamentos- Credito Débito'!F166=Agenda!I:I),0)),"")</f>
        <v>7.9086345495804622E-4</v>
      </c>
      <c r="I166">
        <f t="shared" si="22"/>
        <v>31</v>
      </c>
      <c r="J166" s="35">
        <f t="shared" si="23"/>
        <v>2.4809844177879015E-2</v>
      </c>
      <c r="K166" s="40">
        <f t="array" ref="K166">INDEX(Agenda!AB:AB,MATCH(1,('Lançamentos- Credito Débito'!E166=Agenda!C:C)*('Lançamentos- Credito Débito'!F166=Agenda!I:I),0))</f>
        <v>0.75888711445994061</v>
      </c>
      <c r="L166" s="36">
        <f t="shared" si="24"/>
        <v>0</v>
      </c>
      <c r="M166" s="36">
        <f t="shared" si="25"/>
        <v>0</v>
      </c>
      <c r="N166" s="1">
        <f t="shared" si="26"/>
        <v>52616.089176559079</v>
      </c>
      <c r="O166" s="81">
        <f t="array" ref="O166">IF(OR(G166="Amortization",G166="Fim de Mês"),(1+J166)*N166-D166,-INDEX(Agenda!J:J,MATCH(1,('Lançamentos- Credito Débito'!E166=Agenda!C:C)*('Lançamentos- Credito Débito'!G166=Agenda!G:G),0)))</f>
        <v>53921.486150278899</v>
      </c>
      <c r="P166" s="44">
        <f t="shared" si="27"/>
        <v>1305.3969737198172</v>
      </c>
      <c r="Q166" s="64">
        <f t="shared" si="28"/>
        <v>53921.486150278899</v>
      </c>
      <c r="R166" s="14">
        <f t="array" ref="R166">IF(F166="","",INDEX(Agenda!L:L,MATCH(1,('Lançamentos- Credito Débito'!E166=Agenda!C:C)*('Lançamentos- Credito Débito'!F166=Agenda!I:I),0)))</f>
        <v>50737.06</v>
      </c>
      <c r="S166" s="14">
        <f t="shared" si="29"/>
        <v>0</v>
      </c>
      <c r="T166" s="14">
        <f t="shared" si="30"/>
        <v>50737.06</v>
      </c>
      <c r="U166" s="62">
        <f t="shared" si="31"/>
        <v>66857.19</v>
      </c>
      <c r="V166" s="78">
        <f t="shared" si="32"/>
        <v>0</v>
      </c>
    </row>
    <row r="167" spans="1:35" customFormat="1" x14ac:dyDescent="0.25">
      <c r="A167" s="45">
        <v>44074</v>
      </c>
      <c r="B167" s="33" t="s">
        <v>63</v>
      </c>
      <c r="C167" s="33" t="s">
        <v>24</v>
      </c>
      <c r="D167" s="34">
        <v>0</v>
      </c>
      <c r="E167" s="33" t="s">
        <v>10</v>
      </c>
      <c r="F167" s="30">
        <v>44315</v>
      </c>
      <c r="G167" s="33" t="s">
        <v>86</v>
      </c>
      <c r="H167" s="25">
        <f t="array" ref="H167">IFERROR(INDEX(Agenda!AA:AA,MATCH(1,('Lançamentos- Credito Débito'!E167=Agenda!C:C)*('Lançamentos- Credito Débito'!F167=Agenda!I:I),0)),"")</f>
        <v>7.9086345495804622E-4</v>
      </c>
      <c r="I167">
        <f t="shared" si="22"/>
        <v>31</v>
      </c>
      <c r="J167" s="35">
        <f t="shared" si="23"/>
        <v>2.4809844177879015E-2</v>
      </c>
      <c r="K167" s="40">
        <f t="array" ref="K167">INDEX(Agenda!AB:AB,MATCH(1,('Lançamentos- Credito Débito'!E167=Agenda!C:C)*('Lançamentos- Credito Débito'!F167=Agenda!I:I),0))</f>
        <v>0.75888711445994061</v>
      </c>
      <c r="L167" s="36">
        <f t="shared" si="24"/>
        <v>0</v>
      </c>
      <c r="M167" s="36">
        <f t="shared" si="25"/>
        <v>0</v>
      </c>
      <c r="N167" s="1">
        <f t="shared" si="26"/>
        <v>53921.486150278899</v>
      </c>
      <c r="O167" s="81">
        <f t="array" ref="O167">IF(OR(G167="Amortization",G167="Fim de Mês"),(1+J167)*N167-D167,-INDEX(Agenda!J:J,MATCH(1,('Lançamentos- Credito Débito'!E167=Agenda!C:C)*('Lançamentos- Credito Débito'!G167=Agenda!G:G),0)))</f>
        <v>55259.269819506982</v>
      </c>
      <c r="P167" s="44">
        <f t="shared" si="27"/>
        <v>1337.783669228081</v>
      </c>
      <c r="Q167" s="64">
        <f t="shared" si="28"/>
        <v>55259.269819506982</v>
      </c>
      <c r="R167" s="14">
        <f t="array" ref="R167">IF(F167="","",INDEX(Agenda!L:L,MATCH(1,('Lançamentos- Credito Débito'!E167=Agenda!C:C)*('Lançamentos- Credito Débito'!F167=Agenda!I:I),0)))</f>
        <v>50737.06</v>
      </c>
      <c r="S167" s="14">
        <f t="shared" si="29"/>
        <v>0</v>
      </c>
      <c r="T167" s="14">
        <f t="shared" si="30"/>
        <v>50737.06</v>
      </c>
      <c r="U167" s="62">
        <f t="shared" si="31"/>
        <v>66857.19</v>
      </c>
      <c r="V167" s="78">
        <f t="shared" si="32"/>
        <v>0</v>
      </c>
    </row>
    <row r="168" spans="1:35" customFormat="1" x14ac:dyDescent="0.25">
      <c r="A168" s="45">
        <v>44104</v>
      </c>
      <c r="B168" s="33" t="s">
        <v>63</v>
      </c>
      <c r="C168" s="33" t="s">
        <v>24</v>
      </c>
      <c r="D168" s="34">
        <v>0</v>
      </c>
      <c r="E168" s="33" t="s">
        <v>10</v>
      </c>
      <c r="F168" s="30">
        <v>44315</v>
      </c>
      <c r="G168" s="33" t="s">
        <v>86</v>
      </c>
      <c r="H168" s="25">
        <f t="array" ref="H168">IFERROR(INDEX(Agenda!AA:AA,MATCH(1,('Lançamentos- Credito Débito'!E168=Agenda!C:C)*('Lançamentos- Credito Débito'!F168=Agenda!I:I),0)),"")</f>
        <v>7.9086345495804622E-4</v>
      </c>
      <c r="I168">
        <f t="shared" si="22"/>
        <v>30</v>
      </c>
      <c r="J168" s="35">
        <f t="shared" si="23"/>
        <v>2.4000000000002242E-2</v>
      </c>
      <c r="K168" s="40">
        <f t="array" ref="K168">INDEX(Agenda!AB:AB,MATCH(1,('Lançamentos- Credito Débito'!E168=Agenda!C:C)*('Lançamentos- Credito Débito'!F168=Agenda!I:I),0))</f>
        <v>0.75888711445994061</v>
      </c>
      <c r="L168" s="36">
        <f t="shared" si="24"/>
        <v>0</v>
      </c>
      <c r="M168" s="36">
        <f t="shared" si="25"/>
        <v>0</v>
      </c>
      <c r="N168" s="1">
        <f t="shared" si="26"/>
        <v>55259.269819506982</v>
      </c>
      <c r="O168" s="81">
        <f t="array" ref="O168">IF(OR(G168="Amortization",G168="Fim de Mês"),(1+J168)*N168-D168,-INDEX(Agenda!J:J,MATCH(1,('Lançamentos- Credito Débito'!E168=Agenda!C:C)*('Lançamentos- Credito Débito'!G168=Agenda!G:G),0)))</f>
        <v>56585.492295175274</v>
      </c>
      <c r="P168" s="44">
        <f t="shared" si="27"/>
        <v>1326.2224756682915</v>
      </c>
      <c r="Q168" s="64">
        <f t="shared" si="28"/>
        <v>56585.492295175274</v>
      </c>
      <c r="R168" s="14">
        <f t="array" ref="R168">IF(F168="","",INDEX(Agenda!L:L,MATCH(1,('Lançamentos- Credito Débito'!E168=Agenda!C:C)*('Lançamentos- Credito Débito'!F168=Agenda!I:I),0)))</f>
        <v>50737.06</v>
      </c>
      <c r="S168" s="14">
        <f t="shared" si="29"/>
        <v>0</v>
      </c>
      <c r="T168" s="14">
        <f t="shared" si="30"/>
        <v>50737.06</v>
      </c>
      <c r="U168" s="62">
        <f t="shared" si="31"/>
        <v>66857.19</v>
      </c>
      <c r="V168" s="78">
        <f t="shared" si="32"/>
        <v>0</v>
      </c>
    </row>
    <row r="169" spans="1:35" customFormat="1" x14ac:dyDescent="0.25">
      <c r="A169" s="45">
        <v>44135</v>
      </c>
      <c r="B169" s="33" t="s">
        <v>63</v>
      </c>
      <c r="C169" s="33" t="s">
        <v>24</v>
      </c>
      <c r="D169" s="34">
        <v>0</v>
      </c>
      <c r="E169" s="33" t="s">
        <v>10</v>
      </c>
      <c r="F169" s="30">
        <v>44315</v>
      </c>
      <c r="G169" s="33" t="s">
        <v>86</v>
      </c>
      <c r="H169" s="25">
        <f t="array" ref="H169">IFERROR(INDEX(Agenda!AA:AA,MATCH(1,('Lançamentos- Credito Débito'!E169=Agenda!C:C)*('Lançamentos- Credito Débito'!F169=Agenda!I:I),0)),"")</f>
        <v>7.9086345495804622E-4</v>
      </c>
      <c r="I169">
        <f t="shared" si="22"/>
        <v>31</v>
      </c>
      <c r="J169" s="35">
        <f t="shared" si="23"/>
        <v>2.4809844177879015E-2</v>
      </c>
      <c r="K169" s="40">
        <f t="array" ref="K169">INDEX(Agenda!AB:AB,MATCH(1,('Lançamentos- Credito Débito'!E169=Agenda!C:C)*('Lançamentos- Credito Débito'!F169=Agenda!I:I),0))</f>
        <v>0.75888711445994061</v>
      </c>
      <c r="L169" s="36">
        <f t="shared" si="24"/>
        <v>0</v>
      </c>
      <c r="M169" s="36">
        <f t="shared" si="25"/>
        <v>0</v>
      </c>
      <c r="N169" s="1">
        <f t="shared" si="26"/>
        <v>56585.492295175274</v>
      </c>
      <c r="O169" s="81">
        <f t="array" ref="O169">IF(OR(G169="Amortization",G169="Fim de Mês"),(1+J169)*N169-D169,-INDEX(Agenda!J:J,MATCH(1,('Lançamentos- Credito Débito'!E169=Agenda!C:C)*('Lançamentos- Credito Débito'!G169=Agenda!G:G),0)))</f>
        <v>57989.369541747146</v>
      </c>
      <c r="P169" s="44">
        <f t="shared" si="27"/>
        <v>1403.8772465718721</v>
      </c>
      <c r="Q169" s="64">
        <f t="shared" si="28"/>
        <v>57989.369541747146</v>
      </c>
      <c r="R169" s="14">
        <f t="array" ref="R169">IF(F169="","",INDEX(Agenda!L:L,MATCH(1,('Lançamentos- Credito Débito'!E169=Agenda!C:C)*('Lançamentos- Credito Débito'!F169=Agenda!I:I),0)))</f>
        <v>50737.06</v>
      </c>
      <c r="S169" s="14">
        <f t="shared" si="29"/>
        <v>0</v>
      </c>
      <c r="T169" s="14">
        <f t="shared" si="30"/>
        <v>50737.06</v>
      </c>
      <c r="U169" s="62">
        <f t="shared" si="31"/>
        <v>66857.19</v>
      </c>
      <c r="V169" s="78">
        <f t="shared" si="32"/>
        <v>0</v>
      </c>
    </row>
    <row r="170" spans="1:35" customFormat="1" x14ac:dyDescent="0.25">
      <c r="A170" s="45">
        <v>44165</v>
      </c>
      <c r="B170" s="33" t="s">
        <v>63</v>
      </c>
      <c r="C170" s="33" t="s">
        <v>24</v>
      </c>
      <c r="D170" s="34">
        <v>0</v>
      </c>
      <c r="E170" s="33" t="s">
        <v>10</v>
      </c>
      <c r="F170" s="30">
        <v>44315</v>
      </c>
      <c r="G170" s="33" t="s">
        <v>86</v>
      </c>
      <c r="H170" s="25">
        <f t="array" ref="H170">IFERROR(INDEX(Agenda!AA:AA,MATCH(1,('Lançamentos- Credito Débito'!E170=Agenda!C:C)*('Lançamentos- Credito Débito'!F170=Agenda!I:I),0)),"")</f>
        <v>7.9086345495804622E-4</v>
      </c>
      <c r="I170">
        <f t="shared" si="22"/>
        <v>30</v>
      </c>
      <c r="J170" s="35">
        <f t="shared" si="23"/>
        <v>2.4000000000002242E-2</v>
      </c>
      <c r="K170" s="40">
        <f t="array" ref="K170">INDEX(Agenda!AB:AB,MATCH(1,('Lançamentos- Credito Débito'!E170=Agenda!C:C)*('Lançamentos- Credito Débito'!F170=Agenda!I:I),0))</f>
        <v>0.75888711445994061</v>
      </c>
      <c r="L170" s="36">
        <f t="shared" si="24"/>
        <v>0</v>
      </c>
      <c r="M170" s="36">
        <f t="shared" si="25"/>
        <v>0</v>
      </c>
      <c r="N170" s="1">
        <f t="shared" si="26"/>
        <v>57989.369541747146</v>
      </c>
      <c r="O170" s="81">
        <f t="array" ref="O170">IF(OR(G170="Amortization",G170="Fim de Mês"),(1+J170)*N170-D170,-INDEX(Agenda!J:J,MATCH(1,('Lançamentos- Credito Débito'!E170=Agenda!C:C)*('Lançamentos- Credito Débito'!G170=Agenda!G:G),0)))</f>
        <v>59381.114410749207</v>
      </c>
      <c r="P170" s="44">
        <f t="shared" si="27"/>
        <v>1391.7448690020615</v>
      </c>
      <c r="Q170" s="64">
        <f t="shared" si="28"/>
        <v>59381.114410749207</v>
      </c>
      <c r="R170" s="14">
        <f t="array" ref="R170">IF(F170="","",INDEX(Agenda!L:L,MATCH(1,('Lançamentos- Credito Débito'!E170=Agenda!C:C)*('Lançamentos- Credito Débito'!F170=Agenda!I:I),0)))</f>
        <v>50737.06</v>
      </c>
      <c r="S170" s="14">
        <f t="shared" si="29"/>
        <v>0</v>
      </c>
      <c r="T170" s="14">
        <f t="shared" si="30"/>
        <v>50737.06</v>
      </c>
      <c r="U170" s="62">
        <f t="shared" si="31"/>
        <v>66857.19</v>
      </c>
      <c r="V170" s="78">
        <f t="shared" si="32"/>
        <v>0</v>
      </c>
    </row>
    <row r="171" spans="1:35" customFormat="1" x14ac:dyDescent="0.25">
      <c r="A171" s="45">
        <v>44196</v>
      </c>
      <c r="B171" s="33" t="s">
        <v>63</v>
      </c>
      <c r="C171" s="33" t="s">
        <v>24</v>
      </c>
      <c r="D171" s="34">
        <v>0</v>
      </c>
      <c r="E171" s="33" t="s">
        <v>10</v>
      </c>
      <c r="F171" s="30">
        <v>44315</v>
      </c>
      <c r="G171" s="33" t="s">
        <v>86</v>
      </c>
      <c r="H171" s="25">
        <f t="array" ref="H171">IFERROR(INDEX(Agenda!AA:AA,MATCH(1,('Lançamentos- Credito Débito'!E171=Agenda!C:C)*('Lançamentos- Credito Débito'!F171=Agenda!I:I),0)),"")</f>
        <v>7.9086345495804622E-4</v>
      </c>
      <c r="I171">
        <f t="shared" si="22"/>
        <v>31</v>
      </c>
      <c r="J171" s="35">
        <f t="shared" si="23"/>
        <v>2.4809844177879015E-2</v>
      </c>
      <c r="K171" s="40">
        <f t="array" ref="K171">INDEX(Agenda!AB:AB,MATCH(1,('Lançamentos- Credito Débito'!E171=Agenda!C:C)*('Lançamentos- Credito Débito'!F171=Agenda!I:I),0))</f>
        <v>0.75888711445994061</v>
      </c>
      <c r="L171" s="36">
        <f t="shared" si="24"/>
        <v>0</v>
      </c>
      <c r="M171" s="36">
        <f t="shared" si="25"/>
        <v>0</v>
      </c>
      <c r="N171" s="1">
        <f t="shared" si="26"/>
        <v>59381.114410749207</v>
      </c>
      <c r="O171" s="81">
        <f t="array" ref="O171">IF(OR(G171="Amortization",G171="Fim de Mês"),(1+J171)*N171-D171,-INDEX(Agenda!J:J,MATCH(1,('Lançamentos- Credito Débito'!E171=Agenda!C:C)*('Lançamentos- Credito Débito'!G171=Agenda!G:G),0)))</f>
        <v>60854.350606388703</v>
      </c>
      <c r="P171" s="44">
        <f t="shared" si="27"/>
        <v>1473.2361956394939</v>
      </c>
      <c r="Q171" s="64">
        <f t="shared" si="28"/>
        <v>60854.350606388703</v>
      </c>
      <c r="R171" s="14">
        <f t="array" ref="R171">IF(F171="","",INDEX(Agenda!L:L,MATCH(1,('Lançamentos- Credito Débito'!E171=Agenda!C:C)*('Lançamentos- Credito Débito'!F171=Agenda!I:I),0)))</f>
        <v>50737.06</v>
      </c>
      <c r="S171" s="14">
        <f t="shared" si="29"/>
        <v>0</v>
      </c>
      <c r="T171" s="14">
        <f t="shared" si="30"/>
        <v>50737.06</v>
      </c>
      <c r="U171" s="62">
        <f t="shared" si="31"/>
        <v>66857.19</v>
      </c>
      <c r="V171" s="78">
        <f t="shared" si="32"/>
        <v>0</v>
      </c>
    </row>
    <row r="172" spans="1:35" customFormat="1" x14ac:dyDescent="0.25">
      <c r="A172" s="45">
        <v>44227</v>
      </c>
      <c r="B172" s="33" t="s">
        <v>63</v>
      </c>
      <c r="C172" s="33" t="s">
        <v>24</v>
      </c>
      <c r="D172" s="34">
        <v>0</v>
      </c>
      <c r="E172" s="33" t="s">
        <v>10</v>
      </c>
      <c r="F172" s="30">
        <v>44315</v>
      </c>
      <c r="G172" s="33" t="s">
        <v>86</v>
      </c>
      <c r="H172" s="25">
        <f t="array" ref="H172">IFERROR(INDEX(Agenda!AA:AA,MATCH(1,('Lançamentos- Credito Débito'!E172=Agenda!C:C)*('Lançamentos- Credito Débito'!F172=Agenda!I:I),0)),"")</f>
        <v>7.9086345495804622E-4</v>
      </c>
      <c r="I172">
        <f t="shared" si="22"/>
        <v>31</v>
      </c>
      <c r="J172" s="35">
        <f t="shared" si="23"/>
        <v>2.4809844177879015E-2</v>
      </c>
      <c r="K172" s="40">
        <f t="array" ref="K172">INDEX(Agenda!AB:AB,MATCH(1,('Lançamentos- Credito Débito'!E172=Agenda!C:C)*('Lançamentos- Credito Débito'!F172=Agenda!I:I),0))</f>
        <v>0.75888711445994061</v>
      </c>
      <c r="L172" s="36">
        <f t="shared" si="24"/>
        <v>0</v>
      </c>
      <c r="M172" s="36">
        <f t="shared" si="25"/>
        <v>0</v>
      </c>
      <c r="N172" s="1">
        <f t="shared" si="26"/>
        <v>60854.350606388703</v>
      </c>
      <c r="O172" s="81">
        <f t="array" ref="O172">IF(OR(G172="Amortization",G172="Fim de Mês"),(1+J172)*N172-D172,-INDEX(Agenda!J:J,MATCH(1,('Lançamentos- Credito Débito'!E172=Agenda!C:C)*('Lançamentos- Credito Débito'!G172=Agenda!G:G),0)))</f>
        <v>62364.137562479227</v>
      </c>
      <c r="P172" s="44">
        <f t="shared" si="27"/>
        <v>1509.786956090521</v>
      </c>
      <c r="Q172" s="64">
        <f t="shared" si="28"/>
        <v>62364.137562479227</v>
      </c>
      <c r="R172" s="14">
        <f t="array" ref="R172">IF(F172="","",INDEX(Agenda!L:L,MATCH(1,('Lançamentos- Credito Débito'!E172=Agenda!C:C)*('Lançamentos- Credito Débito'!F172=Agenda!I:I),0)))</f>
        <v>50737.06</v>
      </c>
      <c r="S172" s="14">
        <f t="shared" si="29"/>
        <v>0</v>
      </c>
      <c r="T172" s="14">
        <f t="shared" si="30"/>
        <v>50737.06</v>
      </c>
      <c r="U172" s="62">
        <f t="shared" si="31"/>
        <v>66857.19</v>
      </c>
      <c r="V172" s="78">
        <f t="shared" si="32"/>
        <v>0</v>
      </c>
    </row>
    <row r="173" spans="1:35" customFormat="1" x14ac:dyDescent="0.25">
      <c r="A173" s="45">
        <v>44255</v>
      </c>
      <c r="B173" s="33" t="s">
        <v>63</v>
      </c>
      <c r="C173" s="33" t="s">
        <v>24</v>
      </c>
      <c r="D173" s="34">
        <v>0</v>
      </c>
      <c r="E173" s="33" t="s">
        <v>10</v>
      </c>
      <c r="F173" s="30">
        <v>44315</v>
      </c>
      <c r="G173" s="33" t="s">
        <v>86</v>
      </c>
      <c r="H173" s="25">
        <f t="array" ref="H173">IFERROR(INDEX(Agenda!AA:AA,MATCH(1,('Lançamentos- Credito Débito'!E173=Agenda!C:C)*('Lançamentos- Credito Débito'!F173=Agenda!I:I),0)),"")</f>
        <v>7.9086345495804622E-4</v>
      </c>
      <c r="I173">
        <f t="shared" si="22"/>
        <v>28</v>
      </c>
      <c r="J173" s="35">
        <f t="shared" si="23"/>
        <v>2.2382231048625689E-2</v>
      </c>
      <c r="K173" s="40">
        <f t="array" ref="K173">INDEX(Agenda!AB:AB,MATCH(1,('Lançamentos- Credito Débito'!E173=Agenda!C:C)*('Lançamentos- Credito Débito'!F173=Agenda!I:I),0))</f>
        <v>0.75888711445994061</v>
      </c>
      <c r="L173" s="36">
        <f t="shared" si="24"/>
        <v>0</v>
      </c>
      <c r="M173" s="36">
        <f t="shared" si="25"/>
        <v>0</v>
      </c>
      <c r="N173" s="1">
        <f t="shared" si="26"/>
        <v>62364.137562479227</v>
      </c>
      <c r="O173" s="81">
        <f t="array" ref="O173">IF(OR(G173="Amortization",G173="Fim de Mês"),(1+J173)*N173-D173,-INDEX(Agenda!J:J,MATCH(1,('Lançamentos- Credito Débito'!E173=Agenda!C:C)*('Lançamentos- Credito Débito'!G173=Agenda!G:G),0)))</f>
        <v>63759.986098550915</v>
      </c>
      <c r="P173" s="44">
        <f t="shared" si="27"/>
        <v>1395.8485360716861</v>
      </c>
      <c r="Q173" s="64">
        <f t="shared" si="28"/>
        <v>63759.986098550915</v>
      </c>
      <c r="R173" s="14">
        <f t="array" ref="R173">IF(F173="","",INDEX(Agenda!L:L,MATCH(1,('Lançamentos- Credito Débito'!E173=Agenda!C:C)*('Lançamentos- Credito Débito'!F173=Agenda!I:I),0)))</f>
        <v>50737.06</v>
      </c>
      <c r="S173" s="14">
        <f t="shared" si="29"/>
        <v>0</v>
      </c>
      <c r="T173" s="14">
        <f t="shared" si="30"/>
        <v>50737.06</v>
      </c>
      <c r="U173" s="62">
        <f t="shared" si="31"/>
        <v>66857.19</v>
      </c>
      <c r="V173" s="78">
        <f t="shared" si="32"/>
        <v>0</v>
      </c>
    </row>
    <row r="174" spans="1:35" customFormat="1" x14ac:dyDescent="0.25">
      <c r="A174" s="45">
        <v>44286</v>
      </c>
      <c r="B174" s="33" t="s">
        <v>63</v>
      </c>
      <c r="C174" s="33" t="s">
        <v>24</v>
      </c>
      <c r="D174" s="34">
        <v>0</v>
      </c>
      <c r="E174" s="33" t="s">
        <v>10</v>
      </c>
      <c r="F174" s="30">
        <v>44315</v>
      </c>
      <c r="G174" s="33" t="s">
        <v>86</v>
      </c>
      <c r="H174" s="25">
        <f t="array" ref="H174">IFERROR(INDEX(Agenda!AA:AA,MATCH(1,('Lançamentos- Credito Débito'!E174=Agenda!C:C)*('Lançamentos- Credito Débito'!F174=Agenda!I:I),0)),"")</f>
        <v>7.9086345495804622E-4</v>
      </c>
      <c r="I174">
        <f t="shared" si="22"/>
        <v>31</v>
      </c>
      <c r="J174" s="35">
        <f t="shared" si="23"/>
        <v>2.4809844177879015E-2</v>
      </c>
      <c r="K174" s="40">
        <f t="array" ref="K174">INDEX(Agenda!AB:AB,MATCH(1,('Lançamentos- Credito Débito'!E174=Agenda!C:C)*('Lançamentos- Credito Débito'!F174=Agenda!I:I),0))</f>
        <v>0.75888711445994061</v>
      </c>
      <c r="L174" s="36">
        <f t="shared" si="24"/>
        <v>0</v>
      </c>
      <c r="M174" s="36">
        <f t="shared" si="25"/>
        <v>0</v>
      </c>
      <c r="N174" s="1">
        <f t="shared" si="26"/>
        <v>63759.986098550915</v>
      </c>
      <c r="O174" s="81">
        <f t="array" ref="O174">IF(OR(G174="Amortization",G174="Fim de Mês"),(1+J174)*N174-D174,-INDEX(Agenda!J:J,MATCH(1,('Lançamentos- Credito Débito'!E174=Agenda!C:C)*('Lançamentos- Credito Débito'!G174=Agenda!G:G),0)))</f>
        <v>65341.861418439694</v>
      </c>
      <c r="P174" s="44">
        <f t="shared" si="27"/>
        <v>1581.8753198887803</v>
      </c>
      <c r="Q174" s="64">
        <f t="shared" si="28"/>
        <v>65341.861418439694</v>
      </c>
      <c r="R174" s="14">
        <f t="array" ref="R174">IF(F174="","",INDEX(Agenda!L:L,MATCH(1,('Lançamentos- Credito Débito'!E174=Agenda!C:C)*('Lançamentos- Credito Débito'!F174=Agenda!I:I),0)))</f>
        <v>50737.06</v>
      </c>
      <c r="S174" s="14">
        <f t="shared" si="29"/>
        <v>0</v>
      </c>
      <c r="T174" s="14">
        <f t="shared" si="30"/>
        <v>50737.06</v>
      </c>
      <c r="U174" s="62">
        <f t="shared" si="31"/>
        <v>66857.19</v>
      </c>
      <c r="V174" s="78">
        <f t="shared" si="32"/>
        <v>0</v>
      </c>
    </row>
    <row r="175" spans="1:35" customFormat="1" x14ac:dyDescent="0.25">
      <c r="A175" s="30">
        <v>44315</v>
      </c>
      <c r="B175" s="33" t="s">
        <v>63</v>
      </c>
      <c r="C175" s="33" t="s">
        <v>24</v>
      </c>
      <c r="D175" s="34">
        <v>66857.19</v>
      </c>
      <c r="E175" s="33" t="s">
        <v>10</v>
      </c>
      <c r="F175" s="30">
        <v>44315</v>
      </c>
      <c r="G175" s="33" t="s">
        <v>51</v>
      </c>
      <c r="H175" s="25">
        <f t="array" ref="H175">IFERROR(INDEX(Agenda!AA:AA,MATCH(1,('Lançamentos- Credito Débito'!E175=Agenda!C:C)*('Lançamentos- Credito Débito'!F175=Agenda!I:I),0)),"")</f>
        <v>7.9086345495804622E-4</v>
      </c>
      <c r="I175">
        <f t="shared" si="22"/>
        <v>29</v>
      </c>
      <c r="J175" s="35">
        <f t="shared" si="23"/>
        <v>2.3190795792160657E-2</v>
      </c>
      <c r="K175" s="40">
        <f t="array" ref="K175">INDEX(Agenda!AB:AB,MATCH(1,('Lançamentos- Credito Débito'!E175=Agenda!C:C)*('Lançamentos- Credito Débito'!F175=Agenda!I:I),0))</f>
        <v>0.75888711445994061</v>
      </c>
      <c r="L175" s="36">
        <f t="shared" si="24"/>
        <v>50737.06</v>
      </c>
      <c r="M175" s="36">
        <f t="shared" si="25"/>
        <v>16120.130000000003</v>
      </c>
      <c r="N175" s="1">
        <f t="shared" si="26"/>
        <v>65341.861418439694</v>
      </c>
      <c r="O175" s="81">
        <f t="array" ref="O175">IF(OR(G175="Amortization",G175="Fim de Mês"),(1+J175)*N175-D175,-INDEX(Agenda!J:J,MATCH(1,('Lançamentos- Credito Débito'!E175=Agenda!C:C)*('Lançamentos- Credito Débito'!G175=Agenda!G:G),0)))</f>
        <v>1.1832743912236765E-3</v>
      </c>
      <c r="P175" s="44">
        <f t="shared" si="27"/>
        <v>1515.3297648346961</v>
      </c>
      <c r="Q175" s="64">
        <f t="shared" si="28"/>
        <v>66857.191183274394</v>
      </c>
      <c r="R175" s="14">
        <f t="array" ref="R175">IF(F175="","",INDEX(Agenda!L:L,MATCH(1,('Lançamentos- Credito Débito'!E175=Agenda!C:C)*('Lançamentos- Credito Débito'!F175=Agenda!I:I),0)))</f>
        <v>50737.06</v>
      </c>
      <c r="S175" s="14">
        <f t="shared" si="29"/>
        <v>50737.06</v>
      </c>
      <c r="T175" s="14">
        <f t="shared" si="30"/>
        <v>0</v>
      </c>
      <c r="U175" s="62">
        <f t="shared" si="31"/>
        <v>0</v>
      </c>
      <c r="V175" s="78">
        <f t="shared" si="32"/>
        <v>0</v>
      </c>
    </row>
    <row r="176" spans="1:35" customFormat="1" x14ac:dyDescent="0.25">
      <c r="A176" s="45">
        <v>43994</v>
      </c>
      <c r="B176" s="33" t="s">
        <v>24</v>
      </c>
      <c r="C176" s="33" t="s">
        <v>63</v>
      </c>
      <c r="D176" s="34">
        <v>40744.36</v>
      </c>
      <c r="E176" s="33" t="s">
        <v>4</v>
      </c>
      <c r="F176" s="33"/>
      <c r="G176" s="33" t="s">
        <v>50</v>
      </c>
      <c r="H176" s="25" t="str">
        <f t="array" ref="H176">IFERROR(INDEX(Agenda!AA:AA,MATCH(1,('Lançamentos- Credito Débito'!E176=Agenda!C:C)*('Lançamentos- Credito Débito'!F176=Agenda!I:I),0)),"")</f>
        <v/>
      </c>
      <c r="I176" t="str">
        <f t="shared" si="22"/>
        <v/>
      </c>
      <c r="J176" s="35" t="str">
        <f t="shared" si="23"/>
        <v/>
      </c>
      <c r="K176" s="40" t="e">
        <f t="array" ref="K176">INDEX(Agenda!AB:AB,MATCH(1,('Lançamentos- Credito Débito'!E176=Agenda!C:C)*('Lançamentos- Credito Débito'!F176=Agenda!I:I),0))</f>
        <v>#N/A</v>
      </c>
      <c r="L176" s="36" t="str">
        <f t="shared" si="24"/>
        <v/>
      </c>
      <c r="M176" s="36" t="str">
        <f t="shared" si="25"/>
        <v/>
      </c>
      <c r="N176" s="1" t="str">
        <f t="shared" si="26"/>
        <v/>
      </c>
      <c r="O176" s="81">
        <f t="array" ref="O176">IF(OR(G176="Amortization",G176="Fim de Mês"),(1+J176)*N176-D176,-INDEX(Agenda!J:J,MATCH(1,('Lançamentos- Credito Débito'!E176=Agenda!C:C)*('Lançamentos- Credito Débito'!G176=Agenda!G:G),0)))</f>
        <v>40744.36</v>
      </c>
      <c r="P176" s="44" t="str">
        <f t="shared" si="27"/>
        <v/>
      </c>
      <c r="Q176" s="64" t="str">
        <f t="shared" si="28"/>
        <v/>
      </c>
      <c r="R176" s="14" t="str">
        <f t="array" ref="R176">IF(F176="","",INDEX(Agenda!L:L,MATCH(1,('Lançamentos- Credito Débito'!E176=Agenda!C:C)*('Lançamentos- Credito Débito'!F176=Agenda!I:I),0)))</f>
        <v/>
      </c>
      <c r="S176" s="14" t="str">
        <f t="shared" si="29"/>
        <v/>
      </c>
      <c r="T176" s="14" t="str">
        <f t="shared" si="30"/>
        <v/>
      </c>
      <c r="U176" s="62" t="str">
        <f t="shared" si="31"/>
        <v/>
      </c>
      <c r="V176" s="78" t="str">
        <f t="shared" si="32"/>
        <v/>
      </c>
    </row>
    <row r="177" spans="1:22" customFormat="1" x14ac:dyDescent="0.25">
      <c r="A177" s="45">
        <v>44012</v>
      </c>
      <c r="B177" s="33" t="s">
        <v>63</v>
      </c>
      <c r="C177" s="33" t="s">
        <v>24</v>
      </c>
      <c r="D177" s="34">
        <v>0</v>
      </c>
      <c r="E177" s="33" t="s">
        <v>4</v>
      </c>
      <c r="F177" s="30">
        <v>44345</v>
      </c>
      <c r="G177" s="33" t="s">
        <v>86</v>
      </c>
      <c r="H177" s="25">
        <f t="array" ref="H177">IFERROR(INDEX(Agenda!AA:AA,MATCH(1,('Lançamentos- Credito Débito'!E177=Agenda!C:C)*('Lançamentos- Credito Débito'!F177=Agenda!I:I),0)),"")</f>
        <v>7.9086345495804622E-4</v>
      </c>
      <c r="I177">
        <f t="shared" si="22"/>
        <v>18</v>
      </c>
      <c r="J177" s="35">
        <f t="shared" si="23"/>
        <v>1.4331643175113928E-2</v>
      </c>
      <c r="K177" s="40">
        <f t="array" ref="K177">INDEX(Agenda!AB:AB,MATCH(1,('Lançamentos- Credito Débito'!E177=Agenda!C:C)*('Lançamentos- Credito Débito'!F177=Agenda!I:I),0))</f>
        <v>0.75768825301624909</v>
      </c>
      <c r="L177" s="36">
        <f t="shared" si="24"/>
        <v>0</v>
      </c>
      <c r="M177" s="36">
        <f t="shared" si="25"/>
        <v>0</v>
      </c>
      <c r="N177" s="1">
        <f t="shared" si="26"/>
        <v>40744.36</v>
      </c>
      <c r="O177" s="81">
        <f t="array" ref="O177">IF(OR(G177="Amortization",G177="Fim de Mês"),(1+J177)*N177-D177,-INDEX(Agenda!J:J,MATCH(1,('Lançamentos- Credito Débito'!E177=Agenda!C:C)*('Lançamentos- Credito Débito'!G177=Agenda!G:G),0)))</f>
        <v>41328.293628918385</v>
      </c>
      <c r="P177" s="44">
        <f t="shared" si="27"/>
        <v>583.9336289183849</v>
      </c>
      <c r="Q177" s="64">
        <f t="shared" si="28"/>
        <v>41328.293628918385</v>
      </c>
      <c r="R177" s="14">
        <f t="array" ref="R177">IF(F177="","",INDEX(Agenda!L:L,MATCH(1,('Lançamentos- Credito Débito'!E177=Agenda!C:C)*('Lançamentos- Credito Débito'!F177=Agenda!I:I),0)))</f>
        <v>40744.36</v>
      </c>
      <c r="S177" s="14">
        <f t="shared" si="29"/>
        <v>0</v>
      </c>
      <c r="T177" s="14">
        <f t="shared" si="30"/>
        <v>40744.36</v>
      </c>
      <c r="U177" s="62">
        <f t="shared" si="31"/>
        <v>53774.570000000007</v>
      </c>
      <c r="V177" s="78">
        <f t="shared" si="32"/>
        <v>0</v>
      </c>
    </row>
    <row r="178" spans="1:22" customFormat="1" x14ac:dyDescent="0.25">
      <c r="A178" s="45">
        <v>44043</v>
      </c>
      <c r="B178" s="33" t="s">
        <v>63</v>
      </c>
      <c r="C178" s="33" t="s">
        <v>24</v>
      </c>
      <c r="D178" s="34">
        <v>0</v>
      </c>
      <c r="E178" s="33" t="s">
        <v>4</v>
      </c>
      <c r="F178" s="30">
        <v>44345</v>
      </c>
      <c r="G178" s="33" t="s">
        <v>86</v>
      </c>
      <c r="H178" s="25">
        <f t="array" ref="H178">IFERROR(INDEX(Agenda!AA:AA,MATCH(1,('Lançamentos- Credito Débito'!E178=Agenda!C:C)*('Lançamentos- Credito Débito'!F178=Agenda!I:I),0)),"")</f>
        <v>7.9086345495804622E-4</v>
      </c>
      <c r="I178">
        <f t="shared" si="22"/>
        <v>31</v>
      </c>
      <c r="J178" s="35">
        <f t="shared" si="23"/>
        <v>2.4809844177879015E-2</v>
      </c>
      <c r="K178" s="40">
        <f t="array" ref="K178">INDEX(Agenda!AB:AB,MATCH(1,('Lançamentos- Credito Débito'!E178=Agenda!C:C)*('Lançamentos- Credito Débito'!F178=Agenda!I:I),0))</f>
        <v>0.75768825301624909</v>
      </c>
      <c r="L178" s="36">
        <f t="shared" si="24"/>
        <v>0</v>
      </c>
      <c r="M178" s="36">
        <f t="shared" si="25"/>
        <v>0</v>
      </c>
      <c r="N178" s="1">
        <f t="shared" si="26"/>
        <v>41328.293628918385</v>
      </c>
      <c r="O178" s="81">
        <f t="array" ref="O178">IF(OR(G178="Amortization",G178="Fim de Mês"),(1+J178)*N178-D178,-INDEX(Agenda!J:J,MATCH(1,('Lançamentos- Credito Débito'!E178=Agenda!C:C)*('Lançamentos- Credito Débito'!G178=Agenda!G:G),0)))</f>
        <v>42353.64215398948</v>
      </c>
      <c r="P178" s="44">
        <f t="shared" si="27"/>
        <v>1025.3485250710951</v>
      </c>
      <c r="Q178" s="64">
        <f t="shared" si="28"/>
        <v>42353.64215398948</v>
      </c>
      <c r="R178" s="14">
        <f t="array" ref="R178">IF(F178="","",INDEX(Agenda!L:L,MATCH(1,('Lançamentos- Credito Débito'!E178=Agenda!C:C)*('Lançamentos- Credito Débito'!F178=Agenda!I:I),0)))</f>
        <v>40744.36</v>
      </c>
      <c r="S178" s="14">
        <f t="shared" si="29"/>
        <v>0</v>
      </c>
      <c r="T178" s="14">
        <f t="shared" si="30"/>
        <v>40744.36</v>
      </c>
      <c r="U178" s="62">
        <f t="shared" si="31"/>
        <v>53774.570000000007</v>
      </c>
      <c r="V178" s="78">
        <f t="shared" si="32"/>
        <v>0</v>
      </c>
    </row>
    <row r="179" spans="1:22" customFormat="1" x14ac:dyDescent="0.25">
      <c r="A179" s="45">
        <v>44074</v>
      </c>
      <c r="B179" s="33" t="s">
        <v>63</v>
      </c>
      <c r="C179" s="33" t="s">
        <v>24</v>
      </c>
      <c r="D179" s="34">
        <v>0</v>
      </c>
      <c r="E179" s="33" t="s">
        <v>4</v>
      </c>
      <c r="F179" s="30">
        <v>44345</v>
      </c>
      <c r="G179" s="33" t="s">
        <v>86</v>
      </c>
      <c r="H179" s="25">
        <f t="array" ref="H179">IFERROR(INDEX(Agenda!AA:AA,MATCH(1,('Lançamentos- Credito Débito'!E179=Agenda!C:C)*('Lançamentos- Credito Débito'!F179=Agenda!I:I),0)),"")</f>
        <v>7.9086345495804622E-4</v>
      </c>
      <c r="I179">
        <f t="shared" si="22"/>
        <v>31</v>
      </c>
      <c r="J179" s="35">
        <f t="shared" si="23"/>
        <v>2.4809844177879015E-2</v>
      </c>
      <c r="K179" s="40">
        <f t="array" ref="K179">INDEX(Agenda!AB:AB,MATCH(1,('Lançamentos- Credito Débito'!E179=Agenda!C:C)*('Lançamentos- Credito Débito'!F179=Agenda!I:I),0))</f>
        <v>0.75768825301624909</v>
      </c>
      <c r="L179" s="36">
        <f t="shared" si="24"/>
        <v>0</v>
      </c>
      <c r="M179" s="36">
        <f t="shared" si="25"/>
        <v>0</v>
      </c>
      <c r="N179" s="1">
        <f t="shared" si="26"/>
        <v>42353.64215398948</v>
      </c>
      <c r="O179" s="81">
        <f t="array" ref="O179">IF(OR(G179="Amortization",G179="Fim de Mês"),(1+J179)*N179-D179,-INDEX(Agenda!J:J,MATCH(1,('Lançamentos- Credito Débito'!E179=Agenda!C:C)*('Lançamentos- Credito Débito'!G179=Agenda!G:G),0)))</f>
        <v>43404.429416195606</v>
      </c>
      <c r="P179" s="44">
        <f t="shared" si="27"/>
        <v>1050.787262206127</v>
      </c>
      <c r="Q179" s="64">
        <f t="shared" si="28"/>
        <v>43404.429416195606</v>
      </c>
      <c r="R179" s="14">
        <f t="array" ref="R179">IF(F179="","",INDEX(Agenda!L:L,MATCH(1,('Lançamentos- Credito Débito'!E179=Agenda!C:C)*('Lançamentos- Credito Débito'!F179=Agenda!I:I),0)))</f>
        <v>40744.36</v>
      </c>
      <c r="S179" s="14">
        <f t="shared" si="29"/>
        <v>0</v>
      </c>
      <c r="T179" s="14">
        <f t="shared" si="30"/>
        <v>40744.36</v>
      </c>
      <c r="U179" s="62">
        <f t="shared" si="31"/>
        <v>53774.570000000007</v>
      </c>
      <c r="V179" s="78">
        <f t="shared" si="32"/>
        <v>0</v>
      </c>
    </row>
    <row r="180" spans="1:22" customFormat="1" x14ac:dyDescent="0.25">
      <c r="A180" s="45">
        <v>44104</v>
      </c>
      <c r="B180" s="33" t="s">
        <v>63</v>
      </c>
      <c r="C180" s="33" t="s">
        <v>24</v>
      </c>
      <c r="D180" s="34">
        <v>0</v>
      </c>
      <c r="E180" s="33" t="s">
        <v>4</v>
      </c>
      <c r="F180" s="30">
        <v>44345</v>
      </c>
      <c r="G180" s="33" t="s">
        <v>86</v>
      </c>
      <c r="H180" s="25">
        <f t="array" ref="H180">IFERROR(INDEX(Agenda!AA:AA,MATCH(1,('Lançamentos- Credito Débito'!E180=Agenda!C:C)*('Lançamentos- Credito Débito'!F180=Agenda!I:I),0)),"")</f>
        <v>7.9086345495804622E-4</v>
      </c>
      <c r="I180">
        <f t="shared" si="22"/>
        <v>30</v>
      </c>
      <c r="J180" s="35">
        <f t="shared" si="23"/>
        <v>2.4000000000002242E-2</v>
      </c>
      <c r="K180" s="40">
        <f t="array" ref="K180">INDEX(Agenda!AB:AB,MATCH(1,('Lançamentos- Credito Débito'!E180=Agenda!C:C)*('Lançamentos- Credito Débito'!F180=Agenda!I:I),0))</f>
        <v>0.75768825301624909</v>
      </c>
      <c r="L180" s="36">
        <f t="shared" si="24"/>
        <v>0</v>
      </c>
      <c r="M180" s="36">
        <f t="shared" si="25"/>
        <v>0</v>
      </c>
      <c r="N180" s="1">
        <f t="shared" si="26"/>
        <v>43404.429416195606</v>
      </c>
      <c r="O180" s="81">
        <f t="array" ref="O180">IF(OR(G180="Amortization",G180="Fim de Mês"),(1+J180)*N180-D180,-INDEX(Agenda!J:J,MATCH(1,('Lançamentos- Credito Débito'!E180=Agenda!C:C)*('Lançamentos- Credito Débito'!G180=Agenda!G:G),0)))</f>
        <v>44446.135722184401</v>
      </c>
      <c r="P180" s="44">
        <f t="shared" si="27"/>
        <v>1041.7063059887919</v>
      </c>
      <c r="Q180" s="64">
        <f t="shared" si="28"/>
        <v>44446.135722184401</v>
      </c>
      <c r="R180" s="14">
        <f t="array" ref="R180">IF(F180="","",INDEX(Agenda!L:L,MATCH(1,('Lançamentos- Credito Débito'!E180=Agenda!C:C)*('Lançamentos- Credito Débito'!F180=Agenda!I:I),0)))</f>
        <v>40744.36</v>
      </c>
      <c r="S180" s="14">
        <f t="shared" si="29"/>
        <v>0</v>
      </c>
      <c r="T180" s="14">
        <f t="shared" si="30"/>
        <v>40744.36</v>
      </c>
      <c r="U180" s="62">
        <f t="shared" si="31"/>
        <v>53774.570000000007</v>
      </c>
      <c r="V180" s="78">
        <f t="shared" si="32"/>
        <v>0</v>
      </c>
    </row>
    <row r="181" spans="1:22" customFormat="1" x14ac:dyDescent="0.25">
      <c r="A181" s="45">
        <v>44135</v>
      </c>
      <c r="B181" s="33" t="s">
        <v>63</v>
      </c>
      <c r="C181" s="33" t="s">
        <v>24</v>
      </c>
      <c r="D181" s="34">
        <v>0</v>
      </c>
      <c r="E181" s="33" t="s">
        <v>4</v>
      </c>
      <c r="F181" s="30">
        <v>44345</v>
      </c>
      <c r="G181" s="33" t="s">
        <v>86</v>
      </c>
      <c r="H181" s="25">
        <f t="array" ref="H181">IFERROR(INDEX(Agenda!AA:AA,MATCH(1,('Lançamentos- Credito Débito'!E181=Agenda!C:C)*('Lançamentos- Credito Débito'!F181=Agenda!I:I),0)),"")</f>
        <v>7.9086345495804622E-4</v>
      </c>
      <c r="I181">
        <f t="shared" si="22"/>
        <v>31</v>
      </c>
      <c r="J181" s="35">
        <f t="shared" si="23"/>
        <v>2.4809844177879015E-2</v>
      </c>
      <c r="K181" s="40">
        <f t="array" ref="K181">INDEX(Agenda!AB:AB,MATCH(1,('Lançamentos- Credito Débito'!E181=Agenda!C:C)*('Lançamentos- Credito Débito'!F181=Agenda!I:I),0))</f>
        <v>0.75768825301624909</v>
      </c>
      <c r="L181" s="36">
        <f t="shared" si="24"/>
        <v>0</v>
      </c>
      <c r="M181" s="36">
        <f t="shared" si="25"/>
        <v>0</v>
      </c>
      <c r="N181" s="1">
        <f t="shared" si="26"/>
        <v>44446.135722184401</v>
      </c>
      <c r="O181" s="81">
        <f t="array" ref="O181">IF(OR(G181="Amortization",G181="Fim de Mês"),(1+J181)*N181-D181,-INDEX(Agenda!J:J,MATCH(1,('Lançamentos- Credito Débito'!E181=Agenda!C:C)*('Lançamentos- Credito Débito'!G181=Agenda!G:G),0)))</f>
        <v>45548.837423760655</v>
      </c>
      <c r="P181" s="44">
        <f t="shared" si="27"/>
        <v>1102.7017015762572</v>
      </c>
      <c r="Q181" s="64">
        <f t="shared" si="28"/>
        <v>45548.837423760655</v>
      </c>
      <c r="R181" s="14">
        <f t="array" ref="R181">IF(F181="","",INDEX(Agenda!L:L,MATCH(1,('Lançamentos- Credito Débito'!E181=Agenda!C:C)*('Lançamentos- Credito Débito'!F181=Agenda!I:I),0)))</f>
        <v>40744.36</v>
      </c>
      <c r="S181" s="14">
        <f t="shared" si="29"/>
        <v>0</v>
      </c>
      <c r="T181" s="14">
        <f t="shared" si="30"/>
        <v>40744.36</v>
      </c>
      <c r="U181" s="62">
        <f t="shared" si="31"/>
        <v>53774.570000000007</v>
      </c>
      <c r="V181" s="78">
        <f t="shared" si="32"/>
        <v>0</v>
      </c>
    </row>
    <row r="182" spans="1:22" customFormat="1" x14ac:dyDescent="0.25">
      <c r="A182" s="45">
        <v>44165</v>
      </c>
      <c r="B182" s="33" t="s">
        <v>63</v>
      </c>
      <c r="C182" s="33" t="s">
        <v>24</v>
      </c>
      <c r="D182" s="34">
        <v>0</v>
      </c>
      <c r="E182" s="33" t="s">
        <v>4</v>
      </c>
      <c r="F182" s="30">
        <v>44345</v>
      </c>
      <c r="G182" s="33" t="s">
        <v>86</v>
      </c>
      <c r="H182" s="25">
        <f t="array" ref="H182">IFERROR(INDEX(Agenda!AA:AA,MATCH(1,('Lançamentos- Credito Débito'!E182=Agenda!C:C)*('Lançamentos- Credito Débito'!F182=Agenda!I:I),0)),"")</f>
        <v>7.9086345495804622E-4</v>
      </c>
      <c r="I182">
        <f t="shared" si="22"/>
        <v>30</v>
      </c>
      <c r="J182" s="35">
        <f t="shared" si="23"/>
        <v>2.4000000000002242E-2</v>
      </c>
      <c r="K182" s="40">
        <f t="array" ref="K182">INDEX(Agenda!AB:AB,MATCH(1,('Lançamentos- Credito Débito'!E182=Agenda!C:C)*('Lançamentos- Credito Débito'!F182=Agenda!I:I),0))</f>
        <v>0.75768825301624909</v>
      </c>
      <c r="L182" s="36">
        <f t="shared" si="24"/>
        <v>0</v>
      </c>
      <c r="M182" s="36">
        <f t="shared" si="25"/>
        <v>0</v>
      </c>
      <c r="N182" s="1">
        <f t="shared" si="26"/>
        <v>45548.837423760655</v>
      </c>
      <c r="O182" s="81">
        <f t="array" ref="O182">IF(OR(G182="Amortization",G182="Fim de Mês"),(1+J182)*N182-D182,-INDEX(Agenda!J:J,MATCH(1,('Lançamentos- Credito Débito'!E182=Agenda!C:C)*('Lançamentos- Credito Débito'!G182=Agenda!G:G),0)))</f>
        <v>46642.00952193101</v>
      </c>
      <c r="P182" s="44">
        <f t="shared" si="27"/>
        <v>1093.1720981703579</v>
      </c>
      <c r="Q182" s="64">
        <f t="shared" si="28"/>
        <v>46642.00952193101</v>
      </c>
      <c r="R182" s="14">
        <f t="array" ref="R182">IF(F182="","",INDEX(Agenda!L:L,MATCH(1,('Lançamentos- Credito Débito'!E182=Agenda!C:C)*('Lançamentos- Credito Débito'!F182=Agenda!I:I),0)))</f>
        <v>40744.36</v>
      </c>
      <c r="S182" s="14">
        <f t="shared" si="29"/>
        <v>0</v>
      </c>
      <c r="T182" s="14">
        <f t="shared" si="30"/>
        <v>40744.36</v>
      </c>
      <c r="U182" s="62">
        <f t="shared" si="31"/>
        <v>53774.570000000007</v>
      </c>
      <c r="V182" s="78">
        <f t="shared" si="32"/>
        <v>0</v>
      </c>
    </row>
    <row r="183" spans="1:22" customFormat="1" x14ac:dyDescent="0.25">
      <c r="A183" s="45">
        <v>44196</v>
      </c>
      <c r="B183" s="33" t="s">
        <v>63</v>
      </c>
      <c r="C183" s="33" t="s">
        <v>24</v>
      </c>
      <c r="D183" s="34">
        <v>0</v>
      </c>
      <c r="E183" s="33" t="s">
        <v>4</v>
      </c>
      <c r="F183" s="30">
        <v>44345</v>
      </c>
      <c r="G183" s="33" t="s">
        <v>86</v>
      </c>
      <c r="H183" s="25">
        <f t="array" ref="H183">IFERROR(INDEX(Agenda!AA:AA,MATCH(1,('Lançamentos- Credito Débito'!E183=Agenda!C:C)*('Lançamentos- Credito Débito'!F183=Agenda!I:I),0)),"")</f>
        <v>7.9086345495804622E-4</v>
      </c>
      <c r="I183">
        <f t="shared" si="22"/>
        <v>31</v>
      </c>
      <c r="J183" s="35">
        <f t="shared" si="23"/>
        <v>2.4809844177879015E-2</v>
      </c>
      <c r="K183" s="40">
        <f t="array" ref="K183">INDEX(Agenda!AB:AB,MATCH(1,('Lançamentos- Credito Débito'!E183=Agenda!C:C)*('Lançamentos- Credito Débito'!F183=Agenda!I:I),0))</f>
        <v>0.75768825301624909</v>
      </c>
      <c r="L183" s="36">
        <f t="shared" si="24"/>
        <v>0</v>
      </c>
      <c r="M183" s="36">
        <f t="shared" si="25"/>
        <v>0</v>
      </c>
      <c r="N183" s="1">
        <f t="shared" si="26"/>
        <v>46642.00952193101</v>
      </c>
      <c r="O183" s="81">
        <f t="array" ref="O183">IF(OR(G183="Amortization",G183="Fim de Mês"),(1+J183)*N183-D183,-INDEX(Agenda!J:J,MATCH(1,('Lançamentos- Credito Débito'!E183=Agenda!C:C)*('Lançamentos- Credito Débito'!G183=Agenda!G:G),0)))</f>
        <v>47799.190510313267</v>
      </c>
      <c r="P183" s="44">
        <f t="shared" si="27"/>
        <v>1157.1809883822575</v>
      </c>
      <c r="Q183" s="64">
        <f t="shared" si="28"/>
        <v>47799.190510313267</v>
      </c>
      <c r="R183" s="14">
        <f t="array" ref="R183">IF(F183="","",INDEX(Agenda!L:L,MATCH(1,('Lançamentos- Credito Débito'!E183=Agenda!C:C)*('Lançamentos- Credito Débito'!F183=Agenda!I:I),0)))</f>
        <v>40744.36</v>
      </c>
      <c r="S183" s="14">
        <f t="shared" si="29"/>
        <v>0</v>
      </c>
      <c r="T183" s="14">
        <f t="shared" si="30"/>
        <v>40744.36</v>
      </c>
      <c r="U183" s="62">
        <f t="shared" si="31"/>
        <v>53774.570000000007</v>
      </c>
      <c r="V183" s="78">
        <f t="shared" si="32"/>
        <v>0</v>
      </c>
    </row>
    <row r="184" spans="1:22" customFormat="1" x14ac:dyDescent="0.25">
      <c r="A184" s="45">
        <v>44227</v>
      </c>
      <c r="B184" s="33" t="s">
        <v>63</v>
      </c>
      <c r="C184" s="33" t="s">
        <v>24</v>
      </c>
      <c r="D184" s="34">
        <v>0</v>
      </c>
      <c r="E184" s="33" t="s">
        <v>4</v>
      </c>
      <c r="F184" s="30">
        <v>44345</v>
      </c>
      <c r="G184" s="33" t="s">
        <v>86</v>
      </c>
      <c r="H184" s="25">
        <f t="array" ref="H184">IFERROR(INDEX(Agenda!AA:AA,MATCH(1,('Lançamentos- Credito Débito'!E184=Agenda!C:C)*('Lançamentos- Credito Débito'!F184=Agenda!I:I),0)),"")</f>
        <v>7.9086345495804622E-4</v>
      </c>
      <c r="I184">
        <f t="shared" si="22"/>
        <v>31</v>
      </c>
      <c r="J184" s="35">
        <f t="shared" si="23"/>
        <v>2.4809844177879015E-2</v>
      </c>
      <c r="K184" s="40">
        <f t="array" ref="K184">INDEX(Agenda!AB:AB,MATCH(1,('Lançamentos- Credito Débito'!E184=Agenda!C:C)*('Lançamentos- Credito Débito'!F184=Agenda!I:I),0))</f>
        <v>0.75768825301624909</v>
      </c>
      <c r="L184" s="36">
        <f t="shared" si="24"/>
        <v>0</v>
      </c>
      <c r="M184" s="36">
        <f t="shared" si="25"/>
        <v>0</v>
      </c>
      <c r="N184" s="1">
        <f t="shared" si="26"/>
        <v>47799.190510313267</v>
      </c>
      <c r="O184" s="81">
        <f t="array" ref="O184">IF(OR(G184="Amortization",G184="Fim de Mês"),(1+J184)*N184-D184,-INDEX(Agenda!J:J,MATCH(1,('Lançamentos- Credito Débito'!E184=Agenda!C:C)*('Lançamentos- Credito Débito'!G184=Agenda!G:G),0)))</f>
        <v>48985.080978702892</v>
      </c>
      <c r="P184" s="44">
        <f t="shared" si="27"/>
        <v>1185.8904683896255</v>
      </c>
      <c r="Q184" s="64">
        <f t="shared" si="28"/>
        <v>48985.080978702892</v>
      </c>
      <c r="R184" s="14">
        <f t="array" ref="R184">IF(F184="","",INDEX(Agenda!L:L,MATCH(1,('Lançamentos- Credito Débito'!E184=Agenda!C:C)*('Lançamentos- Credito Débito'!F184=Agenda!I:I),0)))</f>
        <v>40744.36</v>
      </c>
      <c r="S184" s="14">
        <f t="shared" si="29"/>
        <v>0</v>
      </c>
      <c r="T184" s="14">
        <f t="shared" si="30"/>
        <v>40744.36</v>
      </c>
      <c r="U184" s="62">
        <f t="shared" si="31"/>
        <v>53774.570000000007</v>
      </c>
      <c r="V184" s="78">
        <f t="shared" si="32"/>
        <v>0</v>
      </c>
    </row>
    <row r="185" spans="1:22" customFormat="1" x14ac:dyDescent="0.25">
      <c r="A185" s="45">
        <v>44255</v>
      </c>
      <c r="B185" s="33" t="s">
        <v>63</v>
      </c>
      <c r="C185" s="33" t="s">
        <v>24</v>
      </c>
      <c r="D185" s="34">
        <v>0</v>
      </c>
      <c r="E185" s="33" t="s">
        <v>4</v>
      </c>
      <c r="F185" s="30">
        <v>44345</v>
      </c>
      <c r="G185" s="33" t="s">
        <v>86</v>
      </c>
      <c r="H185" s="25">
        <f t="array" ref="H185">IFERROR(INDEX(Agenda!AA:AA,MATCH(1,('Lançamentos- Credito Débito'!E185=Agenda!C:C)*('Lançamentos- Credito Débito'!F185=Agenda!I:I),0)),"")</f>
        <v>7.9086345495804622E-4</v>
      </c>
      <c r="I185">
        <f t="shared" si="22"/>
        <v>28</v>
      </c>
      <c r="J185" s="35">
        <f t="shared" si="23"/>
        <v>2.2382231048625689E-2</v>
      </c>
      <c r="K185" s="40">
        <f t="array" ref="K185">INDEX(Agenda!AB:AB,MATCH(1,('Lançamentos- Credito Débito'!E185=Agenda!C:C)*('Lançamentos- Credito Débito'!F185=Agenda!I:I),0))</f>
        <v>0.75768825301624909</v>
      </c>
      <c r="L185" s="36">
        <f t="shared" si="24"/>
        <v>0</v>
      </c>
      <c r="M185" s="36">
        <f t="shared" si="25"/>
        <v>0</v>
      </c>
      <c r="N185" s="1">
        <f t="shared" si="26"/>
        <v>48985.080978702892</v>
      </c>
      <c r="O185" s="81">
        <f t="array" ref="O185">IF(OR(G185="Amortization",G185="Fim de Mês"),(1+J185)*N185-D185,-INDEX(Agenda!J:J,MATCH(1,('Lançamentos- Credito Débito'!E185=Agenda!C:C)*('Lançamentos- Credito Débito'!G185=Agenda!G:G),0)))</f>
        <v>50081.476379103857</v>
      </c>
      <c r="P185" s="44">
        <f t="shared" si="27"/>
        <v>1096.3954004009674</v>
      </c>
      <c r="Q185" s="64">
        <f t="shared" si="28"/>
        <v>50081.476379103857</v>
      </c>
      <c r="R185" s="14">
        <f t="array" ref="R185">IF(F185="","",INDEX(Agenda!L:L,MATCH(1,('Lançamentos- Credito Débito'!E185=Agenda!C:C)*('Lançamentos- Credito Débito'!F185=Agenda!I:I),0)))</f>
        <v>40744.36</v>
      </c>
      <c r="S185" s="14">
        <f t="shared" si="29"/>
        <v>0</v>
      </c>
      <c r="T185" s="14">
        <f t="shared" si="30"/>
        <v>40744.36</v>
      </c>
      <c r="U185" s="62">
        <f t="shared" si="31"/>
        <v>53774.570000000007</v>
      </c>
      <c r="V185" s="78">
        <f t="shared" si="32"/>
        <v>0</v>
      </c>
    </row>
    <row r="186" spans="1:22" customFormat="1" x14ac:dyDescent="0.25">
      <c r="A186" s="45">
        <v>44286</v>
      </c>
      <c r="B186" s="33" t="s">
        <v>63</v>
      </c>
      <c r="C186" s="33" t="s">
        <v>24</v>
      </c>
      <c r="D186" s="34">
        <v>0</v>
      </c>
      <c r="E186" s="33" t="s">
        <v>4</v>
      </c>
      <c r="F186" s="30">
        <v>44345</v>
      </c>
      <c r="G186" s="33" t="s">
        <v>86</v>
      </c>
      <c r="H186" s="25">
        <f t="array" ref="H186">IFERROR(INDEX(Agenda!AA:AA,MATCH(1,('Lançamentos- Credito Débito'!E186=Agenda!C:C)*('Lançamentos- Credito Débito'!F186=Agenda!I:I),0)),"")</f>
        <v>7.9086345495804622E-4</v>
      </c>
      <c r="I186">
        <f t="shared" si="22"/>
        <v>31</v>
      </c>
      <c r="J186" s="35">
        <f t="shared" si="23"/>
        <v>2.4809844177879015E-2</v>
      </c>
      <c r="K186" s="40">
        <f t="array" ref="K186">INDEX(Agenda!AB:AB,MATCH(1,('Lançamentos- Credito Débito'!E186=Agenda!C:C)*('Lançamentos- Credito Débito'!F186=Agenda!I:I),0))</f>
        <v>0.75768825301624909</v>
      </c>
      <c r="L186" s="36">
        <f t="shared" si="24"/>
        <v>0</v>
      </c>
      <c r="M186" s="36">
        <f t="shared" si="25"/>
        <v>0</v>
      </c>
      <c r="N186" s="1">
        <f t="shared" si="26"/>
        <v>50081.476379103857</v>
      </c>
      <c r="O186" s="81">
        <f t="array" ref="O186">IF(OR(G186="Amortization",G186="Fim de Mês"),(1+J186)*N186-D186,-INDEX(Agenda!J:J,MATCH(1,('Lançamentos- Credito Débito'!E186=Agenda!C:C)*('Lançamentos- Credito Débito'!G186=Agenda!G:G),0)))</f>
        <v>51323.990004267551</v>
      </c>
      <c r="P186" s="44">
        <f t="shared" si="27"/>
        <v>1242.5136251636952</v>
      </c>
      <c r="Q186" s="64">
        <f t="shared" si="28"/>
        <v>51323.990004267551</v>
      </c>
      <c r="R186" s="14">
        <f t="array" ref="R186">IF(F186="","",INDEX(Agenda!L:L,MATCH(1,('Lançamentos- Credito Débito'!E186=Agenda!C:C)*('Lançamentos- Credito Débito'!F186=Agenda!I:I),0)))</f>
        <v>40744.36</v>
      </c>
      <c r="S186" s="14">
        <f t="shared" si="29"/>
        <v>0</v>
      </c>
      <c r="T186" s="14">
        <f t="shared" si="30"/>
        <v>40744.36</v>
      </c>
      <c r="U186" s="62">
        <f t="shared" si="31"/>
        <v>53774.570000000007</v>
      </c>
      <c r="V186" s="78">
        <f t="shared" si="32"/>
        <v>0</v>
      </c>
    </row>
    <row r="187" spans="1:22" customFormat="1" x14ac:dyDescent="0.25">
      <c r="A187" s="45">
        <v>44316</v>
      </c>
      <c r="B187" s="33" t="s">
        <v>63</v>
      </c>
      <c r="C187" s="33" t="s">
        <v>24</v>
      </c>
      <c r="D187" s="34">
        <v>0</v>
      </c>
      <c r="E187" s="33" t="s">
        <v>4</v>
      </c>
      <c r="F187" s="30">
        <v>44345</v>
      </c>
      <c r="G187" s="33" t="s">
        <v>86</v>
      </c>
      <c r="H187" s="25">
        <f t="array" ref="H187">IFERROR(INDEX(Agenda!AA:AA,MATCH(1,('Lançamentos- Credito Débito'!E187=Agenda!C:C)*('Lançamentos- Credito Débito'!F187=Agenda!I:I),0)),"")</f>
        <v>7.9086345495804622E-4</v>
      </c>
      <c r="I187">
        <f t="shared" si="22"/>
        <v>30</v>
      </c>
      <c r="J187" s="35">
        <f t="shared" si="23"/>
        <v>2.4000000000002242E-2</v>
      </c>
      <c r="K187" s="40">
        <f t="array" ref="K187">INDEX(Agenda!AB:AB,MATCH(1,('Lançamentos- Credito Débito'!E187=Agenda!C:C)*('Lançamentos- Credito Débito'!F187=Agenda!I:I),0))</f>
        <v>0.75768825301624909</v>
      </c>
      <c r="L187" s="36">
        <f t="shared" si="24"/>
        <v>0</v>
      </c>
      <c r="M187" s="36">
        <f t="shared" si="25"/>
        <v>0</v>
      </c>
      <c r="N187" s="1">
        <f t="shared" si="26"/>
        <v>51323.990004267551</v>
      </c>
      <c r="O187" s="81">
        <f t="array" ref="O187">IF(OR(G187="Amortization",G187="Fim de Mês"),(1+J187)*N187-D187,-INDEX(Agenda!J:J,MATCH(1,('Lançamentos- Credito Débito'!E187=Agenda!C:C)*('Lançamentos- Credito Débito'!G187=Agenda!G:G),0)))</f>
        <v>52555.765764370088</v>
      </c>
      <c r="P187" s="44">
        <f t="shared" si="27"/>
        <v>1231.7757601025362</v>
      </c>
      <c r="Q187" s="64">
        <f t="shared" si="28"/>
        <v>52555.765764370088</v>
      </c>
      <c r="R187" s="14">
        <f t="array" ref="R187">IF(F187="","",INDEX(Agenda!L:L,MATCH(1,('Lançamentos- Credito Débito'!E187=Agenda!C:C)*('Lançamentos- Credito Débito'!F187=Agenda!I:I),0)))</f>
        <v>40744.36</v>
      </c>
      <c r="S187" s="14">
        <f t="shared" si="29"/>
        <v>0</v>
      </c>
      <c r="T187" s="14">
        <f t="shared" si="30"/>
        <v>40744.36</v>
      </c>
      <c r="U187" s="62">
        <f t="shared" si="31"/>
        <v>53774.570000000007</v>
      </c>
      <c r="V187" s="78">
        <f t="shared" si="32"/>
        <v>0</v>
      </c>
    </row>
    <row r="188" spans="1:22" customFormat="1" x14ac:dyDescent="0.25">
      <c r="A188" s="30">
        <v>44345</v>
      </c>
      <c r="B188" s="33" t="s">
        <v>63</v>
      </c>
      <c r="C188" s="33" t="s">
        <v>24</v>
      </c>
      <c r="D188" s="34">
        <v>53774.570000000007</v>
      </c>
      <c r="E188" s="33" t="s">
        <v>4</v>
      </c>
      <c r="F188" s="30">
        <v>44345</v>
      </c>
      <c r="G188" s="33" t="s">
        <v>51</v>
      </c>
      <c r="H188" s="25">
        <f t="array" ref="H188">IFERROR(INDEX(Agenda!AA:AA,MATCH(1,('Lançamentos- Credito Débito'!E188=Agenda!C:C)*('Lançamentos- Credito Débito'!F188=Agenda!I:I),0)),"")</f>
        <v>7.9086345495804622E-4</v>
      </c>
      <c r="I188">
        <f t="shared" si="22"/>
        <v>29</v>
      </c>
      <c r="J188" s="35">
        <f t="shared" si="23"/>
        <v>2.3190795792160657E-2</v>
      </c>
      <c r="K188" s="40">
        <f t="array" ref="K188">INDEX(Agenda!AB:AB,MATCH(1,('Lançamentos- Credito Débito'!E188=Agenda!C:C)*('Lançamentos- Credito Débito'!F188=Agenda!I:I),0))</f>
        <v>0.75768825301624909</v>
      </c>
      <c r="L188" s="36">
        <f t="shared" si="24"/>
        <v>40744.36</v>
      </c>
      <c r="M188" s="36">
        <f t="shared" si="25"/>
        <v>13030.210000000005</v>
      </c>
      <c r="N188" s="1">
        <f t="shared" si="26"/>
        <v>52555.765764370088</v>
      </c>
      <c r="O188" s="81">
        <f t="array" ref="O188">IF(OR(G188="Amortization",G188="Fim de Mês"),(1+J188)*N188-D188,-INDEX(Agenda!J:J,MATCH(1,('Lançamentos- Credito Débito'!E188=Agenda!C:C)*('Lançamentos- Credito Débito'!G188=Agenda!G:G),0)))</f>
        <v>5.7959122132160701E-3</v>
      </c>
      <c r="P188" s="44">
        <f t="shared" si="27"/>
        <v>1218.810031542135</v>
      </c>
      <c r="Q188" s="64">
        <f t="shared" si="28"/>
        <v>53774.57579591222</v>
      </c>
      <c r="R188" s="14">
        <f t="array" ref="R188">IF(F188="","",INDEX(Agenda!L:L,MATCH(1,('Lançamentos- Credito Débito'!E188=Agenda!C:C)*('Lançamentos- Credito Débito'!F188=Agenda!I:I),0)))</f>
        <v>40744.36</v>
      </c>
      <c r="S188" s="14">
        <f t="shared" si="29"/>
        <v>40744.36</v>
      </c>
      <c r="T188" s="14">
        <f t="shared" si="30"/>
        <v>0</v>
      </c>
      <c r="U188" s="62">
        <f t="shared" si="31"/>
        <v>0</v>
      </c>
      <c r="V188" s="78">
        <f t="shared" si="32"/>
        <v>0</v>
      </c>
    </row>
    <row r="189" spans="1:22" customFormat="1" x14ac:dyDescent="0.25">
      <c r="A189" s="45">
        <v>43951</v>
      </c>
      <c r="B189" s="33" t="s">
        <v>36</v>
      </c>
      <c r="C189" s="33" t="s">
        <v>63</v>
      </c>
      <c r="D189" s="34">
        <v>103359.17</v>
      </c>
      <c r="E189" s="33" t="s">
        <v>16</v>
      </c>
      <c r="F189" s="33"/>
      <c r="G189" s="33" t="s">
        <v>50</v>
      </c>
      <c r="H189" s="25" t="str">
        <f t="array" ref="H189">IFERROR(INDEX(Agenda!AA:AA,MATCH(1,('Lançamentos- Credito Débito'!E189=Agenda!C:C)*('Lançamentos- Credito Débito'!F189=Agenda!I:I),0)),"")</f>
        <v/>
      </c>
      <c r="I189" t="str">
        <f t="shared" si="22"/>
        <v/>
      </c>
      <c r="J189" s="35" t="str">
        <f t="shared" si="23"/>
        <v/>
      </c>
      <c r="K189" s="40" t="e">
        <f t="array" ref="K189">INDEX(Agenda!AB:AB,MATCH(1,('Lançamentos- Credito Débito'!E189=Agenda!C:C)*('Lançamentos- Credito Débito'!F189=Agenda!I:I),0))</f>
        <v>#N/A</v>
      </c>
      <c r="L189" s="36" t="str">
        <f t="shared" si="24"/>
        <v/>
      </c>
      <c r="M189" s="36" t="str">
        <f t="shared" si="25"/>
        <v/>
      </c>
      <c r="N189" s="1" t="str">
        <f t="shared" si="26"/>
        <v/>
      </c>
      <c r="O189" s="81">
        <f t="array" ref="O189">IF(OR(G189="Amortization",G189="Fim de Mês"),(1+J189)*N189-D189,-INDEX(Agenda!J:J,MATCH(1,('Lançamentos- Credito Débito'!E189=Agenda!C:C)*('Lançamentos- Credito Débito'!G189=Agenda!G:G),0)))</f>
        <v>103359.17</v>
      </c>
      <c r="P189" s="44" t="str">
        <f t="shared" si="27"/>
        <v/>
      </c>
      <c r="Q189" s="64" t="str">
        <f t="shared" si="28"/>
        <v/>
      </c>
      <c r="R189" s="14" t="str">
        <f t="array" ref="R189">IF(F189="","",INDEX(Agenda!L:L,MATCH(1,('Lançamentos- Credito Débito'!E189=Agenda!C:C)*('Lançamentos- Credito Débito'!F189=Agenda!I:I),0)))</f>
        <v/>
      </c>
      <c r="S189" s="14" t="str">
        <f t="shared" si="29"/>
        <v/>
      </c>
      <c r="T189" s="14" t="str">
        <f t="shared" si="30"/>
        <v/>
      </c>
      <c r="U189" s="62" t="str">
        <f t="shared" si="31"/>
        <v/>
      </c>
      <c r="V189" s="78" t="str">
        <f t="shared" si="32"/>
        <v/>
      </c>
    </row>
    <row r="190" spans="1:22" customFormat="1" x14ac:dyDescent="0.25">
      <c r="A190" s="3">
        <v>43981</v>
      </c>
      <c r="B190" s="33" t="s">
        <v>63</v>
      </c>
      <c r="C190" s="33" t="s">
        <v>36</v>
      </c>
      <c r="D190" s="34"/>
      <c r="E190" s="33" t="s">
        <v>16</v>
      </c>
      <c r="F190" s="30">
        <v>44002</v>
      </c>
      <c r="G190" s="33" t="s">
        <v>86</v>
      </c>
      <c r="H190" s="25">
        <f t="array" ref="H190">IFERROR(INDEX(Agenda!AA:AA,MATCH(1,('Lançamentos- Credito Débito'!E190=Agenda!C:C)*('Lançamentos- Credito Débito'!F190=Agenda!I:I),0)),"")</f>
        <v>8.2342591547712729E-4</v>
      </c>
      <c r="I190">
        <f t="shared" si="22"/>
        <v>30</v>
      </c>
      <c r="J190" s="35">
        <f t="shared" si="23"/>
        <v>2.4999999999997025E-2</v>
      </c>
      <c r="K190" s="40">
        <f t="array" ref="K190">INDEX(Agenda!AB:AB,MATCH(1,('Lançamentos- Credito Débito'!E190=Agenda!C:C)*('Lançamentos- Credito Débito'!F190=Agenda!I:I),0))</f>
        <v>6.6950985183746973E-6</v>
      </c>
      <c r="L190" s="36">
        <f t="shared" si="24"/>
        <v>0</v>
      </c>
      <c r="M190" s="36">
        <f t="shared" si="25"/>
        <v>0</v>
      </c>
      <c r="N190" s="1">
        <f t="shared" si="26"/>
        <v>103359.17</v>
      </c>
      <c r="O190" s="81">
        <f t="array" ref="O190">IF(OR(G190="Amortization",G190="Fim de Mês"),(1+J190)*N190-D190,-INDEX(Agenda!J:J,MATCH(1,('Lançamentos- Credito Débito'!E190=Agenda!C:C)*('Lançamentos- Credito Débito'!G190=Agenda!G:G),0)))</f>
        <v>105943.1492499997</v>
      </c>
      <c r="P190" s="44">
        <f t="shared" si="27"/>
        <v>2583.9792499996925</v>
      </c>
      <c r="Q190" s="64">
        <f t="shared" si="28"/>
        <v>105943.1492499997</v>
      </c>
      <c r="R190" s="14">
        <f t="array" ref="R190">IF(F190="","",INDEX(Agenda!L:L,MATCH(1,('Lançamentos- Credito Débito'!E190=Agenda!C:C)*('Lançamentos- Credito Débito'!F190=Agenda!I:I),0)))</f>
        <v>0.01</v>
      </c>
      <c r="S190" s="14">
        <f t="shared" si="29"/>
        <v>0</v>
      </c>
      <c r="T190" s="14">
        <f t="shared" si="30"/>
        <v>0.01</v>
      </c>
      <c r="U190" s="62">
        <f t="shared" si="31"/>
        <v>1493.63</v>
      </c>
      <c r="V190" s="78">
        <f t="shared" si="32"/>
        <v>0</v>
      </c>
    </row>
    <row r="191" spans="1:22" customFormat="1" x14ac:dyDescent="0.25">
      <c r="A191" s="46">
        <v>44002</v>
      </c>
      <c r="B191" s="33" t="s">
        <v>63</v>
      </c>
      <c r="C191" s="33" t="s">
        <v>36</v>
      </c>
      <c r="D191" s="79">
        <v>1493.63</v>
      </c>
      <c r="E191" s="33" t="s">
        <v>16</v>
      </c>
      <c r="F191" s="30">
        <v>44002</v>
      </c>
      <c r="G191" s="33" t="s">
        <v>51</v>
      </c>
      <c r="H191" s="25">
        <f t="array" ref="H191">IFERROR(INDEX(Agenda!AA:AA,MATCH(1,('Lançamentos- Credito Débito'!E191=Agenda!C:C)*('Lançamentos- Credito Débito'!F191=Agenda!I:I),0)),"")</f>
        <v>8.2342591547712729E-4</v>
      </c>
      <c r="I191">
        <f t="shared" si="22"/>
        <v>21</v>
      </c>
      <c r="J191" s="35">
        <f t="shared" si="23"/>
        <v>1.7435075883431628E-2</v>
      </c>
      <c r="K191" s="40">
        <f t="array" ref="K191">INDEX(Agenda!AB:AB,MATCH(1,('Lançamentos- Credito Débito'!E191=Agenda!C:C)*('Lançamentos- Credito Débito'!F191=Agenda!I:I),0))</f>
        <v>6.6950985183746973E-6</v>
      </c>
      <c r="L191" s="36">
        <f t="shared" si="24"/>
        <v>0.01</v>
      </c>
      <c r="M191" s="36">
        <f t="shared" si="25"/>
        <v>1493.6200000000001</v>
      </c>
      <c r="N191" s="1">
        <f t="shared" si="26"/>
        <v>105943.1492499997</v>
      </c>
      <c r="O191" s="81">
        <f t="array" ref="O191">IF(OR(G191="Amortization",G191="Fim de Mês"),(1+J191)*N191-D191,-INDEX(Agenda!J:J,MATCH(1,('Lançamentos- Credito Débito'!E191=Agenda!C:C)*('Lançamentos- Credito Débito'!G191=Agenda!G:G),0)))</f>
        <v>106296.64609650316</v>
      </c>
      <c r="P191" s="44">
        <f t="shared" si="27"/>
        <v>1847.1268465034673</v>
      </c>
      <c r="Q191" s="64">
        <f t="shared" si="28"/>
        <v>107790.27609650316</v>
      </c>
      <c r="R191" s="14">
        <f t="array" ref="R191">IF(F191="","",INDEX(Agenda!L:L,MATCH(1,('Lançamentos- Credito Débito'!E191=Agenda!C:C)*('Lançamentos- Credito Débito'!F191=Agenda!I:I),0)))</f>
        <v>0.01</v>
      </c>
      <c r="S191" s="14">
        <f t="shared" si="29"/>
        <v>0.01</v>
      </c>
      <c r="T191" s="14">
        <f t="shared" si="30"/>
        <v>0</v>
      </c>
      <c r="U191" s="62">
        <f t="shared" si="31"/>
        <v>0</v>
      </c>
      <c r="V191" s="78">
        <f t="shared" si="32"/>
        <v>0</v>
      </c>
    </row>
    <row r="192" spans="1:22" customFormat="1" x14ac:dyDescent="0.25">
      <c r="A192" s="3">
        <v>44012</v>
      </c>
      <c r="B192" s="33" t="s">
        <v>63</v>
      </c>
      <c r="C192" s="33" t="s">
        <v>36</v>
      </c>
      <c r="D192" s="34"/>
      <c r="E192" s="33" t="s">
        <v>16</v>
      </c>
      <c r="F192" s="30">
        <v>44002</v>
      </c>
      <c r="G192" s="33" t="s">
        <v>86</v>
      </c>
      <c r="H192" s="25">
        <f t="array" ref="H192">IFERROR(INDEX(Agenda!AA:AA,MATCH(1,('Lançamentos- Credito Débito'!E192=Agenda!C:C)*('Lançamentos- Credito Débito'!F192=Agenda!I:I),0)),"")</f>
        <v>8.2342591547712729E-4</v>
      </c>
      <c r="I192">
        <f t="shared" si="22"/>
        <v>10</v>
      </c>
      <c r="J192" s="35">
        <f t="shared" si="23"/>
        <v>8.2648376090512787E-3</v>
      </c>
      <c r="K192" s="40">
        <f t="array" ref="K192">INDEX(Agenda!AB:AB,MATCH(1,('Lançamentos- Credito Débito'!E192=Agenda!C:C)*('Lançamentos- Credito Débito'!F192=Agenda!I:I),0))</f>
        <v>6.6950985183746973E-6</v>
      </c>
      <c r="L192" s="36">
        <f t="shared" si="24"/>
        <v>0</v>
      </c>
      <c r="M192" s="36">
        <f t="shared" si="25"/>
        <v>0</v>
      </c>
      <c r="N192" s="1">
        <f t="shared" si="26"/>
        <v>106296.64609650316</v>
      </c>
      <c r="O192" s="81">
        <f t="array" ref="O192">IF(OR(G192="Amortization",G192="Fim de Mês"),(1+J192)*N192-D192,-INDEX(Agenda!J:J,MATCH(1,('Lançamentos- Credito Débito'!E192=Agenda!C:C)*('Lançamentos- Credito Débito'!G192=Agenda!G:G),0)))</f>
        <v>107175.17061487756</v>
      </c>
      <c r="P192" s="44">
        <f t="shared" si="27"/>
        <v>878.5245183743931</v>
      </c>
      <c r="Q192" s="64">
        <f t="shared" si="28"/>
        <v>107175.17061487756</v>
      </c>
      <c r="R192" s="14">
        <f t="array" ref="R192">IF(F192="","",INDEX(Agenda!L:L,MATCH(1,('Lançamentos- Credito Débito'!E192=Agenda!C:C)*('Lançamentos- Credito Débito'!F192=Agenda!I:I),0)))</f>
        <v>0.01</v>
      </c>
      <c r="S192" s="14">
        <f t="shared" si="29"/>
        <v>0.01</v>
      </c>
      <c r="T192" s="14">
        <f t="shared" si="30"/>
        <v>0</v>
      </c>
      <c r="U192" s="62">
        <f t="shared" si="31"/>
        <v>0</v>
      </c>
      <c r="V192" s="78">
        <f t="shared" si="32"/>
        <v>0</v>
      </c>
    </row>
    <row r="193" spans="1:22" customFormat="1" x14ac:dyDescent="0.25">
      <c r="A193" s="45">
        <v>44032</v>
      </c>
      <c r="B193" s="33" t="s">
        <v>63</v>
      </c>
      <c r="C193" s="33" t="s">
        <v>36</v>
      </c>
      <c r="D193" s="80">
        <v>2650</v>
      </c>
      <c r="E193" s="33" t="s">
        <v>16</v>
      </c>
      <c r="F193" s="30">
        <v>44032</v>
      </c>
      <c r="G193" s="33" t="s">
        <v>51</v>
      </c>
      <c r="H193" s="25">
        <f t="array" ref="H193">IFERROR(INDEX(Agenda!AA:AA,MATCH(1,('Lançamentos- Credito Débito'!E193=Agenda!C:C)*('Lançamentos- Credito Débito'!F193=Agenda!I:I),0)),"")</f>
        <v>8.2342591547712729E-4</v>
      </c>
      <c r="I193">
        <f t="shared" si="22"/>
        <v>20</v>
      </c>
      <c r="J193" s="35">
        <f t="shared" si="23"/>
        <v>1.6597982758806529E-2</v>
      </c>
      <c r="K193" s="40">
        <f t="array" ref="K193">INDEX(Agenda!AB:AB,MATCH(1,('Lançamentos- Credito Débito'!E193=Agenda!C:C)*('Lançamentos- Credito Débito'!F193=Agenda!I:I),0))</f>
        <v>3.7735849056603773E-6</v>
      </c>
      <c r="L193" s="36">
        <f t="shared" si="24"/>
        <v>0.01</v>
      </c>
      <c r="M193" s="36">
        <f t="shared" si="25"/>
        <v>2649.99</v>
      </c>
      <c r="N193" s="1">
        <f t="shared" si="26"/>
        <v>107175.17061487756</v>
      </c>
      <c r="O193" s="81">
        <f t="array" ref="O193">IF(OR(G193="Amortization",G193="Fim de Mês"),(1+J193)*N193-D193,-INDEX(Agenda!J:J,MATCH(1,('Lançamentos- Credito Débito'!E193=Agenda!C:C)*('Lançamentos- Credito Débito'!G193=Agenda!G:G),0)))</f>
        <v>106304.06224891545</v>
      </c>
      <c r="P193" s="44">
        <f t="shared" si="27"/>
        <v>1778.8916340378858</v>
      </c>
      <c r="Q193" s="64">
        <f t="shared" si="28"/>
        <v>108954.06224891545</v>
      </c>
      <c r="R193" s="14">
        <f t="array" ref="R193">IF(F193="","",INDEX(Agenda!L:L,MATCH(1,('Lançamentos- Credito Débito'!E193=Agenda!C:C)*('Lançamentos- Credito Débito'!F193=Agenda!I:I),0)))</f>
        <v>0.01</v>
      </c>
      <c r="S193" s="14">
        <f t="shared" si="29"/>
        <v>0.01</v>
      </c>
      <c r="T193" s="14">
        <f t="shared" si="30"/>
        <v>0</v>
      </c>
      <c r="U193" s="62">
        <f t="shared" si="31"/>
        <v>0</v>
      </c>
      <c r="V193" s="78">
        <f t="shared" si="32"/>
        <v>0</v>
      </c>
    </row>
    <row r="194" spans="1:22" customFormat="1" x14ac:dyDescent="0.25">
      <c r="A194" s="45">
        <v>44043</v>
      </c>
      <c r="B194" s="33" t="s">
        <v>63</v>
      </c>
      <c r="C194" s="33" t="s">
        <v>36</v>
      </c>
      <c r="D194" s="34"/>
      <c r="E194" s="33" t="s">
        <v>16</v>
      </c>
      <c r="F194" s="30">
        <v>44032</v>
      </c>
      <c r="G194" s="33" t="s">
        <v>86</v>
      </c>
      <c r="H194" s="25">
        <f t="array" ref="H194">IFERROR(INDEX(Agenda!AA:AA,MATCH(1,('Lançamentos- Credito Débito'!E194=Agenda!C:C)*('Lançamentos- Credito Débito'!F194=Agenda!I:I),0)),"")</f>
        <v>8.2342591547712729E-4</v>
      </c>
      <c r="I194">
        <f t="shared" si="22"/>
        <v>11</v>
      </c>
      <c r="J194" s="35">
        <f t="shared" si="23"/>
        <v>9.095069006002765E-3</v>
      </c>
      <c r="K194" s="40">
        <f t="array" ref="K194">INDEX(Agenda!AB:AB,MATCH(1,('Lançamentos- Credito Débito'!E194=Agenda!C:C)*('Lançamentos- Credito Débito'!F194=Agenda!I:I),0))</f>
        <v>3.7735849056603773E-6</v>
      </c>
      <c r="L194" s="36">
        <f t="shared" si="24"/>
        <v>0</v>
      </c>
      <c r="M194" s="36">
        <f t="shared" si="25"/>
        <v>0</v>
      </c>
      <c r="N194" s="1">
        <f t="shared" si="26"/>
        <v>106304.06224891545</v>
      </c>
      <c r="O194" s="81">
        <f t="array" ref="O194">IF(OR(G194="Amortization",G194="Fim de Mês"),(1+J194)*N194-D194,-INDEX(Agenda!J:J,MATCH(1,('Lançamentos- Credito Débito'!E194=Agenda!C:C)*('Lançamentos- Credito Débito'!G194=Agenda!G:G),0)))</f>
        <v>107270.90503068775</v>
      </c>
      <c r="P194" s="44">
        <f t="shared" si="27"/>
        <v>966.84278177229953</v>
      </c>
      <c r="Q194" s="64">
        <f t="shared" si="28"/>
        <v>107270.90503068775</v>
      </c>
      <c r="R194" s="14">
        <f t="array" ref="R194">IF(F194="","",INDEX(Agenda!L:L,MATCH(1,('Lançamentos- Credito Débito'!E194=Agenda!C:C)*('Lançamentos- Credito Débito'!F194=Agenda!I:I),0)))</f>
        <v>0.01</v>
      </c>
      <c r="S194" s="14">
        <f t="shared" si="29"/>
        <v>0.01</v>
      </c>
      <c r="T194" s="14">
        <f t="shared" si="30"/>
        <v>0</v>
      </c>
      <c r="U194" s="62">
        <f t="shared" si="31"/>
        <v>0</v>
      </c>
      <c r="V194" s="78">
        <f t="shared" si="32"/>
        <v>0</v>
      </c>
    </row>
    <row r="195" spans="1:22" customFormat="1" x14ac:dyDescent="0.25">
      <c r="A195" s="45">
        <v>44063</v>
      </c>
      <c r="B195" s="33" t="s">
        <v>63</v>
      </c>
      <c r="C195" s="33" t="s">
        <v>36</v>
      </c>
      <c r="D195" s="79">
        <v>14783.52</v>
      </c>
      <c r="E195" s="33" t="s">
        <v>16</v>
      </c>
      <c r="F195" s="3">
        <v>44063</v>
      </c>
      <c r="G195" s="33" t="s">
        <v>51</v>
      </c>
      <c r="H195" s="25">
        <f t="array" ref="H195">IFERROR(INDEX(Agenda!AA:AA,MATCH(1,('Lançamentos- Credito Débito'!E195=Agenda!C:C)*('Lançamentos- Credito Débito'!F195=Agenda!I:I),0)),"")</f>
        <v>8.2342591547712729E-4</v>
      </c>
      <c r="I195">
        <f t="shared" ref="I195:I222" si="33">IF(OR(G195="Amortization",G195="Fim de Mês"),A195-A194,"")</f>
        <v>20</v>
      </c>
      <c r="J195" s="35">
        <f t="shared" ref="J195:J224" si="34">IFERROR((1+H195)^I195-1,"")</f>
        <v>1.6597982758806529E-2</v>
      </c>
      <c r="K195" s="40">
        <f t="array" ref="K195">INDEX(Agenda!AB:AB,MATCH(1,('Lançamentos- Credito Débito'!E195=Agenda!C:C)*('Lançamentos- Credito Débito'!F195=Agenda!I:I),0))</f>
        <v>0.63510314187690076</v>
      </c>
      <c r="L195" s="36">
        <f t="shared" ref="L195:L224" si="35">IF(OR(G195="Amortization",G195="Fim de Mês"),K195*D195,"")</f>
        <v>9389.06</v>
      </c>
      <c r="M195" s="36">
        <f t="shared" ref="M195:M224" si="36">IF(J195="","",D195*(1-K195))</f>
        <v>5394.46</v>
      </c>
      <c r="N195" s="1">
        <f t="shared" ref="N195:N224" si="37">IF(E195=E194,O194,"")</f>
        <v>107270.90503068775</v>
      </c>
      <c r="O195" s="81">
        <f t="array" ref="O195">IF(OR(G195="Amortization",G195="Fim de Mês"),(1+J195)*N195-D195,-INDEX(Agenda!J:J,MATCH(1,('Lançamentos- Credito Débito'!E195=Agenda!C:C)*('Lançamentos- Credito Débito'!G195=Agenda!G:G),0)))</f>
        <v>94267.865662908676</v>
      </c>
      <c r="P195" s="44">
        <f t="shared" ref="P195:P224" si="38">IF(J195="","",N195*J195)</f>
        <v>1780.4806322209276</v>
      </c>
      <c r="Q195" s="64">
        <f t="shared" ref="Q195:Q224" si="39">IF(N195="","",N195+P195)</f>
        <v>109051.38566290868</v>
      </c>
      <c r="R195" s="14">
        <f t="array" ref="R195">IF(F195="","",INDEX(Agenda!L:L,MATCH(1,('Lançamentos- Credito Débito'!E195=Agenda!C:C)*('Lançamentos- Credito Débito'!F195=Agenda!I:I),0)))</f>
        <v>9389.06</v>
      </c>
      <c r="S195" s="14">
        <f t="shared" ref="S195:S224" si="40">IF(AND(F195=F194,J195&lt;&gt;""),S194+L195,L195)</f>
        <v>9389.06</v>
      </c>
      <c r="T195" s="14">
        <f t="shared" ref="T195:T224" si="41">IF(R195="","",R195-S195)</f>
        <v>0</v>
      </c>
      <c r="U195" s="62">
        <f t="shared" ref="U195:U224" si="42">IF(S195="","",T195/K195)</f>
        <v>0</v>
      </c>
      <c r="V195" s="78">
        <f t="shared" ref="V195:V224" si="43">IFERROR(IF(F195=F194,V194,IF(F194&lt;&gt;"",U195+U194,0)),S195)</f>
        <v>0</v>
      </c>
    </row>
    <row r="196" spans="1:22" customFormat="1" x14ac:dyDescent="0.25">
      <c r="A196" s="45">
        <v>44074</v>
      </c>
      <c r="B196" s="33" t="s">
        <v>63</v>
      </c>
      <c r="C196" s="33" t="s">
        <v>36</v>
      </c>
      <c r="D196" s="16"/>
      <c r="E196" s="33" t="s">
        <v>16</v>
      </c>
      <c r="F196" s="3">
        <v>44063</v>
      </c>
      <c r="G196" s="33" t="s">
        <v>86</v>
      </c>
      <c r="H196" s="25">
        <f t="array" ref="H196">IFERROR(INDEX(Agenda!AA:AA,MATCH(1,('Lançamentos- Credito Débito'!E196=Agenda!C:C)*('Lançamentos- Credito Débito'!F196=Agenda!I:I),0)),"")</f>
        <v>8.2342591547712729E-4</v>
      </c>
      <c r="I196">
        <f t="shared" si="33"/>
        <v>11</v>
      </c>
      <c r="J196" s="35">
        <f t="shared" si="34"/>
        <v>9.095069006002765E-3</v>
      </c>
      <c r="K196" s="40">
        <f t="array" ref="K196">INDEX(Agenda!AB:AB,MATCH(1,('Lançamentos- Credito Débito'!E196=Agenda!C:C)*('Lançamentos- Credito Débito'!F196=Agenda!I:I),0))</f>
        <v>0.63510314187690076</v>
      </c>
      <c r="L196" s="36">
        <f t="shared" si="35"/>
        <v>0</v>
      </c>
      <c r="M196" s="36">
        <f t="shared" si="36"/>
        <v>0</v>
      </c>
      <c r="N196" s="1">
        <f t="shared" si="37"/>
        <v>94267.865662908676</v>
      </c>
      <c r="O196" s="81">
        <f t="array" ref="O196">IF(OR(G196="Amortization",G196="Fim de Mês"),(1+J196)*N196-D196,-INDEX(Agenda!J:J,MATCH(1,('Lançamentos- Credito Débito'!E196=Agenda!C:C)*('Lançamentos- Credito Débito'!G196=Agenda!G:G),0)))</f>
        <v>95125.238406161428</v>
      </c>
      <c r="P196" s="44">
        <f t="shared" si="38"/>
        <v>857.37274325275303</v>
      </c>
      <c r="Q196" s="64">
        <f t="shared" si="39"/>
        <v>95125.238406161428</v>
      </c>
      <c r="R196" s="14">
        <f t="array" ref="R196">IF(F196="","",INDEX(Agenda!L:L,MATCH(1,('Lançamentos- Credito Débito'!E196=Agenda!C:C)*('Lançamentos- Credito Débito'!F196=Agenda!I:I),0)))</f>
        <v>9389.06</v>
      </c>
      <c r="S196" s="14">
        <f t="shared" si="40"/>
        <v>9389.06</v>
      </c>
      <c r="T196" s="14">
        <f t="shared" si="41"/>
        <v>0</v>
      </c>
      <c r="U196" s="62">
        <f t="shared" si="42"/>
        <v>0</v>
      </c>
      <c r="V196" s="78">
        <f t="shared" si="43"/>
        <v>0</v>
      </c>
    </row>
    <row r="197" spans="1:22" customFormat="1" x14ac:dyDescent="0.25">
      <c r="A197" s="45">
        <v>44094</v>
      </c>
      <c r="B197" s="33" t="s">
        <v>63</v>
      </c>
      <c r="C197" s="33" t="s">
        <v>36</v>
      </c>
      <c r="D197" s="79">
        <v>14783.52</v>
      </c>
      <c r="E197" s="33" t="s">
        <v>16</v>
      </c>
      <c r="F197" s="53">
        <v>44094</v>
      </c>
      <c r="G197" s="33" t="s">
        <v>51</v>
      </c>
      <c r="H197" s="25">
        <f t="array" ref="H197">IFERROR(INDEX(Agenda!AA:AA,MATCH(1,('Lançamentos- Credito Débito'!E197=Agenda!C:C)*('Lançamentos- Credito Débito'!F197=Agenda!I:I),0)),"")</f>
        <v>8.2342591547712729E-4</v>
      </c>
      <c r="I197">
        <f t="shared" si="33"/>
        <v>20</v>
      </c>
      <c r="J197" s="35">
        <f t="shared" si="34"/>
        <v>1.6597982758806529E-2</v>
      </c>
      <c r="K197" s="40">
        <f t="array" ref="K197">INDEX(Agenda!AB:AB,MATCH(1,('Lançamentos- Credito Débito'!E197=Agenda!C:C)*('Lançamentos- Credito Débito'!F197=Agenda!I:I),0))</f>
        <v>0.84053933028128613</v>
      </c>
      <c r="L197" s="36">
        <f t="shared" si="35"/>
        <v>12426.13</v>
      </c>
      <c r="M197" s="36">
        <f t="shared" si="36"/>
        <v>2357.3900000000008</v>
      </c>
      <c r="N197" s="1">
        <f t="shared" si="37"/>
        <v>95125.238406161428</v>
      </c>
      <c r="O197" s="81">
        <f t="array" ref="O197">IF(OR(G197="Amortization",G197="Fim de Mês"),(1+J197)*N197-D197,-INDEX(Agenda!J:J,MATCH(1,('Lançamentos- Credito Débito'!E197=Agenda!C:C)*('Lançamentos- Credito Débito'!G197=Agenda!G:G),0)))</f>
        <v>81920.605473154254</v>
      </c>
      <c r="P197" s="44">
        <f t="shared" si="38"/>
        <v>1578.8870669928281</v>
      </c>
      <c r="Q197" s="64">
        <f t="shared" si="39"/>
        <v>96704.125473154258</v>
      </c>
      <c r="R197" s="14">
        <f t="array" ref="R197">IF(F197="","",INDEX(Agenda!L:L,MATCH(1,('Lançamentos- Credito Débito'!E197=Agenda!C:C)*('Lançamentos- Credito Débito'!F197=Agenda!I:I),0)))</f>
        <v>12426.13</v>
      </c>
      <c r="S197" s="14">
        <f t="shared" si="40"/>
        <v>12426.13</v>
      </c>
      <c r="T197" s="14">
        <f t="shared" si="41"/>
        <v>0</v>
      </c>
      <c r="U197" s="62">
        <f t="shared" si="42"/>
        <v>0</v>
      </c>
      <c r="V197" s="78">
        <f t="shared" si="43"/>
        <v>0</v>
      </c>
    </row>
    <row r="198" spans="1:22" customFormat="1" x14ac:dyDescent="0.25">
      <c r="A198" s="45">
        <v>44104</v>
      </c>
      <c r="B198" s="33" t="s">
        <v>63</v>
      </c>
      <c r="C198" s="33" t="s">
        <v>36</v>
      </c>
      <c r="D198" s="1"/>
      <c r="E198" s="33" t="s">
        <v>16</v>
      </c>
      <c r="F198" s="53">
        <v>44094</v>
      </c>
      <c r="G198" s="33" t="s">
        <v>86</v>
      </c>
      <c r="H198" s="25">
        <f t="array" ref="H198">IFERROR(INDEX(Agenda!AA:AA,MATCH(1,('Lançamentos- Credito Débito'!E198=Agenda!C:C)*('Lançamentos- Credito Débito'!F198=Agenda!I:I),0)),"")</f>
        <v>8.2342591547712729E-4</v>
      </c>
      <c r="I198">
        <f t="shared" si="33"/>
        <v>10</v>
      </c>
      <c r="J198" s="35">
        <f t="shared" si="34"/>
        <v>8.2648376090512787E-3</v>
      </c>
      <c r="K198" s="40">
        <f t="array" ref="K198">INDEX(Agenda!AB:AB,MATCH(1,('Lançamentos- Credito Débito'!E198=Agenda!C:C)*('Lançamentos- Credito Débito'!F198=Agenda!I:I),0))</f>
        <v>0.84053933028128613</v>
      </c>
      <c r="L198" s="36">
        <f t="shared" si="35"/>
        <v>0</v>
      </c>
      <c r="M198" s="36">
        <f t="shared" si="36"/>
        <v>0</v>
      </c>
      <c r="N198" s="1">
        <f t="shared" si="37"/>
        <v>81920.605473154254</v>
      </c>
      <c r="O198" s="81">
        <f t="array" ref="O198">IF(OR(G198="Amortization",G198="Fim de Mês"),(1+J198)*N198-D198,-INDEX(Agenda!J:J,MATCH(1,('Lançamentos- Credito Débito'!E198=Agenda!C:C)*('Lançamentos- Credito Débito'!G198=Agenda!G:G),0)))</f>
        <v>82597.665974225034</v>
      </c>
      <c r="P198" s="44">
        <f t="shared" si="38"/>
        <v>677.06050107077726</v>
      </c>
      <c r="Q198" s="64">
        <f t="shared" si="39"/>
        <v>82597.665974225034</v>
      </c>
      <c r="R198" s="14">
        <f t="array" ref="R198">IF(F198="","",INDEX(Agenda!L:L,MATCH(1,('Lançamentos- Credito Débito'!E198=Agenda!C:C)*('Lançamentos- Credito Débito'!F198=Agenda!I:I),0)))</f>
        <v>12426.13</v>
      </c>
      <c r="S198" s="14">
        <f t="shared" si="40"/>
        <v>12426.13</v>
      </c>
      <c r="T198" s="14">
        <f t="shared" si="41"/>
        <v>0</v>
      </c>
      <c r="U198" s="62">
        <f t="shared" si="42"/>
        <v>0</v>
      </c>
      <c r="V198" s="78">
        <f t="shared" si="43"/>
        <v>0</v>
      </c>
    </row>
    <row r="199" spans="1:22" customFormat="1" x14ac:dyDescent="0.25">
      <c r="A199" s="45">
        <v>44124</v>
      </c>
      <c r="B199" s="33" t="s">
        <v>63</v>
      </c>
      <c r="C199" s="33" t="s">
        <v>36</v>
      </c>
      <c r="D199" s="79">
        <v>14783.52</v>
      </c>
      <c r="E199" s="33" t="s">
        <v>16</v>
      </c>
      <c r="F199" s="53">
        <v>44124</v>
      </c>
      <c r="G199" s="33" t="s">
        <v>51</v>
      </c>
      <c r="H199" s="25">
        <f t="array" ref="H199">IFERROR(INDEX(Agenda!AA:AA,MATCH(1,('Lançamentos- Credito Débito'!E199=Agenda!C:C)*('Lançamentos- Credito Débito'!F199=Agenda!I:I),0)),"")</f>
        <v>8.2342591547712729E-4</v>
      </c>
      <c r="I199">
        <f t="shared" si="33"/>
        <v>20</v>
      </c>
      <c r="J199" s="35">
        <f t="shared" si="34"/>
        <v>1.6597982758806529E-2</v>
      </c>
      <c r="K199" s="40">
        <f t="array" ref="K199">INDEX(Agenda!AB:AB,MATCH(1,('Lançamentos- Credito Débito'!E199=Agenda!C:C)*('Lançamentos- Credito Débito'!F199=Agenda!I:I),0))</f>
        <v>0.86614284013550213</v>
      </c>
      <c r="L199" s="36">
        <f t="shared" si="35"/>
        <v>12804.64</v>
      </c>
      <c r="M199" s="36">
        <f t="shared" si="36"/>
        <v>1978.8800000000015</v>
      </c>
      <c r="N199" s="1">
        <f t="shared" si="37"/>
        <v>82597.665974225034</v>
      </c>
      <c r="O199" s="81">
        <f t="array" ref="O199">IF(OR(G199="Amortization",G199="Fim de Mês"),(1+J199)*N199-D199,-INDEX(Agenda!J:J,MATCH(1,('Lançamentos- Credito Débito'!E199=Agenda!C:C)*('Lançamentos- Credito Débito'!G199=Agenda!G:G),0)))</f>
        <v>69185.100609982881</v>
      </c>
      <c r="P199" s="44">
        <f t="shared" si="38"/>
        <v>1370.9546357578479</v>
      </c>
      <c r="Q199" s="64">
        <f t="shared" si="39"/>
        <v>83968.620609982885</v>
      </c>
      <c r="R199" s="14">
        <f t="array" ref="R199">IF(F199="","",INDEX(Agenda!L:L,MATCH(1,('Lançamentos- Credito Débito'!E199=Agenda!C:C)*('Lançamentos- Credito Débito'!F199=Agenda!I:I),0)))</f>
        <v>12804.64</v>
      </c>
      <c r="S199" s="14">
        <f t="shared" si="40"/>
        <v>12804.64</v>
      </c>
      <c r="T199" s="14">
        <f t="shared" si="41"/>
        <v>0</v>
      </c>
      <c r="U199" s="62">
        <f t="shared" si="42"/>
        <v>0</v>
      </c>
      <c r="V199" s="78">
        <f t="shared" si="43"/>
        <v>0</v>
      </c>
    </row>
    <row r="200" spans="1:22" customFormat="1" x14ac:dyDescent="0.25">
      <c r="A200" s="45">
        <v>44135</v>
      </c>
      <c r="B200" s="33" t="s">
        <v>63</v>
      </c>
      <c r="C200" s="33" t="s">
        <v>36</v>
      </c>
      <c r="D200" s="1"/>
      <c r="E200" s="33" t="s">
        <v>16</v>
      </c>
      <c r="F200" s="53">
        <v>44124</v>
      </c>
      <c r="G200" s="33" t="s">
        <v>86</v>
      </c>
      <c r="H200" s="25">
        <f t="array" ref="H200">IFERROR(INDEX(Agenda!AA:AA,MATCH(1,('Lançamentos- Credito Débito'!E200=Agenda!C:C)*('Lançamentos- Credito Débito'!F200=Agenda!I:I),0)),"")</f>
        <v>8.2342591547712729E-4</v>
      </c>
      <c r="I200">
        <f t="shared" si="33"/>
        <v>11</v>
      </c>
      <c r="J200" s="35">
        <f t="shared" si="34"/>
        <v>9.095069006002765E-3</v>
      </c>
      <c r="K200" s="40">
        <f t="array" ref="K200">INDEX(Agenda!AB:AB,MATCH(1,('Lançamentos- Credito Débito'!E200=Agenda!C:C)*('Lançamentos- Credito Débito'!F200=Agenda!I:I),0))</f>
        <v>0.86614284013550213</v>
      </c>
      <c r="L200" s="36">
        <f t="shared" si="35"/>
        <v>0</v>
      </c>
      <c r="M200" s="36">
        <f t="shared" si="36"/>
        <v>0</v>
      </c>
      <c r="N200" s="1">
        <f t="shared" si="37"/>
        <v>69185.100609982881</v>
      </c>
      <c r="O200" s="81">
        <f t="array" ref="O200">IF(OR(G200="Amortization",G200="Fim de Mês"),(1+J200)*N200-D200,-INDEX(Agenda!J:J,MATCH(1,('Lançamentos- Credito Débito'!E200=Agenda!C:C)*('Lançamentos- Credito Débito'!G200=Agenda!G:G),0)))</f>
        <v>69814.343874217913</v>
      </c>
      <c r="P200" s="44">
        <f t="shared" si="38"/>
        <v>629.24326423503828</v>
      </c>
      <c r="Q200" s="64">
        <f t="shared" si="39"/>
        <v>69814.343874217913</v>
      </c>
      <c r="R200" s="14">
        <f t="array" ref="R200">IF(F200="","",INDEX(Agenda!L:L,MATCH(1,('Lançamentos- Credito Débito'!E200=Agenda!C:C)*('Lançamentos- Credito Débito'!F200=Agenda!I:I),0)))</f>
        <v>12804.64</v>
      </c>
      <c r="S200" s="14">
        <f t="shared" si="40"/>
        <v>12804.64</v>
      </c>
      <c r="T200" s="14">
        <f t="shared" si="41"/>
        <v>0</v>
      </c>
      <c r="U200" s="62">
        <f t="shared" si="42"/>
        <v>0</v>
      </c>
      <c r="V200" s="78">
        <f t="shared" si="43"/>
        <v>0</v>
      </c>
    </row>
    <row r="201" spans="1:22" customFormat="1" x14ac:dyDescent="0.25">
      <c r="A201" s="45">
        <v>44155</v>
      </c>
      <c r="B201" s="33" t="s">
        <v>63</v>
      </c>
      <c r="C201" s="33" t="s">
        <v>36</v>
      </c>
      <c r="D201" s="79">
        <v>14783.52</v>
      </c>
      <c r="E201" s="33" t="s">
        <v>16</v>
      </c>
      <c r="F201" s="53">
        <v>44155</v>
      </c>
      <c r="G201" s="33" t="s">
        <v>51</v>
      </c>
      <c r="H201" s="25">
        <f t="array" ref="H201">IFERROR(INDEX(Agenda!AA:AA,MATCH(1,('Lançamentos- Credito Débito'!E201=Agenda!C:C)*('Lançamentos- Credito Débito'!F201=Agenda!I:I),0)),"")</f>
        <v>8.2342591547712729E-4</v>
      </c>
      <c r="I201">
        <f t="shared" si="33"/>
        <v>20</v>
      </c>
      <c r="J201" s="35">
        <f t="shared" si="34"/>
        <v>1.6597982758806529E-2</v>
      </c>
      <c r="K201" s="40">
        <f t="array" ref="K201">INDEX(Agenda!AB:AB,MATCH(1,('Lançamentos- Credito Débito'!E201=Agenda!C:C)*('Lançamentos- Credito Débito'!F201=Agenda!I:I),0))</f>
        <v>0.88335457320042854</v>
      </c>
      <c r="L201" s="36">
        <f t="shared" si="35"/>
        <v>13059.09</v>
      </c>
      <c r="M201" s="36">
        <f t="shared" si="36"/>
        <v>1724.4300000000007</v>
      </c>
      <c r="N201" s="1">
        <f t="shared" si="37"/>
        <v>69814.343874217913</v>
      </c>
      <c r="O201" s="81">
        <f t="array" ref="O201">IF(OR(G201="Amortization",G201="Fim de Mês"),(1+J201)*N201-D201,-INDEX(Agenda!J:J,MATCH(1,('Lançamentos- Credito Débito'!E201=Agenda!C:C)*('Lançamentos- Credito Débito'!G201=Agenda!G:G),0)))</f>
        <v>56189.601150159564</v>
      </c>
      <c r="P201" s="44">
        <f t="shared" si="38"/>
        <v>1158.7772759416591</v>
      </c>
      <c r="Q201" s="64">
        <f t="shared" si="39"/>
        <v>70973.121150159568</v>
      </c>
      <c r="R201" s="14">
        <f t="array" ref="R201">IF(F201="","",INDEX(Agenda!L:L,MATCH(1,('Lançamentos- Credito Débito'!E201=Agenda!C:C)*('Lançamentos- Credito Débito'!F201=Agenda!I:I),0)))</f>
        <v>13059.09</v>
      </c>
      <c r="S201" s="14">
        <f t="shared" si="40"/>
        <v>13059.09</v>
      </c>
      <c r="T201" s="14">
        <f t="shared" si="41"/>
        <v>0</v>
      </c>
      <c r="U201" s="62">
        <f t="shared" si="42"/>
        <v>0</v>
      </c>
      <c r="V201" s="78">
        <f t="shared" si="43"/>
        <v>0</v>
      </c>
    </row>
    <row r="202" spans="1:22" customFormat="1" x14ac:dyDescent="0.25">
      <c r="A202" s="45">
        <v>44165</v>
      </c>
      <c r="B202" s="33" t="s">
        <v>63</v>
      </c>
      <c r="C202" s="33" t="s">
        <v>36</v>
      </c>
      <c r="D202" s="1"/>
      <c r="E202" s="33" t="s">
        <v>16</v>
      </c>
      <c r="F202" s="53">
        <v>44155</v>
      </c>
      <c r="G202" s="33" t="s">
        <v>86</v>
      </c>
      <c r="H202" s="25">
        <f t="array" ref="H202">IFERROR(INDEX(Agenda!AA:AA,MATCH(1,('Lançamentos- Credito Débito'!E202=Agenda!C:C)*('Lançamentos- Credito Débito'!F202=Agenda!I:I),0)),"")</f>
        <v>8.2342591547712729E-4</v>
      </c>
      <c r="I202">
        <f t="shared" si="33"/>
        <v>10</v>
      </c>
      <c r="J202" s="35">
        <f t="shared" si="34"/>
        <v>8.2648376090512787E-3</v>
      </c>
      <c r="K202" s="40">
        <f t="array" ref="K202">INDEX(Agenda!AB:AB,MATCH(1,('Lançamentos- Credito Débito'!E202=Agenda!C:C)*('Lançamentos- Credito Débito'!F202=Agenda!I:I),0))</f>
        <v>0.88335457320042854</v>
      </c>
      <c r="L202" s="36">
        <f t="shared" si="35"/>
        <v>0</v>
      </c>
      <c r="M202" s="36">
        <f t="shared" si="36"/>
        <v>0</v>
      </c>
      <c r="N202" s="1">
        <f t="shared" si="37"/>
        <v>56189.601150159564</v>
      </c>
      <c r="O202" s="81">
        <f t="array" ref="O202">IF(OR(G202="Amortization",G202="Fim de Mês"),(1+J202)*N202-D202,-INDEX(Agenda!J:J,MATCH(1,('Lançamentos- Credito Débito'!E202=Agenda!C:C)*('Lançamentos- Credito Débito'!G202=Agenda!G:G),0)))</f>
        <v>56653.999078982997</v>
      </c>
      <c r="P202" s="44">
        <f t="shared" si="38"/>
        <v>464.39792882342977</v>
      </c>
      <c r="Q202" s="64">
        <f t="shared" si="39"/>
        <v>56653.999078982997</v>
      </c>
      <c r="R202" s="14">
        <f t="array" ref="R202">IF(F202="","",INDEX(Agenda!L:L,MATCH(1,('Lançamentos- Credito Débito'!E202=Agenda!C:C)*('Lançamentos- Credito Débito'!F202=Agenda!I:I),0)))</f>
        <v>13059.09</v>
      </c>
      <c r="S202" s="14">
        <f t="shared" si="40"/>
        <v>13059.09</v>
      </c>
      <c r="T202" s="14">
        <f t="shared" si="41"/>
        <v>0</v>
      </c>
      <c r="U202" s="62">
        <f t="shared" si="42"/>
        <v>0</v>
      </c>
      <c r="V202" s="78">
        <f t="shared" si="43"/>
        <v>0</v>
      </c>
    </row>
    <row r="203" spans="1:22" customFormat="1" x14ac:dyDescent="0.25">
      <c r="A203" s="45">
        <v>44185</v>
      </c>
      <c r="B203" s="33" t="s">
        <v>63</v>
      </c>
      <c r="C203" s="33" t="s">
        <v>36</v>
      </c>
      <c r="D203" s="79">
        <v>14783.52</v>
      </c>
      <c r="E203" s="33" t="s">
        <v>16</v>
      </c>
      <c r="F203" s="53">
        <v>44185</v>
      </c>
      <c r="G203" s="33" t="s">
        <v>51</v>
      </c>
      <c r="H203" s="25">
        <f t="array" ref="H203">IFERROR(INDEX(Agenda!AA:AA,MATCH(1,('Lançamentos- Credito Débito'!E203=Agenda!C:C)*('Lançamentos- Credito Débito'!F203=Agenda!I:I),0)),"")</f>
        <v>8.2342591547712729E-4</v>
      </c>
      <c r="I203">
        <f t="shared" si="33"/>
        <v>20</v>
      </c>
      <c r="J203" s="35">
        <f t="shared" si="34"/>
        <v>1.6597982758806529E-2</v>
      </c>
      <c r="K203" s="40">
        <f t="array" ref="K203">INDEX(Agenda!AB:AB,MATCH(1,('Lançamentos- Credito Débito'!E203=Agenda!C:C)*('Lançamentos- Credito Débito'!F203=Agenda!I:I),0))</f>
        <v>0.90859889931491289</v>
      </c>
      <c r="L203" s="36">
        <f t="shared" si="35"/>
        <v>13432.29</v>
      </c>
      <c r="M203" s="36">
        <f t="shared" si="36"/>
        <v>1351.2299999999991</v>
      </c>
      <c r="N203" s="1">
        <f t="shared" si="37"/>
        <v>56653.999078982997</v>
      </c>
      <c r="O203" s="81">
        <f t="array" ref="O203">IF(OR(G203="Amortization",G203="Fim de Mês"),(1+J203)*N203-D203,-INDEX(Agenda!J:J,MATCH(1,('Lançamentos- Credito Débito'!E203=Agenda!C:C)*('Lançamentos- Credito Débito'!G203=Agenda!G:G),0)))</f>
        <v>42810.821178913393</v>
      </c>
      <c r="P203" s="44">
        <f t="shared" si="38"/>
        <v>940.34209993040076</v>
      </c>
      <c r="Q203" s="64">
        <f t="shared" si="39"/>
        <v>57594.341178913397</v>
      </c>
      <c r="R203" s="14">
        <f t="array" ref="R203">IF(F203="","",INDEX(Agenda!L:L,MATCH(1,('Lançamentos- Credito Débito'!E203=Agenda!C:C)*('Lançamentos- Credito Débito'!F203=Agenda!I:I),0)))</f>
        <v>13432.29</v>
      </c>
      <c r="S203" s="14">
        <f t="shared" si="40"/>
        <v>13432.29</v>
      </c>
      <c r="T203" s="14">
        <f t="shared" si="41"/>
        <v>0</v>
      </c>
      <c r="U203" s="62">
        <f t="shared" si="42"/>
        <v>0</v>
      </c>
      <c r="V203" s="78">
        <f t="shared" si="43"/>
        <v>0</v>
      </c>
    </row>
    <row r="204" spans="1:22" customFormat="1" x14ac:dyDescent="0.25">
      <c r="A204" s="45">
        <v>44196</v>
      </c>
      <c r="B204" s="33" t="s">
        <v>63</v>
      </c>
      <c r="C204" s="33" t="s">
        <v>36</v>
      </c>
      <c r="D204" s="1"/>
      <c r="E204" s="33" t="s">
        <v>16</v>
      </c>
      <c r="F204" s="53">
        <v>44185</v>
      </c>
      <c r="G204" s="33" t="s">
        <v>86</v>
      </c>
      <c r="H204" s="25">
        <f t="array" ref="H204">IFERROR(INDEX(Agenda!AA:AA,MATCH(1,('Lançamentos- Credito Débito'!E204=Agenda!C:C)*('Lançamentos- Credito Débito'!F204=Agenda!I:I),0)),"")</f>
        <v>8.2342591547712729E-4</v>
      </c>
      <c r="I204">
        <f t="shared" si="33"/>
        <v>11</v>
      </c>
      <c r="J204" s="35">
        <f t="shared" si="34"/>
        <v>9.095069006002765E-3</v>
      </c>
      <c r="K204" s="40">
        <f t="array" ref="K204">INDEX(Agenda!AB:AB,MATCH(1,('Lançamentos- Credito Débito'!E204=Agenda!C:C)*('Lançamentos- Credito Débito'!F204=Agenda!I:I),0))</f>
        <v>0.90859889931491289</v>
      </c>
      <c r="L204" s="36">
        <f t="shared" si="35"/>
        <v>0</v>
      </c>
      <c r="M204" s="36">
        <f t="shared" si="36"/>
        <v>0</v>
      </c>
      <c r="N204" s="1">
        <f t="shared" si="37"/>
        <v>42810.821178913393</v>
      </c>
      <c r="O204" s="81">
        <f t="array" ref="O204">IF(OR(G204="Amortization",G204="Fim de Mês"),(1+J204)*N204-D204,-INDEX(Agenda!J:J,MATCH(1,('Lançamentos- Credito Débito'!E204=Agenda!C:C)*('Lançamentos- Credito Débito'!G204=Agenda!G:G),0)))</f>
        <v>43200.188551739258</v>
      </c>
      <c r="P204" s="44">
        <f t="shared" si="38"/>
        <v>389.36737282586193</v>
      </c>
      <c r="Q204" s="64">
        <f t="shared" si="39"/>
        <v>43200.188551739258</v>
      </c>
      <c r="R204" s="14">
        <f t="array" ref="R204">IF(F204="","",INDEX(Agenda!L:L,MATCH(1,('Lançamentos- Credito Débito'!E204=Agenda!C:C)*('Lançamentos- Credito Débito'!F204=Agenda!I:I),0)))</f>
        <v>13432.29</v>
      </c>
      <c r="S204" s="14">
        <f t="shared" si="40"/>
        <v>13432.29</v>
      </c>
      <c r="T204" s="14">
        <f t="shared" si="41"/>
        <v>0</v>
      </c>
      <c r="U204" s="62">
        <f t="shared" si="42"/>
        <v>0</v>
      </c>
      <c r="V204" s="78">
        <f t="shared" si="43"/>
        <v>0</v>
      </c>
    </row>
    <row r="205" spans="1:22" customFormat="1" x14ac:dyDescent="0.25">
      <c r="A205" s="45">
        <v>44216</v>
      </c>
      <c r="B205" s="33" t="s">
        <v>63</v>
      </c>
      <c r="C205" s="33" t="s">
        <v>36</v>
      </c>
      <c r="D205" s="79">
        <v>14783.52</v>
      </c>
      <c r="E205" s="33" t="s">
        <v>16</v>
      </c>
      <c r="F205" s="53">
        <v>44216</v>
      </c>
      <c r="G205" s="33" t="s">
        <v>51</v>
      </c>
      <c r="H205" s="25">
        <f t="array" ref="H205">IFERROR(INDEX(Agenda!AA:AA,MATCH(1,('Lançamentos- Credito Débito'!E205=Agenda!C:C)*('Lançamentos- Credito Débito'!F205=Agenda!I:I),0)),"")</f>
        <v>8.2342591547712729E-4</v>
      </c>
      <c r="I205">
        <f t="shared" si="33"/>
        <v>20</v>
      </c>
      <c r="J205" s="35">
        <f t="shared" si="34"/>
        <v>1.6597982758806529E-2</v>
      </c>
      <c r="K205" s="40">
        <f t="array" ref="K205">INDEX(Agenda!AB:AB,MATCH(1,('Lançamentos- Credito Débito'!E205=Agenda!C:C)*('Lançamentos- Credito Débito'!F205=Agenda!I:I),0))</f>
        <v>0.92830800783575218</v>
      </c>
      <c r="L205" s="36">
        <f t="shared" si="35"/>
        <v>13723.66</v>
      </c>
      <c r="M205" s="36">
        <f t="shared" si="36"/>
        <v>1059.860000000001</v>
      </c>
      <c r="N205" s="1">
        <f t="shared" si="37"/>
        <v>43200.188551739258</v>
      </c>
      <c r="O205" s="81">
        <f t="array" ref="O205">IF(OR(G205="Amortization",G205="Fim de Mês"),(1+J205)*N205-D205,-INDEX(Agenda!J:J,MATCH(1,('Lançamentos- Credito Débito'!E205=Agenda!C:C)*('Lançamentos- Credito Débito'!G205=Agenda!G:G),0)))</f>
        <v>29133.704536498215</v>
      </c>
      <c r="P205" s="44">
        <f t="shared" si="38"/>
        <v>717.03598475895944</v>
      </c>
      <c r="Q205" s="64">
        <f t="shared" si="39"/>
        <v>43917.224536498215</v>
      </c>
      <c r="R205" s="14">
        <f t="array" ref="R205">IF(F205="","",INDEX(Agenda!L:L,MATCH(1,('Lançamentos- Credito Débito'!E205=Agenda!C:C)*('Lançamentos- Credito Débito'!F205=Agenda!I:I),0)))</f>
        <v>13723.66</v>
      </c>
      <c r="S205" s="14">
        <f t="shared" si="40"/>
        <v>13723.66</v>
      </c>
      <c r="T205" s="14">
        <f t="shared" si="41"/>
        <v>0</v>
      </c>
      <c r="U205" s="62">
        <f t="shared" si="42"/>
        <v>0</v>
      </c>
      <c r="V205" s="78">
        <f t="shared" si="43"/>
        <v>0</v>
      </c>
    </row>
    <row r="206" spans="1:22" customFormat="1" x14ac:dyDescent="0.25">
      <c r="A206" s="45">
        <v>44227</v>
      </c>
      <c r="B206" s="33" t="s">
        <v>63</v>
      </c>
      <c r="C206" s="33" t="s">
        <v>36</v>
      </c>
      <c r="D206" s="1"/>
      <c r="E206" s="33" t="s">
        <v>16</v>
      </c>
      <c r="F206" s="53">
        <v>44216</v>
      </c>
      <c r="G206" s="33" t="s">
        <v>86</v>
      </c>
      <c r="H206" s="25">
        <f t="array" ref="H206">IFERROR(INDEX(Agenda!AA:AA,MATCH(1,('Lançamentos- Credito Débito'!E206=Agenda!C:C)*('Lançamentos- Credito Débito'!F206=Agenda!I:I),0)),"")</f>
        <v>8.2342591547712729E-4</v>
      </c>
      <c r="I206">
        <f t="shared" si="33"/>
        <v>11</v>
      </c>
      <c r="J206" s="35">
        <f t="shared" si="34"/>
        <v>9.095069006002765E-3</v>
      </c>
      <c r="K206" s="40">
        <f t="array" ref="K206">INDEX(Agenda!AB:AB,MATCH(1,('Lançamentos- Credito Débito'!E206=Agenda!C:C)*('Lançamentos- Credito Débito'!F206=Agenda!I:I),0))</f>
        <v>0.92830800783575218</v>
      </c>
      <c r="L206" s="36">
        <f t="shared" si="35"/>
        <v>0</v>
      </c>
      <c r="M206" s="36">
        <f t="shared" si="36"/>
        <v>0</v>
      </c>
      <c r="N206" s="1">
        <f t="shared" si="37"/>
        <v>29133.704536498215</v>
      </c>
      <c r="O206" s="81">
        <f t="array" ref="O206">IF(OR(G206="Amortization",G206="Fim de Mês"),(1+J206)*N206-D206,-INDEX(Agenda!J:J,MATCH(1,('Lançamentos- Credito Débito'!E206=Agenda!C:C)*('Lançamentos- Credito Débito'!G206=Agenda!G:G),0)))</f>
        <v>29398.67758965816</v>
      </c>
      <c r="P206" s="44">
        <f t="shared" si="38"/>
        <v>264.97305315994709</v>
      </c>
      <c r="Q206" s="64">
        <f t="shared" si="39"/>
        <v>29398.67758965816</v>
      </c>
      <c r="R206" s="14">
        <f t="array" ref="R206">IF(F206="","",INDEX(Agenda!L:L,MATCH(1,('Lançamentos- Credito Débito'!E206=Agenda!C:C)*('Lançamentos- Credito Débito'!F206=Agenda!I:I),0)))</f>
        <v>13723.66</v>
      </c>
      <c r="S206" s="14">
        <f t="shared" si="40"/>
        <v>13723.66</v>
      </c>
      <c r="T206" s="14">
        <f t="shared" si="41"/>
        <v>0</v>
      </c>
      <c r="U206" s="62">
        <f t="shared" si="42"/>
        <v>0</v>
      </c>
      <c r="V206" s="78">
        <f t="shared" si="43"/>
        <v>0</v>
      </c>
    </row>
    <row r="207" spans="1:22" customFormat="1" x14ac:dyDescent="0.25">
      <c r="A207" s="45">
        <v>44247</v>
      </c>
      <c r="B207" s="33" t="s">
        <v>63</v>
      </c>
      <c r="C207" s="33" t="s">
        <v>36</v>
      </c>
      <c r="D207" s="79">
        <v>14783.52</v>
      </c>
      <c r="E207" s="33" t="s">
        <v>16</v>
      </c>
      <c r="F207" s="45">
        <v>44247</v>
      </c>
      <c r="G207" s="33" t="s">
        <v>51</v>
      </c>
      <c r="H207" s="25">
        <f t="array" ref="H207">IFERROR(INDEX(Agenda!AA:AA,MATCH(1,('Lançamentos- Credito Débito'!E207=Agenda!C:C)*('Lançamentos- Credito Débito'!F207=Agenda!I:I),0)),"")</f>
        <v>8.2342591547712729E-4</v>
      </c>
      <c r="I207">
        <f t="shared" si="33"/>
        <v>20</v>
      </c>
      <c r="J207" s="35">
        <f t="shared" si="34"/>
        <v>1.6597982758806529E-2</v>
      </c>
      <c r="K207" s="40">
        <f t="array" ref="K207">INDEX(Agenda!AB:AB,MATCH(1,('Lançamentos- Credito Débito'!E207=Agenda!C:C)*('Lançamentos- Credito Débito'!F207=Agenda!I:I),0))</f>
        <v>0.9515961016050305</v>
      </c>
      <c r="L207" s="36">
        <f t="shared" si="35"/>
        <v>14067.94</v>
      </c>
      <c r="M207" s="36">
        <f t="shared" si="36"/>
        <v>715.57999999999959</v>
      </c>
      <c r="N207" s="1">
        <f t="shared" si="37"/>
        <v>29398.67758965816</v>
      </c>
      <c r="O207" s="81">
        <f t="array" ref="O207">IF(OR(G207="Amortization",G207="Fim de Mês"),(1+J207)*N207-D207,-INDEX(Agenda!J:J,MATCH(1,('Lançamentos- Credito Débito'!E207=Agenda!C:C)*('Lançamentos- Credito Débito'!G207=Agenda!G:G),0)))</f>
        <v>15103.116333423019</v>
      </c>
      <c r="P207" s="44">
        <f t="shared" si="38"/>
        <v>487.95874376485801</v>
      </c>
      <c r="Q207" s="64">
        <f t="shared" si="39"/>
        <v>29886.636333423019</v>
      </c>
      <c r="R207" s="14">
        <f t="array" ref="R207">IF(F207="","",INDEX(Agenda!L:L,MATCH(1,('Lançamentos- Credito Débito'!E207=Agenda!C:C)*('Lançamentos- Credito Débito'!F207=Agenda!I:I),0)))</f>
        <v>14067.94</v>
      </c>
      <c r="S207" s="14">
        <f t="shared" si="40"/>
        <v>14067.94</v>
      </c>
      <c r="T207" s="14">
        <f t="shared" si="41"/>
        <v>0</v>
      </c>
      <c r="U207" s="62">
        <f t="shared" si="42"/>
        <v>0</v>
      </c>
      <c r="V207" s="78">
        <f t="shared" si="43"/>
        <v>0</v>
      </c>
    </row>
    <row r="208" spans="1:22" customFormat="1" x14ac:dyDescent="0.25">
      <c r="A208" s="45">
        <v>44255</v>
      </c>
      <c r="B208" s="33" t="s">
        <v>63</v>
      </c>
      <c r="C208" s="33" t="s">
        <v>36</v>
      </c>
      <c r="D208" s="1"/>
      <c r="E208" s="33" t="s">
        <v>16</v>
      </c>
      <c r="F208" s="45">
        <v>44247</v>
      </c>
      <c r="G208" s="33" t="s">
        <v>86</v>
      </c>
      <c r="H208" s="25">
        <f t="array" ref="H208">IFERROR(INDEX(Agenda!AA:AA,MATCH(1,('Lançamentos- Credito Débito'!E208=Agenda!C:C)*('Lançamentos- Credito Débito'!F208=Agenda!I:I),0)),"")</f>
        <v>8.2342591547712729E-4</v>
      </c>
      <c r="I208">
        <f t="shared" si="33"/>
        <v>8</v>
      </c>
      <c r="J208" s="35">
        <f t="shared" si="34"/>
        <v>6.6064234679197309E-3</v>
      </c>
      <c r="K208" s="40">
        <f t="array" ref="K208">INDEX(Agenda!AB:AB,MATCH(1,('Lançamentos- Credito Débito'!E208=Agenda!C:C)*('Lançamentos- Credito Débito'!F208=Agenda!I:I),0))</f>
        <v>0.9515961016050305</v>
      </c>
      <c r="L208" s="36">
        <f t="shared" si="35"/>
        <v>0</v>
      </c>
      <c r="M208" s="36">
        <f t="shared" si="36"/>
        <v>0</v>
      </c>
      <c r="N208" s="1">
        <f t="shared" si="37"/>
        <v>15103.116333423019</v>
      </c>
      <c r="O208" s="81">
        <f t="array" ref="O208">IF(OR(G208="Amortization",G208="Fim de Mês"),(1+J208)*N208-D208,-INDEX(Agenda!J:J,MATCH(1,('Lançamentos- Credito Débito'!E208=Agenda!C:C)*('Lançamentos- Credito Débito'!G208=Agenda!G:G),0)))</f>
        <v>15202.893915606866</v>
      </c>
      <c r="P208" s="44">
        <f t="shared" si="38"/>
        <v>99.777582183847628</v>
      </c>
      <c r="Q208" s="64">
        <f t="shared" si="39"/>
        <v>15202.893915606866</v>
      </c>
      <c r="R208" s="14">
        <f t="array" ref="R208">IF(F208="","",INDEX(Agenda!L:L,MATCH(1,('Lançamentos- Credito Débito'!E208=Agenda!C:C)*('Lançamentos- Credito Débito'!F208=Agenda!I:I),0)))</f>
        <v>14067.94</v>
      </c>
      <c r="S208" s="14">
        <f t="shared" si="40"/>
        <v>14067.94</v>
      </c>
      <c r="T208" s="14">
        <f t="shared" si="41"/>
        <v>0</v>
      </c>
      <c r="U208" s="62">
        <f t="shared" si="42"/>
        <v>0</v>
      </c>
      <c r="V208" s="78">
        <f t="shared" si="43"/>
        <v>0</v>
      </c>
    </row>
    <row r="209" spans="1:22" customFormat="1" x14ac:dyDescent="0.25">
      <c r="A209" s="45">
        <v>44275</v>
      </c>
      <c r="B209" s="33" t="s">
        <v>63</v>
      </c>
      <c r="C209" s="33" t="s">
        <v>36</v>
      </c>
      <c r="D209" s="79">
        <v>14783.52</v>
      </c>
      <c r="E209" s="33" t="s">
        <v>16</v>
      </c>
      <c r="F209" s="45">
        <v>44275</v>
      </c>
      <c r="G209" s="33" t="s">
        <v>51</v>
      </c>
      <c r="H209" s="25">
        <f t="array" ref="H209">IFERROR(INDEX(Agenda!AA:AA,MATCH(1,('Lançamentos- Credito Débito'!E209=Agenda!C:C)*('Lançamentos- Credito Débito'!F209=Agenda!I:I),0)),"")</f>
        <v>8.2342591547712729E-4</v>
      </c>
      <c r="I209">
        <f t="shared" si="33"/>
        <v>20</v>
      </c>
      <c r="J209" s="35">
        <f t="shared" si="34"/>
        <v>1.6597982758806529E-2</v>
      </c>
      <c r="K209" s="40">
        <f t="array" ref="K209">INDEX(Agenda!AB:AB,MATCH(1,('Lançamentos- Credito Débito'!E209=Agenda!C:C)*('Lançamentos- Credito Débito'!F209=Agenda!I:I),0))</f>
        <v>0.97786927605874652</v>
      </c>
      <c r="L209" s="36">
        <f t="shared" si="35"/>
        <v>14456.35</v>
      </c>
      <c r="M209" s="36">
        <f t="shared" si="36"/>
        <v>327.16999999999967</v>
      </c>
      <c r="N209" s="1">
        <f t="shared" si="37"/>
        <v>15202.893915606866</v>
      </c>
      <c r="O209" s="81">
        <f t="array" ref="O209">IF(OR(G209="Amortization",G209="Fim de Mês"),(1+J209)*N209-D209,-INDEX(Agenda!J:J,MATCH(1,('Lançamentos- Credito Débito'!E209=Agenda!C:C)*('Lançamentos- Credito Débito'!G209=Agenda!G:G),0)))</f>
        <v>671.71128670207327</v>
      </c>
      <c r="P209" s="44">
        <f t="shared" si="38"/>
        <v>252.33737109520746</v>
      </c>
      <c r="Q209" s="64">
        <f t="shared" si="39"/>
        <v>15455.231286702074</v>
      </c>
      <c r="R209" s="14">
        <f t="array" ref="R209">IF(F209="","",INDEX(Agenda!L:L,MATCH(1,('Lançamentos- Credito Débito'!E209=Agenda!C:C)*('Lançamentos- Credito Débito'!F209=Agenda!I:I),0)))</f>
        <v>14456.35</v>
      </c>
      <c r="S209" s="14">
        <f t="shared" si="40"/>
        <v>14456.35</v>
      </c>
      <c r="T209" s="14">
        <f t="shared" si="41"/>
        <v>0</v>
      </c>
      <c r="U209" s="62">
        <f t="shared" si="42"/>
        <v>0</v>
      </c>
      <c r="V209" s="78">
        <f t="shared" si="43"/>
        <v>0</v>
      </c>
    </row>
    <row r="210" spans="1:22" customFormat="1" x14ac:dyDescent="0.25">
      <c r="A210" s="45">
        <v>43966</v>
      </c>
      <c r="B210" s="33" t="s">
        <v>26</v>
      </c>
      <c r="C210" s="33" t="s">
        <v>63</v>
      </c>
      <c r="D210" s="34">
        <v>39630.43</v>
      </c>
      <c r="E210" s="33" t="s">
        <v>8</v>
      </c>
      <c r="F210" s="33"/>
      <c r="G210" s="33" t="s">
        <v>50</v>
      </c>
      <c r="H210" s="25" t="str">
        <f t="array" ref="H210">IFERROR(INDEX(Agenda!AA:AA,MATCH(1,('Lançamentos- Credito Débito'!E210=Agenda!C:C)*('Lançamentos- Credito Débito'!F210=Agenda!I:I),0)),"")</f>
        <v/>
      </c>
      <c r="I210" t="str">
        <f>IF(OR(G210="Amortization",G210="Fim de Mês"),A210-A209,"")</f>
        <v/>
      </c>
      <c r="J210" s="35" t="str">
        <f>IFERROR((1+H210)^I210-1,"")</f>
        <v/>
      </c>
      <c r="K210" s="40" t="e">
        <f t="array" ref="K210">INDEX(Agenda!AB:AB,MATCH(1,('Lançamentos- Credito Débito'!E210=Agenda!C:C)*('Lançamentos- Credito Débito'!F210=Agenda!I:I),0))</f>
        <v>#N/A</v>
      </c>
      <c r="L210" s="36" t="str">
        <f>IF(OR(G210="Amortization",G210="Fim de Mês"),K210*D210,"")</f>
        <v/>
      </c>
      <c r="M210" s="36" t="str">
        <f>IF(J210="","",D210*(1-K210))</f>
        <v/>
      </c>
      <c r="N210" s="1" t="str">
        <f>IF(E210=E209,O209,"")</f>
        <v/>
      </c>
      <c r="O210" s="81">
        <f t="array" ref="O210">IF(OR(G210="Amortization",G210="Fim de Mês"),(1+J210)*N210-D210,-INDEX(Agenda!J:J,MATCH(1,('Lançamentos- Credito Débito'!E210=Agenda!C:C)*('Lançamentos- Credito Débito'!G210=Agenda!G:G),0)))</f>
        <v>39630.43</v>
      </c>
      <c r="P210" s="44" t="str">
        <f>IF(J210="","",N210*J210)</f>
        <v/>
      </c>
      <c r="Q210" s="64" t="str">
        <f>IF(N210="","",N210+P210)</f>
        <v/>
      </c>
      <c r="R210" s="14" t="str">
        <f t="array" ref="R210">IF(F210="","",INDEX(Agenda!L:L,MATCH(1,('Lançamentos- Credito Débito'!E210=Agenda!C:C)*('Lançamentos- Credito Débito'!F210=Agenda!I:I),0)))</f>
        <v/>
      </c>
      <c r="S210" s="14" t="str">
        <f>IF(AND(F210=F209,J210&lt;&gt;""),S209+L210,L210)</f>
        <v/>
      </c>
      <c r="T210" s="14" t="str">
        <f>IF(R210="","",R210-S210)</f>
        <v/>
      </c>
      <c r="U210" s="62" t="str">
        <f>IF(S210="","",T210/K210)</f>
        <v/>
      </c>
      <c r="V210" s="78" t="str">
        <f>IFERROR(IF(F210=F209,V209,IF(F209&lt;&gt;"",U210+U209,0)),S210)</f>
        <v/>
      </c>
    </row>
    <row r="211" spans="1:22" customFormat="1" x14ac:dyDescent="0.25">
      <c r="A211" s="45">
        <v>43982</v>
      </c>
      <c r="B211" s="33" t="s">
        <v>63</v>
      </c>
      <c r="C211" s="33" t="s">
        <v>26</v>
      </c>
      <c r="D211" s="34">
        <v>0</v>
      </c>
      <c r="E211" s="33" t="s">
        <v>8</v>
      </c>
      <c r="F211" s="30">
        <v>44316</v>
      </c>
      <c r="G211" s="33" t="s">
        <v>86</v>
      </c>
      <c r="H211" s="25">
        <f t="array" ref="H211">IFERROR(INDEX(Agenda!AA:AA,MATCH(1,('Lançamentos- Credito Débito'!E211=Agenda!C:C)*('Lançamentos- Credito Débito'!F211=Agenda!I:I),0)),"")</f>
        <v>6.6030548228668273E-4</v>
      </c>
      <c r="I211">
        <f t="shared" si="33"/>
        <v>16</v>
      </c>
      <c r="J211" s="35">
        <f t="shared" si="34"/>
        <v>1.0617369684125855E-2</v>
      </c>
      <c r="K211" s="40">
        <f t="array" ref="K211">INDEX(Agenda!AB:AB,MATCH(1,('Lançamentos- Credito Débito'!E211=Agenda!C:C)*('Lançamentos- Credito Débito'!F211=Agenda!I:I),0))</f>
        <v>0.79371519772867327</v>
      </c>
      <c r="L211" s="36">
        <f t="shared" si="35"/>
        <v>0</v>
      </c>
      <c r="M211" s="36">
        <f t="shared" si="36"/>
        <v>0</v>
      </c>
      <c r="N211" s="1">
        <f t="shared" si="37"/>
        <v>39630.43</v>
      </c>
      <c r="O211" s="81">
        <f t="array" ref="O211">IF(OR(G211="Amortization",G211="Fim de Mês"),(1+J211)*N211-D211,-INDEX(Agenda!J:J,MATCH(1,('Lançamentos- Credito Débito'!E211=Agenda!C:C)*('Lançamentos- Credito Débito'!G211=Agenda!G:G),0)))</f>
        <v>40051.200926050871</v>
      </c>
      <c r="P211" s="44">
        <f t="shared" si="38"/>
        <v>420.77092605087182</v>
      </c>
      <c r="Q211" s="64">
        <f t="shared" si="39"/>
        <v>40051.200926050871</v>
      </c>
      <c r="R211" s="14">
        <f t="array" ref="R211">IF(F211="","",INDEX(Agenda!L:L,MATCH(1,('Lançamentos- Credito Débito'!E211=Agenda!C:C)*('Lançamentos- Credito Débito'!F211=Agenda!I:I),0)))</f>
        <v>39630.43</v>
      </c>
      <c r="S211" s="14">
        <f t="shared" si="40"/>
        <v>0</v>
      </c>
      <c r="T211" s="14">
        <f t="shared" si="41"/>
        <v>39630.43</v>
      </c>
      <c r="U211" s="62">
        <f t="shared" si="42"/>
        <v>49930.29</v>
      </c>
      <c r="V211" s="78">
        <f t="shared" si="43"/>
        <v>0</v>
      </c>
    </row>
    <row r="212" spans="1:22" customFormat="1" x14ac:dyDescent="0.25">
      <c r="A212" s="45">
        <v>44012</v>
      </c>
      <c r="B212" s="33" t="s">
        <v>63</v>
      </c>
      <c r="C212" s="33" t="s">
        <v>26</v>
      </c>
      <c r="D212" s="34">
        <v>0</v>
      </c>
      <c r="E212" s="33" t="s">
        <v>8</v>
      </c>
      <c r="F212" s="30">
        <v>44316</v>
      </c>
      <c r="G212" s="33" t="s">
        <v>86</v>
      </c>
      <c r="H212" s="25">
        <f t="array" ref="H212">IFERROR(INDEX(Agenda!AA:AA,MATCH(1,('Lançamentos- Credito Débito'!E212=Agenda!C:C)*('Lançamentos- Credito Débito'!F212=Agenda!I:I),0)),"")</f>
        <v>6.6030548228668273E-4</v>
      </c>
      <c r="I212">
        <f t="shared" si="33"/>
        <v>30</v>
      </c>
      <c r="J212" s="35">
        <f t="shared" si="34"/>
        <v>1.9999999999999574E-2</v>
      </c>
      <c r="K212" s="40">
        <f t="array" ref="K212">INDEX(Agenda!AB:AB,MATCH(1,('Lançamentos- Credito Débito'!E212=Agenda!C:C)*('Lançamentos- Credito Débito'!F212=Agenda!I:I),0))</f>
        <v>0.79371519772867327</v>
      </c>
      <c r="L212" s="36">
        <f t="shared" si="35"/>
        <v>0</v>
      </c>
      <c r="M212" s="36">
        <f t="shared" si="36"/>
        <v>0</v>
      </c>
      <c r="N212" s="1">
        <f t="shared" si="37"/>
        <v>40051.200926050871</v>
      </c>
      <c r="O212" s="81">
        <f t="array" ref="O212">IF(OR(G212="Amortization",G212="Fim de Mês"),(1+J212)*N212-D212,-INDEX(Agenda!J:J,MATCH(1,('Lançamentos- Credito Débito'!E212=Agenda!C:C)*('Lançamentos- Credito Débito'!G212=Agenda!G:G),0)))</f>
        <v>40852.22494457187</v>
      </c>
      <c r="P212" s="44">
        <f t="shared" si="38"/>
        <v>801.02401852100036</v>
      </c>
      <c r="Q212" s="64">
        <f t="shared" si="39"/>
        <v>40852.22494457187</v>
      </c>
      <c r="R212" s="14">
        <f t="array" ref="R212">IF(F212="","",INDEX(Agenda!L:L,MATCH(1,('Lançamentos- Credito Débito'!E212=Agenda!C:C)*('Lançamentos- Credito Débito'!F212=Agenda!I:I),0)))</f>
        <v>39630.43</v>
      </c>
      <c r="S212" s="14">
        <f t="shared" si="40"/>
        <v>0</v>
      </c>
      <c r="T212" s="14">
        <f t="shared" si="41"/>
        <v>39630.43</v>
      </c>
      <c r="U212" s="62">
        <f t="shared" si="42"/>
        <v>49930.29</v>
      </c>
      <c r="V212" s="78">
        <f t="shared" si="43"/>
        <v>0</v>
      </c>
    </row>
    <row r="213" spans="1:22" customFormat="1" x14ac:dyDescent="0.25">
      <c r="A213" s="45">
        <v>44043</v>
      </c>
      <c r="B213" s="33" t="s">
        <v>63</v>
      </c>
      <c r="C213" s="33" t="s">
        <v>26</v>
      </c>
      <c r="D213" s="34">
        <v>0</v>
      </c>
      <c r="E213" s="33" t="s">
        <v>8</v>
      </c>
      <c r="F213" s="30">
        <v>44316</v>
      </c>
      <c r="G213" s="33" t="s">
        <v>86</v>
      </c>
      <c r="H213" s="25">
        <f t="array" ref="H213">IFERROR(INDEX(Agenda!AA:AA,MATCH(1,('Lançamentos- Credito Débito'!E213=Agenda!C:C)*('Lançamentos- Credito Débito'!F213=Agenda!I:I),0)),"")</f>
        <v>6.6030548228668273E-4</v>
      </c>
      <c r="I213">
        <f t="shared" si="33"/>
        <v>31</v>
      </c>
      <c r="J213" s="35">
        <f t="shared" si="34"/>
        <v>2.0673511591932092E-2</v>
      </c>
      <c r="K213" s="40">
        <f t="array" ref="K213">INDEX(Agenda!AB:AB,MATCH(1,('Lançamentos- Credito Débito'!E213=Agenda!C:C)*('Lançamentos- Credito Débito'!F213=Agenda!I:I),0))</f>
        <v>0.79371519772867327</v>
      </c>
      <c r="L213" s="36">
        <f t="shared" si="35"/>
        <v>0</v>
      </c>
      <c r="M213" s="36">
        <f t="shared" si="36"/>
        <v>0</v>
      </c>
      <c r="N213" s="1">
        <f t="shared" si="37"/>
        <v>40852.22494457187</v>
      </c>
      <c r="O213" s="81">
        <f t="array" ref="O213">IF(OR(G213="Amortization",G213="Fim de Mês"),(1+J213)*N213-D213,-INDEX(Agenda!J:J,MATCH(1,('Lançamentos- Credito Débito'!E213=Agenda!C:C)*('Lançamentos- Credito Débito'!G213=Agenda!G:G),0)))</f>
        <v>41696.783890519691</v>
      </c>
      <c r="P213" s="44">
        <f t="shared" si="38"/>
        <v>844.55894594782387</v>
      </c>
      <c r="Q213" s="64">
        <f t="shared" si="39"/>
        <v>41696.783890519691</v>
      </c>
      <c r="R213" s="14">
        <f t="array" ref="R213">IF(F213="","",INDEX(Agenda!L:L,MATCH(1,('Lançamentos- Credito Débito'!E213=Agenda!C:C)*('Lançamentos- Credito Débito'!F213=Agenda!I:I),0)))</f>
        <v>39630.43</v>
      </c>
      <c r="S213" s="14">
        <f t="shared" si="40"/>
        <v>0</v>
      </c>
      <c r="T213" s="14">
        <f t="shared" si="41"/>
        <v>39630.43</v>
      </c>
      <c r="U213" s="62">
        <f t="shared" si="42"/>
        <v>49930.29</v>
      </c>
      <c r="V213" s="78">
        <f t="shared" si="43"/>
        <v>0</v>
      </c>
    </row>
    <row r="214" spans="1:22" customFormat="1" x14ac:dyDescent="0.25">
      <c r="A214" s="45">
        <v>44074</v>
      </c>
      <c r="B214" s="33" t="s">
        <v>63</v>
      </c>
      <c r="C214" s="33" t="s">
        <v>26</v>
      </c>
      <c r="D214" s="34">
        <v>0</v>
      </c>
      <c r="E214" s="33" t="s">
        <v>8</v>
      </c>
      <c r="F214" s="30">
        <v>44316</v>
      </c>
      <c r="G214" s="33" t="s">
        <v>86</v>
      </c>
      <c r="H214" s="25">
        <f t="array" ref="H214">IFERROR(INDEX(Agenda!AA:AA,MATCH(1,('Lançamentos- Credito Débito'!E214=Agenda!C:C)*('Lançamentos- Credito Débito'!F214=Agenda!I:I),0)),"")</f>
        <v>6.6030548228668273E-4</v>
      </c>
      <c r="I214">
        <f t="shared" si="33"/>
        <v>31</v>
      </c>
      <c r="J214" s="35">
        <f t="shared" si="34"/>
        <v>2.0673511591932092E-2</v>
      </c>
      <c r="K214" s="40">
        <f t="array" ref="K214">INDEX(Agenda!AB:AB,MATCH(1,('Lançamentos- Credito Débito'!E214=Agenda!C:C)*('Lançamentos- Credito Débito'!F214=Agenda!I:I),0))</f>
        <v>0.79371519772867327</v>
      </c>
      <c r="L214" s="36">
        <f t="shared" si="35"/>
        <v>0</v>
      </c>
      <c r="M214" s="36">
        <f t="shared" si="36"/>
        <v>0</v>
      </c>
      <c r="N214" s="1">
        <f t="shared" si="37"/>
        <v>41696.783890519691</v>
      </c>
      <c r="O214" s="81">
        <f t="array" ref="O214">IF(OR(G214="Amortization",G214="Fim de Mês"),(1+J214)*N214-D214,-INDEX(Agenda!J:J,MATCH(1,('Lançamentos- Credito Débito'!E214=Agenda!C:C)*('Lançamentos- Credito Débito'!G214=Agenda!G:G),0)))</f>
        <v>42558.802835626637</v>
      </c>
      <c r="P214" s="44">
        <f t="shared" si="38"/>
        <v>862.01894510694615</v>
      </c>
      <c r="Q214" s="64">
        <f t="shared" si="39"/>
        <v>42558.802835626637</v>
      </c>
      <c r="R214" s="14">
        <f t="array" ref="R214">IF(F214="","",INDEX(Agenda!L:L,MATCH(1,('Lançamentos- Credito Débito'!E214=Agenda!C:C)*('Lançamentos- Credito Débito'!F214=Agenda!I:I),0)))</f>
        <v>39630.43</v>
      </c>
      <c r="S214" s="14">
        <f t="shared" si="40"/>
        <v>0</v>
      </c>
      <c r="T214" s="14">
        <f t="shared" si="41"/>
        <v>39630.43</v>
      </c>
      <c r="U214" s="62">
        <f t="shared" si="42"/>
        <v>49930.29</v>
      </c>
      <c r="V214" s="78">
        <f t="shared" si="43"/>
        <v>0</v>
      </c>
    </row>
    <row r="215" spans="1:22" customFormat="1" x14ac:dyDescent="0.25">
      <c r="A215" s="45">
        <v>44104</v>
      </c>
      <c r="B215" s="33" t="s">
        <v>63</v>
      </c>
      <c r="C215" s="33" t="s">
        <v>26</v>
      </c>
      <c r="D215" s="34">
        <v>0</v>
      </c>
      <c r="E215" s="33" t="s">
        <v>8</v>
      </c>
      <c r="F215" s="30">
        <v>44316</v>
      </c>
      <c r="G215" s="33" t="s">
        <v>86</v>
      </c>
      <c r="H215" s="25">
        <f t="array" ref="H215">IFERROR(INDEX(Agenda!AA:AA,MATCH(1,('Lançamentos- Credito Débito'!E215=Agenda!C:C)*('Lançamentos- Credito Débito'!F215=Agenda!I:I),0)),"")</f>
        <v>6.6030548228668273E-4</v>
      </c>
      <c r="I215">
        <f t="shared" si="33"/>
        <v>30</v>
      </c>
      <c r="J215" s="35">
        <f t="shared" si="34"/>
        <v>1.9999999999999574E-2</v>
      </c>
      <c r="K215" s="40">
        <f t="array" ref="K215">INDEX(Agenda!AB:AB,MATCH(1,('Lançamentos- Credito Débito'!E215=Agenda!C:C)*('Lançamentos- Credito Débito'!F215=Agenda!I:I),0))</f>
        <v>0.79371519772867327</v>
      </c>
      <c r="L215" s="36">
        <f t="shared" si="35"/>
        <v>0</v>
      </c>
      <c r="M215" s="36">
        <f t="shared" si="36"/>
        <v>0</v>
      </c>
      <c r="N215" s="1">
        <f t="shared" si="37"/>
        <v>42558.802835626637</v>
      </c>
      <c r="O215" s="81">
        <f t="array" ref="O215">IF(OR(G215="Amortization",G215="Fim de Mês"),(1+J215)*N215-D215,-INDEX(Agenda!J:J,MATCH(1,('Lançamentos- Credito Débito'!E215=Agenda!C:C)*('Lançamentos- Credito Débito'!G215=Agenda!G:G),0)))</f>
        <v>43409.978892339153</v>
      </c>
      <c r="P215" s="44">
        <f t="shared" si="38"/>
        <v>851.17605671251454</v>
      </c>
      <c r="Q215" s="64">
        <f t="shared" si="39"/>
        <v>43409.978892339153</v>
      </c>
      <c r="R215" s="14">
        <f t="array" ref="R215">IF(F215="","",INDEX(Agenda!L:L,MATCH(1,('Lançamentos- Credito Débito'!E215=Agenda!C:C)*('Lançamentos- Credito Débito'!F215=Agenda!I:I),0)))</f>
        <v>39630.43</v>
      </c>
      <c r="S215" s="14">
        <f t="shared" si="40"/>
        <v>0</v>
      </c>
      <c r="T215" s="14">
        <f t="shared" si="41"/>
        <v>39630.43</v>
      </c>
      <c r="U215" s="62">
        <f t="shared" si="42"/>
        <v>49930.29</v>
      </c>
      <c r="V215" s="78">
        <f t="shared" si="43"/>
        <v>0</v>
      </c>
    </row>
    <row r="216" spans="1:22" customFormat="1" x14ac:dyDescent="0.25">
      <c r="A216" s="45">
        <v>44135</v>
      </c>
      <c r="B216" s="33" t="s">
        <v>63</v>
      </c>
      <c r="C216" s="33" t="s">
        <v>26</v>
      </c>
      <c r="D216" s="34">
        <v>0</v>
      </c>
      <c r="E216" s="33" t="s">
        <v>8</v>
      </c>
      <c r="F216" s="30">
        <v>44316</v>
      </c>
      <c r="G216" s="33" t="s">
        <v>86</v>
      </c>
      <c r="H216" s="25">
        <f t="array" ref="H216">IFERROR(INDEX(Agenda!AA:AA,MATCH(1,('Lançamentos- Credito Débito'!E216=Agenda!C:C)*('Lançamentos- Credito Débito'!F216=Agenda!I:I),0)),"")</f>
        <v>6.6030548228668273E-4</v>
      </c>
      <c r="I216">
        <f t="shared" si="33"/>
        <v>31</v>
      </c>
      <c r="J216" s="35">
        <f t="shared" si="34"/>
        <v>2.0673511591932092E-2</v>
      </c>
      <c r="K216" s="40">
        <f t="array" ref="K216">INDEX(Agenda!AB:AB,MATCH(1,('Lançamentos- Credito Débito'!E216=Agenda!C:C)*('Lançamentos- Credito Débito'!F216=Agenda!I:I),0))</f>
        <v>0.79371519772867327</v>
      </c>
      <c r="L216" s="36">
        <f t="shared" si="35"/>
        <v>0</v>
      </c>
      <c r="M216" s="36">
        <f t="shared" si="36"/>
        <v>0</v>
      </c>
      <c r="N216" s="1">
        <f t="shared" si="37"/>
        <v>43409.978892339153</v>
      </c>
      <c r="O216" s="81">
        <f t="array" ref="O216">IF(OR(G216="Amortization",G216="Fim de Mês"),(1+J216)*N216-D216,-INDEX(Agenda!J:J,MATCH(1,('Lançamentos- Credito Débito'!E216=Agenda!C:C)*('Lançamentos- Credito Débito'!G216=Agenda!G:G),0)))</f>
        <v>44307.415594175458</v>
      </c>
      <c r="P216" s="44">
        <f t="shared" si="38"/>
        <v>897.43670183630093</v>
      </c>
      <c r="Q216" s="64">
        <f t="shared" si="39"/>
        <v>44307.415594175458</v>
      </c>
      <c r="R216" s="14">
        <f t="array" ref="R216">IF(F216="","",INDEX(Agenda!L:L,MATCH(1,('Lançamentos- Credito Débito'!E216=Agenda!C:C)*('Lançamentos- Credito Débito'!F216=Agenda!I:I),0)))</f>
        <v>39630.43</v>
      </c>
      <c r="S216" s="14">
        <f t="shared" si="40"/>
        <v>0</v>
      </c>
      <c r="T216" s="14">
        <f t="shared" si="41"/>
        <v>39630.43</v>
      </c>
      <c r="U216" s="62">
        <f t="shared" si="42"/>
        <v>49930.29</v>
      </c>
      <c r="V216" s="78">
        <f t="shared" si="43"/>
        <v>0</v>
      </c>
    </row>
    <row r="217" spans="1:22" customFormat="1" x14ac:dyDescent="0.25">
      <c r="A217" s="45">
        <v>44165</v>
      </c>
      <c r="B217" s="33" t="s">
        <v>63</v>
      </c>
      <c r="C217" s="33" t="s">
        <v>26</v>
      </c>
      <c r="D217" s="34">
        <v>0</v>
      </c>
      <c r="E217" s="33" t="s">
        <v>8</v>
      </c>
      <c r="F217" s="30">
        <v>44316</v>
      </c>
      <c r="G217" s="33" t="s">
        <v>86</v>
      </c>
      <c r="H217" s="25">
        <f t="array" ref="H217">IFERROR(INDEX(Agenda!AA:AA,MATCH(1,('Lançamentos- Credito Débito'!E217=Agenda!C:C)*('Lançamentos- Credito Débito'!F217=Agenda!I:I),0)),"")</f>
        <v>6.6030548228668273E-4</v>
      </c>
      <c r="I217">
        <f t="shared" si="33"/>
        <v>30</v>
      </c>
      <c r="J217" s="35">
        <f t="shared" si="34"/>
        <v>1.9999999999999574E-2</v>
      </c>
      <c r="K217" s="40">
        <f t="array" ref="K217">INDEX(Agenda!AB:AB,MATCH(1,('Lançamentos- Credito Débito'!E217=Agenda!C:C)*('Lançamentos- Credito Débito'!F217=Agenda!I:I),0))</f>
        <v>0.79371519772867327</v>
      </c>
      <c r="L217" s="36">
        <f t="shared" si="35"/>
        <v>0</v>
      </c>
      <c r="M217" s="36">
        <f t="shared" si="36"/>
        <v>0</v>
      </c>
      <c r="N217" s="1">
        <f t="shared" si="37"/>
        <v>44307.415594175458</v>
      </c>
      <c r="O217" s="81">
        <f t="array" ref="O217">IF(OR(G217="Amortization",G217="Fim de Mês"),(1+J217)*N217-D217,-INDEX(Agenda!J:J,MATCH(1,('Lançamentos- Credito Débito'!E217=Agenda!C:C)*('Lançamentos- Credito Débito'!G217=Agenda!G:G),0)))</f>
        <v>45193.563906058946</v>
      </c>
      <c r="P217" s="44">
        <f t="shared" si="38"/>
        <v>886.14831188349024</v>
      </c>
      <c r="Q217" s="64">
        <f t="shared" si="39"/>
        <v>45193.563906058946</v>
      </c>
      <c r="R217" s="14">
        <f t="array" ref="R217">IF(F217="","",INDEX(Agenda!L:L,MATCH(1,('Lançamentos- Credito Débito'!E217=Agenda!C:C)*('Lançamentos- Credito Débito'!F217=Agenda!I:I),0)))</f>
        <v>39630.43</v>
      </c>
      <c r="S217" s="14">
        <f t="shared" si="40"/>
        <v>0</v>
      </c>
      <c r="T217" s="14">
        <f t="shared" si="41"/>
        <v>39630.43</v>
      </c>
      <c r="U217" s="62">
        <f t="shared" si="42"/>
        <v>49930.29</v>
      </c>
      <c r="V217" s="78">
        <f t="shared" si="43"/>
        <v>0</v>
      </c>
    </row>
    <row r="218" spans="1:22" customFormat="1" x14ac:dyDescent="0.25">
      <c r="A218" s="45">
        <v>44196</v>
      </c>
      <c r="B218" s="33" t="s">
        <v>63</v>
      </c>
      <c r="C218" s="33" t="s">
        <v>26</v>
      </c>
      <c r="D218" s="34">
        <v>0</v>
      </c>
      <c r="E218" s="33" t="s">
        <v>8</v>
      </c>
      <c r="F218" s="30">
        <v>44316</v>
      </c>
      <c r="G218" s="33" t="s">
        <v>86</v>
      </c>
      <c r="H218" s="25">
        <f t="array" ref="H218">IFERROR(INDEX(Agenda!AA:AA,MATCH(1,('Lançamentos- Credito Débito'!E218=Agenda!C:C)*('Lançamentos- Credito Débito'!F218=Agenda!I:I),0)),"")</f>
        <v>6.6030548228668273E-4</v>
      </c>
      <c r="I218">
        <f t="shared" si="33"/>
        <v>31</v>
      </c>
      <c r="J218" s="35">
        <f t="shared" si="34"/>
        <v>2.0673511591932092E-2</v>
      </c>
      <c r="K218" s="40">
        <f t="array" ref="K218">INDEX(Agenda!AB:AB,MATCH(1,('Lançamentos- Credito Débito'!E218=Agenda!C:C)*('Lançamentos- Credito Débito'!F218=Agenda!I:I),0))</f>
        <v>0.79371519772867327</v>
      </c>
      <c r="L218" s="36">
        <f t="shared" si="35"/>
        <v>0</v>
      </c>
      <c r="M218" s="36">
        <f t="shared" si="36"/>
        <v>0</v>
      </c>
      <c r="N218" s="1">
        <f t="shared" si="37"/>
        <v>45193.563906058946</v>
      </c>
      <c r="O218" s="81">
        <f t="array" ref="O218">IF(OR(G218="Amortization",G218="Fim de Mês"),(1+J218)*N218-D218,-INDEX(Agenda!J:J,MATCH(1,('Lançamentos- Credito Débito'!E218=Agenda!C:C)*('Lançamentos- Credito Débito'!G218=Agenda!G:G),0)))</f>
        <v>46127.873573351579</v>
      </c>
      <c r="P218" s="44">
        <f t="shared" si="38"/>
        <v>934.30966729263343</v>
      </c>
      <c r="Q218" s="64">
        <f t="shared" si="39"/>
        <v>46127.873573351579</v>
      </c>
      <c r="R218" s="14">
        <f t="array" ref="R218">IF(F218="","",INDEX(Agenda!L:L,MATCH(1,('Lançamentos- Credito Débito'!E218=Agenda!C:C)*('Lançamentos- Credito Débito'!F218=Agenda!I:I),0)))</f>
        <v>39630.43</v>
      </c>
      <c r="S218" s="14">
        <f t="shared" si="40"/>
        <v>0</v>
      </c>
      <c r="T218" s="14">
        <f t="shared" si="41"/>
        <v>39630.43</v>
      </c>
      <c r="U218" s="62">
        <f t="shared" si="42"/>
        <v>49930.29</v>
      </c>
      <c r="V218" s="78">
        <f t="shared" si="43"/>
        <v>0</v>
      </c>
    </row>
    <row r="219" spans="1:22" customFormat="1" x14ac:dyDescent="0.25">
      <c r="A219" s="45">
        <v>44227</v>
      </c>
      <c r="B219" s="33" t="s">
        <v>63</v>
      </c>
      <c r="C219" s="33" t="s">
        <v>26</v>
      </c>
      <c r="D219" s="34">
        <v>0</v>
      </c>
      <c r="E219" s="33" t="s">
        <v>8</v>
      </c>
      <c r="F219" s="30">
        <v>44316</v>
      </c>
      <c r="G219" s="33" t="s">
        <v>86</v>
      </c>
      <c r="H219" s="25">
        <f t="array" ref="H219">IFERROR(INDEX(Agenda!AA:AA,MATCH(1,('Lançamentos- Credito Débito'!E219=Agenda!C:C)*('Lançamentos- Credito Débito'!F219=Agenda!I:I),0)),"")</f>
        <v>6.6030548228668273E-4</v>
      </c>
      <c r="I219">
        <f t="shared" si="33"/>
        <v>31</v>
      </c>
      <c r="J219" s="35">
        <f t="shared" si="34"/>
        <v>2.0673511591932092E-2</v>
      </c>
      <c r="K219" s="40">
        <f t="array" ref="K219">INDEX(Agenda!AB:AB,MATCH(1,('Lançamentos- Credito Débito'!E219=Agenda!C:C)*('Lançamentos- Credito Débito'!F219=Agenda!I:I),0))</f>
        <v>0.79371519772867327</v>
      </c>
      <c r="L219" s="36">
        <f t="shared" si="35"/>
        <v>0</v>
      </c>
      <c r="M219" s="36">
        <f t="shared" si="36"/>
        <v>0</v>
      </c>
      <c r="N219" s="1">
        <f t="shared" si="37"/>
        <v>46127.873573351579</v>
      </c>
      <c r="O219" s="81">
        <f t="array" ref="O219">IF(OR(G219="Amortization",G219="Fim de Mês"),(1+J219)*N219-D219,-INDEX(Agenda!J:J,MATCH(1,('Lançamentos- Credito Débito'!E219=Agenda!C:C)*('Lançamentos- Credito Débito'!G219=Agenda!G:G),0)))</f>
        <v>47081.498702381439</v>
      </c>
      <c r="P219" s="44">
        <f t="shared" si="38"/>
        <v>953.62512902986191</v>
      </c>
      <c r="Q219" s="64">
        <f t="shared" si="39"/>
        <v>47081.498702381439</v>
      </c>
      <c r="R219" s="14">
        <f t="array" ref="R219">IF(F219="","",INDEX(Agenda!L:L,MATCH(1,('Lançamentos- Credito Débito'!E219=Agenda!C:C)*('Lançamentos- Credito Débito'!F219=Agenda!I:I),0)))</f>
        <v>39630.43</v>
      </c>
      <c r="S219" s="14">
        <f t="shared" si="40"/>
        <v>0</v>
      </c>
      <c r="T219" s="14">
        <f t="shared" si="41"/>
        <v>39630.43</v>
      </c>
      <c r="U219" s="62">
        <f t="shared" si="42"/>
        <v>49930.29</v>
      </c>
      <c r="V219" s="78">
        <f t="shared" si="43"/>
        <v>0</v>
      </c>
    </row>
    <row r="220" spans="1:22" customFormat="1" x14ac:dyDescent="0.25">
      <c r="A220" s="45">
        <v>44255</v>
      </c>
      <c r="B220" s="33" t="s">
        <v>63</v>
      </c>
      <c r="C220" s="33" t="s">
        <v>26</v>
      </c>
      <c r="D220" s="34">
        <v>0</v>
      </c>
      <c r="E220" s="33" t="s">
        <v>8</v>
      </c>
      <c r="F220" s="30">
        <v>44316</v>
      </c>
      <c r="G220" s="33" t="s">
        <v>86</v>
      </c>
      <c r="H220" s="25">
        <f t="array" ref="H220">IFERROR(INDEX(Agenda!AA:AA,MATCH(1,('Lançamentos- Credito Débito'!E220=Agenda!C:C)*('Lançamentos- Credito Débito'!F220=Agenda!I:I),0)),"")</f>
        <v>6.6030548228668273E-4</v>
      </c>
      <c r="I220">
        <f t="shared" si="33"/>
        <v>28</v>
      </c>
      <c r="J220" s="35">
        <f t="shared" si="34"/>
        <v>1.8654309812680125E-2</v>
      </c>
      <c r="K220" s="40">
        <f t="array" ref="K220">INDEX(Agenda!AB:AB,MATCH(1,('Lançamentos- Credito Débito'!E220=Agenda!C:C)*('Lançamentos- Credito Débito'!F220=Agenda!I:I),0))</f>
        <v>0.79371519772867327</v>
      </c>
      <c r="L220" s="36">
        <f t="shared" si="35"/>
        <v>0</v>
      </c>
      <c r="M220" s="36">
        <f t="shared" si="36"/>
        <v>0</v>
      </c>
      <c r="N220" s="1">
        <f t="shared" si="37"/>
        <v>47081.498702381439</v>
      </c>
      <c r="O220" s="81">
        <f t="array" ref="O220">IF(OR(G220="Amortization",G220="Fim de Mês"),(1+J220)*N220-D220,-INDEX(Agenda!J:J,MATCH(1,('Lançamentos- Credito Débito'!E220=Agenda!C:C)*('Lançamentos- Credito Débito'!G220=Agenda!G:G),0)))</f>
        <v>47959.771565620962</v>
      </c>
      <c r="P220" s="44">
        <f t="shared" si="38"/>
        <v>878.27286323952069</v>
      </c>
      <c r="Q220" s="64">
        <f t="shared" si="39"/>
        <v>47959.771565620962</v>
      </c>
      <c r="R220" s="14">
        <f t="array" ref="R220">IF(F220="","",INDEX(Agenda!L:L,MATCH(1,('Lançamentos- Credito Débito'!E220=Agenda!C:C)*('Lançamentos- Credito Débito'!F220=Agenda!I:I),0)))</f>
        <v>39630.43</v>
      </c>
      <c r="S220" s="14">
        <f t="shared" si="40"/>
        <v>0</v>
      </c>
      <c r="T220" s="14">
        <f t="shared" si="41"/>
        <v>39630.43</v>
      </c>
      <c r="U220" s="62">
        <f t="shared" si="42"/>
        <v>49930.29</v>
      </c>
      <c r="V220" s="78">
        <f t="shared" si="43"/>
        <v>0</v>
      </c>
    </row>
    <row r="221" spans="1:22" customFormat="1" x14ac:dyDescent="0.25">
      <c r="A221" s="45">
        <v>44286</v>
      </c>
      <c r="B221" s="33" t="s">
        <v>63</v>
      </c>
      <c r="C221" s="33" t="s">
        <v>26</v>
      </c>
      <c r="D221" s="34">
        <v>0</v>
      </c>
      <c r="E221" s="33" t="s">
        <v>8</v>
      </c>
      <c r="F221" s="30">
        <v>44316</v>
      </c>
      <c r="G221" s="33" t="s">
        <v>86</v>
      </c>
      <c r="H221" s="25">
        <f t="array" ref="H221">IFERROR(INDEX(Agenda!AA:AA,MATCH(1,('Lançamentos- Credito Débito'!E221=Agenda!C:C)*('Lançamentos- Credito Débito'!F221=Agenda!I:I),0)),"")</f>
        <v>6.6030548228668273E-4</v>
      </c>
      <c r="I221">
        <f t="shared" si="33"/>
        <v>31</v>
      </c>
      <c r="J221" s="35">
        <f t="shared" si="34"/>
        <v>2.0673511591932092E-2</v>
      </c>
      <c r="K221" s="40">
        <f t="array" ref="K221">INDEX(Agenda!AB:AB,MATCH(1,('Lançamentos- Credito Débito'!E221=Agenda!C:C)*('Lançamentos- Credito Débito'!F221=Agenda!I:I),0))</f>
        <v>0.79371519772867327</v>
      </c>
      <c r="L221" s="36">
        <f t="shared" si="35"/>
        <v>0</v>
      </c>
      <c r="M221" s="36">
        <f t="shared" si="36"/>
        <v>0</v>
      </c>
      <c r="N221" s="1">
        <f t="shared" si="37"/>
        <v>47959.771565620962</v>
      </c>
      <c r="O221" s="81">
        <f t="array" ref="O221">IF(OR(G221="Amortization",G221="Fim de Mês"),(1+J221)*N221-D221,-INDEX(Agenda!J:J,MATCH(1,('Lançamentos- Credito Débito'!E221=Agenda!C:C)*('Lançamentos- Credito Débito'!G221=Agenda!G:G),0)))</f>
        <v>48951.268459029241</v>
      </c>
      <c r="P221" s="44">
        <f t="shared" si="38"/>
        <v>991.49689340828013</v>
      </c>
      <c r="Q221" s="64">
        <f t="shared" si="39"/>
        <v>48951.268459029241</v>
      </c>
      <c r="R221" s="14">
        <f t="array" ref="R221">IF(F221="","",INDEX(Agenda!L:L,MATCH(1,('Lançamentos- Credito Débito'!E221=Agenda!C:C)*('Lançamentos- Credito Débito'!F221=Agenda!I:I),0)))</f>
        <v>39630.43</v>
      </c>
      <c r="S221" s="14">
        <f t="shared" si="40"/>
        <v>0</v>
      </c>
      <c r="T221" s="14">
        <f t="shared" si="41"/>
        <v>39630.43</v>
      </c>
      <c r="U221" s="62">
        <f t="shared" si="42"/>
        <v>49930.29</v>
      </c>
      <c r="V221" s="78">
        <f t="shared" si="43"/>
        <v>0</v>
      </c>
    </row>
    <row r="222" spans="1:22" customFormat="1" x14ac:dyDescent="0.25">
      <c r="A222" s="30">
        <v>44316</v>
      </c>
      <c r="B222" s="33" t="s">
        <v>63</v>
      </c>
      <c r="C222" s="33" t="s">
        <v>26</v>
      </c>
      <c r="D222" s="34">
        <v>49930.29</v>
      </c>
      <c r="E222" s="33" t="s">
        <v>8</v>
      </c>
      <c r="F222" s="30">
        <v>44316</v>
      </c>
      <c r="G222" s="33" t="s">
        <v>51</v>
      </c>
      <c r="H222" s="25">
        <f t="array" ref="H222">IFERROR(INDEX(Agenda!AA:AA,MATCH(1,('Lançamentos- Credito Débito'!E222=Agenda!C:C)*('Lançamentos- Credito Débito'!F222=Agenda!I:I),0)),"")</f>
        <v>6.6030548228668273E-4</v>
      </c>
      <c r="I222">
        <f t="shared" si="33"/>
        <v>30</v>
      </c>
      <c r="J222" s="35">
        <f t="shared" si="34"/>
        <v>1.9999999999999574E-2</v>
      </c>
      <c r="K222" s="40">
        <f t="array" ref="K222">INDEX(Agenda!AB:AB,MATCH(1,('Lançamentos- Credito Débito'!E222=Agenda!C:C)*('Lançamentos- Credito Débito'!F222=Agenda!I:I),0))</f>
        <v>0.79371519772867327</v>
      </c>
      <c r="L222" s="36">
        <f t="shared" si="35"/>
        <v>39630.43</v>
      </c>
      <c r="M222" s="36">
        <f t="shared" si="36"/>
        <v>10299.860000000002</v>
      </c>
      <c r="N222" s="1">
        <f t="shared" si="37"/>
        <v>48951.268459029241</v>
      </c>
      <c r="O222" s="81">
        <f t="array" ref="O222">IF(OR(G222="Amortization",G222="Fim de Mês"),(1+J222)*N222-D222,-INDEX(Agenda!J:J,MATCH(1,('Lançamentos- Credito Débito'!E222=Agenda!C:C)*('Lançamentos- Credito Débito'!G222=Agenda!G:G),0)))</f>
        <v>3.8282098030322231E-3</v>
      </c>
      <c r="P222" s="44">
        <f t="shared" si="38"/>
        <v>979.02536918056398</v>
      </c>
      <c r="Q222" s="64">
        <f t="shared" si="39"/>
        <v>49930.293828209804</v>
      </c>
      <c r="R222" s="14">
        <f t="array" ref="R222">IF(F222="","",INDEX(Agenda!L:L,MATCH(1,('Lançamentos- Credito Débito'!E222=Agenda!C:C)*('Lançamentos- Credito Débito'!F222=Agenda!I:I),0)))</f>
        <v>39630.43</v>
      </c>
      <c r="S222" s="14">
        <f t="shared" si="40"/>
        <v>39630.43</v>
      </c>
      <c r="T222" s="14">
        <f t="shared" si="41"/>
        <v>0</v>
      </c>
      <c r="U222" s="62">
        <f t="shared" si="42"/>
        <v>0</v>
      </c>
      <c r="V222" s="78">
        <f t="shared" si="43"/>
        <v>0</v>
      </c>
    </row>
    <row r="223" spans="1:22" customFormat="1" x14ac:dyDescent="0.25">
      <c r="A223" s="45">
        <v>43990</v>
      </c>
      <c r="B223" s="33" t="s">
        <v>26</v>
      </c>
      <c r="C223" s="33" t="s">
        <v>63</v>
      </c>
      <c r="D223" s="34">
        <v>40423.03</v>
      </c>
      <c r="E223" s="33" t="s">
        <v>5</v>
      </c>
      <c r="F223" s="33"/>
      <c r="G223" s="33" t="s">
        <v>50</v>
      </c>
      <c r="H223" s="25" t="str">
        <f t="array" ref="H223">IFERROR(INDEX(Agenda!AA:AA,MATCH(1,('Lançamentos- Credito Débito'!E223=Agenda!C:C)*('Lançamentos- Credito Débito'!F223=Agenda!I:I),0)),"")</f>
        <v/>
      </c>
      <c r="I223" t="str">
        <f>IF(OR(G223="Amortization",G223="Fim de Mês"),A223-A222,IF(G223="PDD",F223-A223+1,""))</f>
        <v/>
      </c>
      <c r="J223" s="35" t="str">
        <f t="shared" si="34"/>
        <v/>
      </c>
      <c r="K223" s="40" t="e">
        <f t="array" ref="K223">INDEX(Agenda!AB:AB,MATCH(1,('Lançamentos- Credito Débito'!E223=Agenda!C:C)*('Lançamentos- Credito Débito'!F223=Agenda!I:I),0))</f>
        <v>#N/A</v>
      </c>
      <c r="L223" s="36" t="str">
        <f t="shared" si="35"/>
        <v/>
      </c>
      <c r="M223" s="36" t="str">
        <f t="shared" si="36"/>
        <v/>
      </c>
      <c r="N223" s="1" t="str">
        <f t="shared" si="37"/>
        <v/>
      </c>
      <c r="O223" s="81">
        <f t="array" ref="O223">IF(OR(G223="Amortization",G223="Fim de Mês",G223="PDD"),(1+J223)*N223-D223,-INDEX(Agenda!J:J,MATCH(1,('Lançamentos- Credito Débito'!E223=Agenda!C:C)*('Lançamentos- Credito Débito'!G223=Agenda!G:G),0)))</f>
        <v>40423.03</v>
      </c>
      <c r="P223" s="44" t="str">
        <f t="shared" si="38"/>
        <v/>
      </c>
      <c r="Q223" s="64" t="str">
        <f t="shared" si="39"/>
        <v/>
      </c>
      <c r="R223" s="14" t="str">
        <f t="array" ref="R223">IF(F223="","",INDEX(Agenda!L:L,MATCH(1,('Lançamentos- Credito Débito'!E223=Agenda!C:C)*('Lançamentos- Credito Débito'!F223=Agenda!I:I),0)))</f>
        <v/>
      </c>
      <c r="S223" s="14" t="str">
        <f t="shared" si="40"/>
        <v/>
      </c>
      <c r="T223" s="14" t="str">
        <f t="shared" si="41"/>
        <v/>
      </c>
      <c r="U223" s="62" t="str">
        <f t="shared" si="42"/>
        <v/>
      </c>
      <c r="V223" s="78" t="str">
        <f t="shared" si="43"/>
        <v/>
      </c>
    </row>
    <row r="224" spans="1:22" customFormat="1" x14ac:dyDescent="0.25">
      <c r="A224" s="45">
        <v>44012</v>
      </c>
      <c r="B224" s="33" t="s">
        <v>63</v>
      </c>
      <c r="C224" s="33" t="s">
        <v>26</v>
      </c>
      <c r="D224" s="34">
        <v>0</v>
      </c>
      <c r="E224" s="33" t="s">
        <v>5</v>
      </c>
      <c r="F224" s="30">
        <v>44346</v>
      </c>
      <c r="G224" s="33" t="s">
        <v>86</v>
      </c>
      <c r="H224" s="25">
        <f t="array" ref="H224">IFERROR(INDEX(Agenda!AA:AA,MATCH(1,('Lançamentos- Credito Débito'!E224=Agenda!C:C)*('Lançamentos- Credito Débito'!F224=Agenda!I:I),0)),"")</f>
        <v>6.6030548228668273E-4</v>
      </c>
      <c r="I224">
        <f>IF(OR(G224="Amortization",G224="Fim de Mês"),A224-A223,IF(G224="PDD",F224-A224+1,""))</f>
        <v>22</v>
      </c>
      <c r="J224" s="35">
        <f t="shared" si="34"/>
        <v>1.4627882132306258E-2</v>
      </c>
      <c r="K224" s="40">
        <f t="array" ref="K224">INDEX(Agenda!AB:AB,MATCH(1,('Lançamentos- Credito Débito'!E224=Agenda!C:C)*('Lançamentos- Credito Débito'!F224=Agenda!I:I),0))</f>
        <v>0.79057788632686365</v>
      </c>
      <c r="L224" s="36">
        <f t="shared" si="35"/>
        <v>0</v>
      </c>
      <c r="M224" s="36">
        <f t="shared" si="36"/>
        <v>0</v>
      </c>
      <c r="N224" s="1">
        <f t="shared" si="37"/>
        <v>40423.03</v>
      </c>
      <c r="O224" s="81">
        <f t="array" ref="O224">IF(OR(G224="Amortization",G224="Fim de Mês",G224="PDD"),(1+J224)*N224-D224,-INDEX(Agenda!J:J,MATCH(1,('Lançamentos- Credito Débito'!E224=Agenda!C:C)*('Lançamentos- Credito Débito'!G224=Agenda!G:G),0)))</f>
        <v>41014.333318270677</v>
      </c>
      <c r="P224" s="44">
        <f t="shared" si="38"/>
        <v>591.30331827067982</v>
      </c>
      <c r="Q224" s="64">
        <f t="shared" si="39"/>
        <v>41014.333318270677</v>
      </c>
      <c r="R224" s="14">
        <f t="array" ref="R224">IF(F224="","",INDEX(Agenda!L:L,MATCH(1,('Lançamentos- Credito Débito'!E224=Agenda!C:C)*('Lançamentos- Credito Débito'!F224=Agenda!I:I),0)))</f>
        <v>40423.03</v>
      </c>
      <c r="S224" s="14">
        <f t="shared" si="40"/>
        <v>0</v>
      </c>
      <c r="T224" s="14">
        <f t="shared" si="41"/>
        <v>40423.03</v>
      </c>
      <c r="U224" s="62">
        <f t="shared" si="42"/>
        <v>51130.99</v>
      </c>
      <c r="V224" s="78">
        <f t="shared" si="43"/>
        <v>0</v>
      </c>
    </row>
    <row r="225" spans="1:35" customFormat="1" x14ac:dyDescent="0.25">
      <c r="A225" s="45">
        <v>44043</v>
      </c>
      <c r="B225" s="33" t="s">
        <v>63</v>
      </c>
      <c r="C225" s="33" t="s">
        <v>26</v>
      </c>
      <c r="D225" s="34">
        <v>0</v>
      </c>
      <c r="E225" s="33" t="s">
        <v>5</v>
      </c>
      <c r="F225" s="30">
        <v>44346</v>
      </c>
      <c r="G225" s="33" t="s">
        <v>86</v>
      </c>
      <c r="H225" s="25">
        <f t="array" ref="H225">IFERROR(INDEX(Agenda!AA:AA,MATCH(1,('Lançamentos- Credito Débito'!E225=Agenda!C:C)*('Lançamentos- Credito Débito'!F225=Agenda!I:I),0)),"")</f>
        <v>6.6030548228668273E-4</v>
      </c>
      <c r="I225">
        <f t="shared" ref="I225:I245" si="44">IF(OR(G225="Amortization",G225="Fim de Mês"),A225-A224,IF(G225="PDD",F225-A225+1,""))</f>
        <v>31</v>
      </c>
      <c r="J225" s="35">
        <f t="shared" ref="J225:J245" si="45">IFERROR((1+H225)^I225-1,"")</f>
        <v>2.0673511591932092E-2</v>
      </c>
      <c r="K225" s="40">
        <f t="array" ref="K225">INDEX(Agenda!AB:AB,MATCH(1,('Lançamentos- Credito Débito'!E225=Agenda!C:C)*('Lançamentos- Credito Débito'!F225=Agenda!I:I),0))</f>
        <v>0.79057788632686365</v>
      </c>
      <c r="L225" s="36">
        <f t="shared" ref="L225:L245" si="46">IF(OR(G225="Amortization",G225="Fim de Mês"),K225*D225,"")</f>
        <v>0</v>
      </c>
      <c r="M225" s="36">
        <f t="shared" ref="M225:M245" si="47">IF(J225="","",D225*(1-K225))</f>
        <v>0</v>
      </c>
      <c r="N225" s="1">
        <f t="shared" ref="N225:N245" si="48">IF(E225=E224,O224,"")</f>
        <v>41014.333318270677</v>
      </c>
      <c r="O225" s="81">
        <f t="array" ref="O225">IF(OR(G225="Amortization",G225="Fim de Mês",G225="PDD"),(1+J225)*N225-D225,-INDEX(Agenda!J:J,MATCH(1,('Lançamentos- Credito Débito'!E225=Agenda!C:C)*('Lançamentos- Credito Débito'!G225=Agenda!G:G),0)))</f>
        <v>41862.24361356131</v>
      </c>
      <c r="P225" s="44">
        <f t="shared" ref="P225:P245" si="49">IF(J225="","",N225*J225)</f>
        <v>847.91029529063553</v>
      </c>
      <c r="Q225" s="64">
        <f t="shared" ref="Q225:Q245" si="50">IF(N225="","",N225+P225)</f>
        <v>41862.24361356131</v>
      </c>
      <c r="R225" s="14">
        <f t="array" ref="R225">IF(F225="","",INDEX(Agenda!L:L,MATCH(1,('Lançamentos- Credito Débito'!E225=Agenda!C:C)*('Lançamentos- Credito Débito'!F225=Agenda!I:I),0)))</f>
        <v>40423.03</v>
      </c>
      <c r="S225" s="14">
        <f t="shared" ref="S225:S245" si="51">IF(AND(F225=F224,J225&lt;&gt;""),S224+L225,L225)</f>
        <v>0</v>
      </c>
      <c r="T225" s="14">
        <f t="shared" ref="T225:T245" si="52">IF(R225="","",R225-S225)</f>
        <v>40423.03</v>
      </c>
      <c r="U225" s="62">
        <f t="shared" ref="U225:U245" si="53">IF(S225="","",T225/K225)</f>
        <v>51130.99</v>
      </c>
      <c r="V225" s="78">
        <f t="shared" ref="V225:V245" si="54">IFERROR(IF(F225=F224,V224,IF(F224&lt;&gt;"",U225+U224,0)),S225)</f>
        <v>0</v>
      </c>
    </row>
    <row r="226" spans="1:35" customFormat="1" x14ac:dyDescent="0.25">
      <c r="A226" s="45">
        <v>44074</v>
      </c>
      <c r="B226" s="33" t="s">
        <v>63</v>
      </c>
      <c r="C226" s="33" t="s">
        <v>26</v>
      </c>
      <c r="D226" s="34">
        <v>0</v>
      </c>
      <c r="E226" s="33" t="s">
        <v>5</v>
      </c>
      <c r="F226" s="30">
        <v>44346</v>
      </c>
      <c r="G226" s="33" t="s">
        <v>86</v>
      </c>
      <c r="H226" s="25">
        <f t="array" ref="H226">IFERROR(INDEX(Agenda!AA:AA,MATCH(1,('Lançamentos- Credito Débito'!E226=Agenda!C:C)*('Lançamentos- Credito Débito'!F226=Agenda!I:I),0)),"")</f>
        <v>6.6030548228668273E-4</v>
      </c>
      <c r="I226">
        <f t="shared" si="44"/>
        <v>31</v>
      </c>
      <c r="J226" s="35">
        <f t="shared" si="45"/>
        <v>2.0673511591932092E-2</v>
      </c>
      <c r="K226" s="40">
        <f t="array" ref="K226">INDEX(Agenda!AB:AB,MATCH(1,('Lançamentos- Credito Débito'!E226=Agenda!C:C)*('Lançamentos- Credito Débito'!F226=Agenda!I:I),0))</f>
        <v>0.79057788632686365</v>
      </c>
      <c r="L226" s="36">
        <f t="shared" si="46"/>
        <v>0</v>
      </c>
      <c r="M226" s="36">
        <f t="shared" si="47"/>
        <v>0</v>
      </c>
      <c r="N226" s="1">
        <f t="shared" si="48"/>
        <v>41862.24361356131</v>
      </c>
      <c r="O226" s="81">
        <f t="array" ref="O226">IF(OR(G226="Amortization",G226="Fim de Mês",G226="PDD"),(1+J226)*N226-D226,-INDEX(Agenda!J:J,MATCH(1,('Lançamentos- Credito Débito'!E226=Agenda!C:C)*('Lançamentos- Credito Débito'!G226=Agenda!G:G),0)))</f>
        <v>42727.683192170553</v>
      </c>
      <c r="P226" s="44">
        <f t="shared" si="49"/>
        <v>865.4395786092449</v>
      </c>
      <c r="Q226" s="64">
        <f t="shared" si="50"/>
        <v>42727.683192170553</v>
      </c>
      <c r="R226" s="14">
        <f t="array" ref="R226">IF(F226="","",INDEX(Agenda!L:L,MATCH(1,('Lançamentos- Credito Débito'!E226=Agenda!C:C)*('Lançamentos- Credito Débito'!F226=Agenda!I:I),0)))</f>
        <v>40423.03</v>
      </c>
      <c r="S226" s="14">
        <f t="shared" si="51"/>
        <v>0</v>
      </c>
      <c r="T226" s="14">
        <f t="shared" si="52"/>
        <v>40423.03</v>
      </c>
      <c r="U226" s="62">
        <f t="shared" si="53"/>
        <v>51130.99</v>
      </c>
      <c r="V226" s="78">
        <f t="shared" si="54"/>
        <v>0</v>
      </c>
    </row>
    <row r="227" spans="1:35" customFormat="1" x14ac:dyDescent="0.25">
      <c r="A227" s="45">
        <v>44104</v>
      </c>
      <c r="B227" s="33" t="s">
        <v>63</v>
      </c>
      <c r="C227" s="33" t="s">
        <v>26</v>
      </c>
      <c r="D227" s="34">
        <v>0</v>
      </c>
      <c r="E227" s="33" t="s">
        <v>5</v>
      </c>
      <c r="F227" s="30">
        <v>44346</v>
      </c>
      <c r="G227" s="33" t="s">
        <v>86</v>
      </c>
      <c r="H227" s="25">
        <f t="array" ref="H227">IFERROR(INDEX(Agenda!AA:AA,MATCH(1,('Lançamentos- Credito Débito'!E227=Agenda!C:C)*('Lançamentos- Credito Débito'!F227=Agenda!I:I),0)),"")</f>
        <v>6.6030548228668273E-4</v>
      </c>
      <c r="I227">
        <f t="shared" si="44"/>
        <v>30</v>
      </c>
      <c r="J227" s="35">
        <f t="shared" si="45"/>
        <v>1.9999999999999574E-2</v>
      </c>
      <c r="K227" s="40">
        <f t="array" ref="K227">INDEX(Agenda!AB:AB,MATCH(1,('Lançamentos- Credito Débito'!E227=Agenda!C:C)*('Lançamentos- Credito Débito'!F227=Agenda!I:I),0))</f>
        <v>0.79057788632686365</v>
      </c>
      <c r="L227" s="36">
        <f t="shared" si="46"/>
        <v>0</v>
      </c>
      <c r="M227" s="36">
        <f t="shared" si="47"/>
        <v>0</v>
      </c>
      <c r="N227" s="1">
        <f t="shared" si="48"/>
        <v>42727.683192170553</v>
      </c>
      <c r="O227" s="81">
        <f t="array" ref="O227">IF(OR(G227="Amortization",G227="Fim de Mês",G227="PDD"),(1+J227)*N227-D227,-INDEX(Agenda!J:J,MATCH(1,('Lançamentos- Credito Débito'!E227=Agenda!C:C)*('Lançamentos- Credito Débito'!G227=Agenda!G:G),0)))</f>
        <v>43582.236856013944</v>
      </c>
      <c r="P227" s="44">
        <f t="shared" si="49"/>
        <v>854.55366384339288</v>
      </c>
      <c r="Q227" s="64">
        <f t="shared" si="50"/>
        <v>43582.236856013944</v>
      </c>
      <c r="R227" s="14">
        <f t="array" ref="R227">IF(F227="","",INDEX(Agenda!L:L,MATCH(1,('Lançamentos- Credito Débito'!E227=Agenda!C:C)*('Lançamentos- Credito Débito'!F227=Agenda!I:I),0)))</f>
        <v>40423.03</v>
      </c>
      <c r="S227" s="14">
        <f t="shared" si="51"/>
        <v>0</v>
      </c>
      <c r="T227" s="14">
        <f t="shared" si="52"/>
        <v>40423.03</v>
      </c>
      <c r="U227" s="62">
        <f t="shared" si="53"/>
        <v>51130.99</v>
      </c>
      <c r="V227" s="78">
        <f t="shared" si="54"/>
        <v>0</v>
      </c>
    </row>
    <row r="228" spans="1:35" customFormat="1" x14ac:dyDescent="0.25">
      <c r="A228" s="45">
        <v>44135</v>
      </c>
      <c r="B228" s="33" t="s">
        <v>63</v>
      </c>
      <c r="C228" s="33" t="s">
        <v>26</v>
      </c>
      <c r="D228" s="34">
        <v>0</v>
      </c>
      <c r="E228" s="33" t="s">
        <v>5</v>
      </c>
      <c r="F228" s="30">
        <v>44346</v>
      </c>
      <c r="G228" s="33" t="s">
        <v>86</v>
      </c>
      <c r="H228" s="25">
        <f t="array" ref="H228">IFERROR(INDEX(Agenda!AA:AA,MATCH(1,('Lançamentos- Credito Débito'!E228=Agenda!C:C)*('Lançamentos- Credito Débito'!F228=Agenda!I:I),0)),"")</f>
        <v>6.6030548228668273E-4</v>
      </c>
      <c r="I228">
        <f t="shared" si="44"/>
        <v>31</v>
      </c>
      <c r="J228" s="35">
        <f t="shared" si="45"/>
        <v>2.0673511591932092E-2</v>
      </c>
      <c r="K228" s="40">
        <f t="array" ref="K228">INDEX(Agenda!AB:AB,MATCH(1,('Lançamentos- Credito Débito'!E228=Agenda!C:C)*('Lançamentos- Credito Débito'!F228=Agenda!I:I),0))</f>
        <v>0.79057788632686365</v>
      </c>
      <c r="L228" s="36">
        <f t="shared" si="46"/>
        <v>0</v>
      </c>
      <c r="M228" s="36">
        <f t="shared" si="47"/>
        <v>0</v>
      </c>
      <c r="N228" s="1">
        <f t="shared" si="48"/>
        <v>43582.236856013944</v>
      </c>
      <c r="O228" s="81">
        <f t="array" ref="O228">IF(OR(G228="Amortization",G228="Fim de Mês",G228="PDD"),(1+J228)*N228-D228,-INDEX(Agenda!J:J,MATCH(1,('Lançamentos- Credito Débito'!E228=Agenda!C:C)*('Lançamentos- Credito Débito'!G228=Agenda!G:G),0)))</f>
        <v>44483.234734859077</v>
      </c>
      <c r="P228" s="44">
        <f t="shared" si="49"/>
        <v>900.99787884513432</v>
      </c>
      <c r="Q228" s="64">
        <f t="shared" si="50"/>
        <v>44483.234734859077</v>
      </c>
      <c r="R228" s="14">
        <f t="array" ref="R228">IF(F228="","",INDEX(Agenda!L:L,MATCH(1,('Lançamentos- Credito Débito'!E228=Agenda!C:C)*('Lançamentos- Credito Débito'!F228=Agenda!I:I),0)))</f>
        <v>40423.03</v>
      </c>
      <c r="S228" s="14">
        <f t="shared" si="51"/>
        <v>0</v>
      </c>
      <c r="T228" s="14">
        <f t="shared" si="52"/>
        <v>40423.03</v>
      </c>
      <c r="U228" s="62">
        <f t="shared" si="53"/>
        <v>51130.99</v>
      </c>
      <c r="V228" s="78">
        <f t="shared" si="54"/>
        <v>0</v>
      </c>
    </row>
    <row r="229" spans="1:35" customFormat="1" x14ac:dyDescent="0.25">
      <c r="A229" s="45">
        <v>44165</v>
      </c>
      <c r="B229" s="33" t="s">
        <v>63</v>
      </c>
      <c r="C229" s="33" t="s">
        <v>26</v>
      </c>
      <c r="D229" s="34">
        <v>0</v>
      </c>
      <c r="E229" s="33" t="s">
        <v>5</v>
      </c>
      <c r="F229" s="30">
        <v>44346</v>
      </c>
      <c r="G229" s="33" t="s">
        <v>86</v>
      </c>
      <c r="H229" s="25">
        <f t="array" ref="H229">IFERROR(INDEX(Agenda!AA:AA,MATCH(1,('Lançamentos- Credito Débito'!E229=Agenda!C:C)*('Lançamentos- Credito Débito'!F229=Agenda!I:I),0)),"")</f>
        <v>6.6030548228668273E-4</v>
      </c>
      <c r="I229">
        <f t="shared" si="44"/>
        <v>30</v>
      </c>
      <c r="J229" s="35">
        <f t="shared" si="45"/>
        <v>1.9999999999999574E-2</v>
      </c>
      <c r="K229" s="40">
        <f t="array" ref="K229">INDEX(Agenda!AB:AB,MATCH(1,('Lançamentos- Credito Débito'!E229=Agenda!C:C)*('Lançamentos- Credito Débito'!F229=Agenda!I:I),0))</f>
        <v>0.79057788632686365</v>
      </c>
      <c r="L229" s="36">
        <f t="shared" si="46"/>
        <v>0</v>
      </c>
      <c r="M229" s="36">
        <f t="shared" si="47"/>
        <v>0</v>
      </c>
      <c r="N229" s="1">
        <f t="shared" si="48"/>
        <v>44483.234734859077</v>
      </c>
      <c r="O229" s="81">
        <f t="array" ref="O229">IF(OR(G229="Amortization",G229="Fim de Mês",G229="PDD"),(1+J229)*N229-D229,-INDEX(Agenda!J:J,MATCH(1,('Lançamentos- Credito Débito'!E229=Agenda!C:C)*('Lançamentos- Credito Débito'!G229=Agenda!G:G),0)))</f>
        <v>45372.899429556237</v>
      </c>
      <c r="P229" s="44">
        <f t="shared" si="49"/>
        <v>889.66469469716253</v>
      </c>
      <c r="Q229" s="64">
        <f t="shared" si="50"/>
        <v>45372.899429556237</v>
      </c>
      <c r="R229" s="14">
        <f t="array" ref="R229">IF(F229="","",INDEX(Agenda!L:L,MATCH(1,('Lançamentos- Credito Débito'!E229=Agenda!C:C)*('Lançamentos- Credito Débito'!F229=Agenda!I:I),0)))</f>
        <v>40423.03</v>
      </c>
      <c r="S229" s="14">
        <f t="shared" si="51"/>
        <v>0</v>
      </c>
      <c r="T229" s="14">
        <f t="shared" si="52"/>
        <v>40423.03</v>
      </c>
      <c r="U229" s="62">
        <f t="shared" si="53"/>
        <v>51130.99</v>
      </c>
      <c r="V229" s="78">
        <f t="shared" si="54"/>
        <v>0</v>
      </c>
    </row>
    <row r="230" spans="1:35" customFormat="1" x14ac:dyDescent="0.25">
      <c r="A230" s="45">
        <v>44196</v>
      </c>
      <c r="B230" s="33" t="s">
        <v>63</v>
      </c>
      <c r="C230" s="33" t="s">
        <v>26</v>
      </c>
      <c r="D230" s="34">
        <v>0</v>
      </c>
      <c r="E230" s="33" t="s">
        <v>5</v>
      </c>
      <c r="F230" s="30">
        <v>44346</v>
      </c>
      <c r="G230" s="33" t="s">
        <v>86</v>
      </c>
      <c r="H230" s="25">
        <f t="array" ref="H230">IFERROR(INDEX(Agenda!AA:AA,MATCH(1,('Lançamentos- Credito Débito'!E230=Agenda!C:C)*('Lançamentos- Credito Débito'!F230=Agenda!I:I),0)),"")</f>
        <v>6.6030548228668273E-4</v>
      </c>
      <c r="I230">
        <f t="shared" si="44"/>
        <v>31</v>
      </c>
      <c r="J230" s="35">
        <f t="shared" si="45"/>
        <v>2.0673511591932092E-2</v>
      </c>
      <c r="K230" s="40">
        <f t="array" ref="K230">INDEX(Agenda!AB:AB,MATCH(1,('Lançamentos- Credito Débito'!E230=Agenda!C:C)*('Lançamentos- Credito Débito'!F230=Agenda!I:I),0))</f>
        <v>0.79057788632686365</v>
      </c>
      <c r="L230" s="36">
        <f t="shared" si="46"/>
        <v>0</v>
      </c>
      <c r="M230" s="36">
        <f t="shared" si="47"/>
        <v>0</v>
      </c>
      <c r="N230" s="1">
        <f t="shared" si="48"/>
        <v>45372.899429556237</v>
      </c>
      <c r="O230" s="81">
        <f t="array" ref="O230">IF(OR(G230="Amortization",G230="Fim de Mês",G230="PDD"),(1+J230)*N230-D230,-INDEX(Agenda!J:J,MATCH(1,('Lançamentos- Credito Débito'!E230=Agenda!C:C)*('Lançamentos- Credito Débito'!G230=Agenda!G:G),0)))</f>
        <v>46310.916591872738</v>
      </c>
      <c r="P230" s="44">
        <f t="shared" si="49"/>
        <v>938.01716231649993</v>
      </c>
      <c r="Q230" s="64">
        <f t="shared" si="50"/>
        <v>46310.916591872738</v>
      </c>
      <c r="R230" s="14">
        <f t="array" ref="R230">IF(F230="","",INDEX(Agenda!L:L,MATCH(1,('Lançamentos- Credito Débito'!E230=Agenda!C:C)*('Lançamentos- Credito Débito'!F230=Agenda!I:I),0)))</f>
        <v>40423.03</v>
      </c>
      <c r="S230" s="14">
        <f t="shared" si="51"/>
        <v>0</v>
      </c>
      <c r="T230" s="14">
        <f t="shared" si="52"/>
        <v>40423.03</v>
      </c>
      <c r="U230" s="62">
        <f t="shared" si="53"/>
        <v>51130.99</v>
      </c>
      <c r="V230" s="78">
        <f t="shared" si="54"/>
        <v>0</v>
      </c>
    </row>
    <row r="231" spans="1:35" customFormat="1" x14ac:dyDescent="0.25">
      <c r="A231" s="45">
        <v>44227</v>
      </c>
      <c r="B231" s="33" t="s">
        <v>63</v>
      </c>
      <c r="C231" s="33" t="s">
        <v>26</v>
      </c>
      <c r="D231" s="34">
        <v>0</v>
      </c>
      <c r="E231" s="33" t="s">
        <v>5</v>
      </c>
      <c r="F231" s="30">
        <v>44346</v>
      </c>
      <c r="G231" s="33" t="s">
        <v>86</v>
      </c>
      <c r="H231" s="25">
        <f t="array" ref="H231">IFERROR(INDEX(Agenda!AA:AA,MATCH(1,('Lançamentos- Credito Débito'!E231=Agenda!C:C)*('Lançamentos- Credito Débito'!F231=Agenda!I:I),0)),"")</f>
        <v>6.6030548228668273E-4</v>
      </c>
      <c r="I231">
        <f t="shared" si="44"/>
        <v>31</v>
      </c>
      <c r="J231" s="35">
        <f t="shared" si="45"/>
        <v>2.0673511591932092E-2</v>
      </c>
      <c r="K231" s="40">
        <f t="array" ref="K231">INDEX(Agenda!AB:AB,MATCH(1,('Lançamentos- Credito Débito'!E231=Agenda!C:C)*('Lançamentos- Credito Débito'!F231=Agenda!I:I),0))</f>
        <v>0.79057788632686365</v>
      </c>
      <c r="L231" s="36">
        <f t="shared" si="46"/>
        <v>0</v>
      </c>
      <c r="M231" s="36">
        <f t="shared" si="47"/>
        <v>0</v>
      </c>
      <c r="N231" s="1">
        <f t="shared" si="48"/>
        <v>46310.916591872738</v>
      </c>
      <c r="O231" s="81">
        <f t="array" ref="O231">IF(OR(G231="Amortization",G231="Fim de Mês",G231="PDD"),(1+J231)*N231-D231,-INDEX(Agenda!J:J,MATCH(1,('Lançamentos- Credito Débito'!E231=Agenda!C:C)*('Lançamentos- Credito Débito'!G231=Agenda!G:G),0)))</f>
        <v>47268.325862867816</v>
      </c>
      <c r="P231" s="44">
        <f t="shared" si="49"/>
        <v>957.40927099508133</v>
      </c>
      <c r="Q231" s="64">
        <f t="shared" si="50"/>
        <v>47268.325862867816</v>
      </c>
      <c r="R231" s="14">
        <f t="array" ref="R231">IF(F231="","",INDEX(Agenda!L:L,MATCH(1,('Lançamentos- Credito Débito'!E231=Agenda!C:C)*('Lançamentos- Credito Débito'!F231=Agenda!I:I),0)))</f>
        <v>40423.03</v>
      </c>
      <c r="S231" s="14">
        <f t="shared" si="51"/>
        <v>0</v>
      </c>
      <c r="T231" s="14">
        <f t="shared" si="52"/>
        <v>40423.03</v>
      </c>
      <c r="U231" s="62">
        <f t="shared" si="53"/>
        <v>51130.99</v>
      </c>
      <c r="V231" s="78">
        <f t="shared" si="54"/>
        <v>0</v>
      </c>
    </row>
    <row r="232" spans="1:35" customFormat="1" x14ac:dyDescent="0.25">
      <c r="A232" s="45">
        <v>44255</v>
      </c>
      <c r="B232" s="33" t="s">
        <v>63</v>
      </c>
      <c r="C232" s="33" t="s">
        <v>26</v>
      </c>
      <c r="D232" s="34">
        <v>0</v>
      </c>
      <c r="E232" s="33" t="s">
        <v>5</v>
      </c>
      <c r="F232" s="30">
        <v>44346</v>
      </c>
      <c r="G232" s="33" t="s">
        <v>86</v>
      </c>
      <c r="H232" s="25">
        <f t="array" ref="H232">IFERROR(INDEX(Agenda!AA:AA,MATCH(1,('Lançamentos- Credito Débito'!E232=Agenda!C:C)*('Lançamentos- Credito Débito'!F232=Agenda!I:I),0)),"")</f>
        <v>6.6030548228668273E-4</v>
      </c>
      <c r="I232">
        <f t="shared" si="44"/>
        <v>28</v>
      </c>
      <c r="J232" s="35">
        <f t="shared" si="45"/>
        <v>1.8654309812680125E-2</v>
      </c>
      <c r="K232" s="40">
        <f t="array" ref="K232">INDEX(Agenda!AB:AB,MATCH(1,('Lançamentos- Credito Débito'!E232=Agenda!C:C)*('Lançamentos- Credito Débito'!F232=Agenda!I:I),0))</f>
        <v>0.79057788632686365</v>
      </c>
      <c r="L232" s="36">
        <f t="shared" si="46"/>
        <v>0</v>
      </c>
      <c r="M232" s="36">
        <f t="shared" si="47"/>
        <v>0</v>
      </c>
      <c r="N232" s="1">
        <f t="shared" si="48"/>
        <v>47268.325862867816</v>
      </c>
      <c r="O232" s="81">
        <f t="array" ref="O232">IF(OR(G232="Amortization",G232="Fim de Mês",G232="PDD"),(1+J232)*N232-D232,-INDEX(Agenda!J:J,MATCH(1,('Lançamentos- Credito Débito'!E232=Agenda!C:C)*('Lançamentos- Credito Débito'!G232=Agenda!G:G),0)))</f>
        <v>48150.083857840473</v>
      </c>
      <c r="P232" s="44">
        <f t="shared" si="49"/>
        <v>881.75799497265689</v>
      </c>
      <c r="Q232" s="64">
        <f t="shared" si="50"/>
        <v>48150.083857840473</v>
      </c>
      <c r="R232" s="14">
        <f t="array" ref="R232">IF(F232="","",INDEX(Agenda!L:L,MATCH(1,('Lançamentos- Credito Débito'!E232=Agenda!C:C)*('Lançamentos- Credito Débito'!F232=Agenda!I:I),0)))</f>
        <v>40423.03</v>
      </c>
      <c r="S232" s="14">
        <f t="shared" si="51"/>
        <v>0</v>
      </c>
      <c r="T232" s="14">
        <f t="shared" si="52"/>
        <v>40423.03</v>
      </c>
      <c r="U232" s="62">
        <f t="shared" si="53"/>
        <v>51130.99</v>
      </c>
      <c r="V232" s="78">
        <f t="shared" si="54"/>
        <v>0</v>
      </c>
    </row>
    <row r="233" spans="1:35" customFormat="1" x14ac:dyDescent="0.25">
      <c r="A233" s="45">
        <v>44286</v>
      </c>
      <c r="B233" s="33" t="s">
        <v>63</v>
      </c>
      <c r="C233" s="33" t="s">
        <v>26</v>
      </c>
      <c r="D233" s="34">
        <v>0</v>
      </c>
      <c r="E233" s="33" t="s">
        <v>5</v>
      </c>
      <c r="F233" s="30">
        <v>44346</v>
      </c>
      <c r="G233" s="33" t="s">
        <v>86</v>
      </c>
      <c r="H233" s="25">
        <f t="array" ref="H233">IFERROR(INDEX(Agenda!AA:AA,MATCH(1,('Lançamentos- Credito Débito'!E233=Agenda!C:C)*('Lançamentos- Credito Débito'!F233=Agenda!I:I),0)),"")</f>
        <v>6.6030548228668273E-4</v>
      </c>
      <c r="I233">
        <f t="shared" si="44"/>
        <v>31</v>
      </c>
      <c r="J233" s="35">
        <f t="shared" si="45"/>
        <v>2.0673511591932092E-2</v>
      </c>
      <c r="K233" s="40">
        <f t="array" ref="K233">INDEX(Agenda!AB:AB,MATCH(1,('Lançamentos- Credito Débito'!E233=Agenda!C:C)*('Lançamentos- Credito Débito'!F233=Agenda!I:I),0))</f>
        <v>0.79057788632686365</v>
      </c>
      <c r="L233" s="36">
        <f t="shared" si="46"/>
        <v>0</v>
      </c>
      <c r="M233" s="36">
        <f t="shared" si="47"/>
        <v>0</v>
      </c>
      <c r="N233" s="1">
        <f t="shared" si="48"/>
        <v>48150.083857840473</v>
      </c>
      <c r="O233" s="81">
        <f t="array" ref="O233">IF(OR(G233="Amortization",G233="Fim de Mês",G233="PDD"),(1+J233)*N233-D233,-INDEX(Agenda!J:J,MATCH(1,('Lançamentos- Credito Débito'!E233=Agenda!C:C)*('Lançamentos- Credito Débito'!G233=Agenda!G:G),0)))</f>
        <v>49145.515174628039</v>
      </c>
      <c r="P233" s="44">
        <f t="shared" si="49"/>
        <v>995.43131678756731</v>
      </c>
      <c r="Q233" s="64">
        <f t="shared" si="50"/>
        <v>49145.515174628039</v>
      </c>
      <c r="R233" s="14">
        <f t="array" ref="R233">IF(F233="","",INDEX(Agenda!L:L,MATCH(1,('Lançamentos- Credito Débito'!E233=Agenda!C:C)*('Lançamentos- Credito Débito'!F233=Agenda!I:I),0)))</f>
        <v>40423.03</v>
      </c>
      <c r="S233" s="14">
        <f t="shared" si="51"/>
        <v>0</v>
      </c>
      <c r="T233" s="14">
        <f t="shared" si="52"/>
        <v>40423.03</v>
      </c>
      <c r="U233" s="62">
        <f t="shared" si="53"/>
        <v>51130.99</v>
      </c>
      <c r="V233" s="78">
        <f t="shared" si="54"/>
        <v>0</v>
      </c>
    </row>
    <row r="234" spans="1:35" customFormat="1" x14ac:dyDescent="0.25">
      <c r="A234" s="30">
        <v>44316</v>
      </c>
      <c r="B234" s="33" t="s">
        <v>63</v>
      </c>
      <c r="C234" s="33" t="s">
        <v>26</v>
      </c>
      <c r="D234" s="34">
        <v>0</v>
      </c>
      <c r="E234" s="33" t="s">
        <v>5</v>
      </c>
      <c r="F234" s="30">
        <v>44346</v>
      </c>
      <c r="G234" s="33" t="s">
        <v>86</v>
      </c>
      <c r="H234" s="25">
        <f t="array" ref="H234">IFERROR(INDEX(Agenda!AA:AA,MATCH(1,('Lançamentos- Credito Débito'!E234=Agenda!C:C)*('Lançamentos- Credito Débito'!F234=Agenda!I:I),0)),"")</f>
        <v>6.6030548228668273E-4</v>
      </c>
      <c r="I234">
        <f t="shared" si="44"/>
        <v>30</v>
      </c>
      <c r="J234" s="35">
        <f t="shared" si="45"/>
        <v>1.9999999999999574E-2</v>
      </c>
      <c r="K234" s="40">
        <f t="array" ref="K234">INDEX(Agenda!AB:AB,MATCH(1,('Lançamentos- Credito Débito'!E234=Agenda!C:C)*('Lançamentos- Credito Débito'!F234=Agenda!I:I),0))</f>
        <v>0.79057788632686365</v>
      </c>
      <c r="L234" s="36">
        <f t="shared" si="46"/>
        <v>0</v>
      </c>
      <c r="M234" s="36">
        <f t="shared" si="47"/>
        <v>0</v>
      </c>
      <c r="N234" s="1">
        <f t="shared" si="48"/>
        <v>49145.515174628039</v>
      </c>
      <c r="O234" s="81">
        <f t="array" ref="O234">IF(OR(G234="Amortization",G234="Fim de Mês",G234="PDD"),(1+J234)*N234-D234,-INDEX(Agenda!J:J,MATCH(1,('Lançamentos- Credito Débito'!E234=Agenda!C:C)*('Lançamentos- Credito Débito'!G234=Agenda!G:G),0)))</f>
        <v>50128.425478120582</v>
      </c>
      <c r="P234" s="44">
        <f t="shared" si="49"/>
        <v>982.91030349253981</v>
      </c>
      <c r="Q234" s="64">
        <f t="shared" si="50"/>
        <v>50128.425478120582</v>
      </c>
      <c r="R234" s="14">
        <f t="array" ref="R234">IF(F234="","",INDEX(Agenda!L:L,MATCH(1,('Lançamentos- Credito Débito'!E234=Agenda!C:C)*('Lançamentos- Credito Débito'!F234=Agenda!I:I),0)))</f>
        <v>40423.03</v>
      </c>
      <c r="S234" s="14">
        <f t="shared" si="51"/>
        <v>0</v>
      </c>
      <c r="T234" s="14">
        <f t="shared" si="52"/>
        <v>40423.03</v>
      </c>
      <c r="U234" s="62">
        <f t="shared" si="53"/>
        <v>51130.99</v>
      </c>
      <c r="V234" s="78">
        <f t="shared" si="54"/>
        <v>0</v>
      </c>
    </row>
    <row r="235" spans="1:35" x14ac:dyDescent="0.25">
      <c r="A235" s="3">
        <v>44347</v>
      </c>
      <c r="B235" s="33" t="s">
        <v>100</v>
      </c>
      <c r="C235" s="33" t="s">
        <v>63</v>
      </c>
      <c r="D235" s="34">
        <v>0</v>
      </c>
      <c r="E235" s="33" t="s">
        <v>5</v>
      </c>
      <c r="F235" s="30">
        <v>44346</v>
      </c>
      <c r="G235" s="84" t="s">
        <v>100</v>
      </c>
      <c r="H235" s="25">
        <f t="array" ref="H235">IFERROR(INDEX(Agenda!AA:AA,MATCH(1,('Lançamentos- Credito Débito'!E235=Agenda!C:C)*('Lançamentos- Credito Débito'!F235=Agenda!I:I),0)),"")</f>
        <v>6.6030548228668273E-4</v>
      </c>
      <c r="I235">
        <f t="shared" si="44"/>
        <v>0</v>
      </c>
      <c r="J235" s="35">
        <f t="shared" si="45"/>
        <v>0</v>
      </c>
      <c r="K235" s="40">
        <f t="array" ref="K235">INDEX(Agenda!AB:AB,MATCH(1,('Lançamentos- Credito Débito'!E235=Agenda!C:C)*('Lançamentos- Credito Débito'!F235=Agenda!I:I),0))</f>
        <v>0.79057788632686365</v>
      </c>
      <c r="L235" s="36" t="str">
        <f t="shared" si="46"/>
        <v/>
      </c>
      <c r="M235" s="36">
        <f t="shared" si="47"/>
        <v>0</v>
      </c>
      <c r="N235" s="1">
        <f t="shared" si="48"/>
        <v>50128.425478120582</v>
      </c>
      <c r="O235" s="81">
        <f t="array" ref="O235">IF(OR(G235="Amortization",G235="Fim de Mês",G235="PDD"),(1+J235)*N235-D235,-INDEX(Agenda!J:J,MATCH(1,('Lançamentos- Credito Débito'!E235=Agenda!C:C)*('Lançamentos- Credito Débito'!G235=Agenda!G:G),0)))</f>
        <v>50128.425478120582</v>
      </c>
      <c r="P235" s="44">
        <f t="shared" si="49"/>
        <v>0</v>
      </c>
      <c r="Q235" s="64">
        <f t="shared" si="50"/>
        <v>50128.425478120582</v>
      </c>
      <c r="R235" s="14">
        <f t="array" ref="R235">IF(F235="","",INDEX(Agenda!L:L,MATCH(1,('Lançamentos- Credito Débito'!E235=Agenda!C:C)*('Lançamentos- Credito Débito'!F235=Agenda!I:I),0)))</f>
        <v>40423.03</v>
      </c>
      <c r="S235" s="14" t="e">
        <f t="shared" si="51"/>
        <v>#VALUE!</v>
      </c>
      <c r="T235" s="14" t="e">
        <f t="shared" si="52"/>
        <v>#VALUE!</v>
      </c>
      <c r="U235" s="62" t="e">
        <f t="shared" si="53"/>
        <v>#VALUE!</v>
      </c>
      <c r="V235" s="78">
        <f t="shared" si="54"/>
        <v>0</v>
      </c>
      <c r="W235" s="26"/>
      <c r="X235" s="26"/>
      <c r="Y235" s="26"/>
      <c r="Z235" s="26"/>
      <c r="AA235" s="26"/>
      <c r="AB235" s="14"/>
      <c r="AC235" s="14"/>
      <c r="AD235" s="14"/>
      <c r="AE235" s="16"/>
      <c r="AF235" s="14"/>
      <c r="AG235" s="32"/>
      <c r="AH235" s="14"/>
      <c r="AI235" s="14"/>
    </row>
    <row r="236" spans="1:35" x14ac:dyDescent="0.25">
      <c r="A236" s="3">
        <v>44347</v>
      </c>
      <c r="B236" s="33" t="s">
        <v>63</v>
      </c>
      <c r="C236" s="33" t="s">
        <v>26</v>
      </c>
      <c r="D236" s="34">
        <v>0</v>
      </c>
      <c r="E236" s="33" t="s">
        <v>5</v>
      </c>
      <c r="F236" s="30">
        <v>44346</v>
      </c>
      <c r="G236" s="33" t="s">
        <v>86</v>
      </c>
      <c r="H236" s="25">
        <f t="array" ref="H236">IFERROR(INDEX(Agenda!AA:AA,MATCH(1,('Lançamentos- Credito Débito'!E236=Agenda!C:C)*('Lançamentos- Credito Débito'!F236=Agenda!I:I),0)),"")</f>
        <v>6.6030548228668273E-4</v>
      </c>
      <c r="I236">
        <f t="shared" si="44"/>
        <v>0</v>
      </c>
      <c r="J236" s="35">
        <f t="shared" si="45"/>
        <v>0</v>
      </c>
      <c r="K236" s="40">
        <f t="array" ref="K236">INDEX(Agenda!AB:AB,MATCH(1,('Lançamentos- Credito Débito'!E236=Agenda!C:C)*('Lançamentos- Credito Débito'!F236=Agenda!I:I),0))</f>
        <v>0.79057788632686365</v>
      </c>
      <c r="L236" s="36">
        <f t="shared" si="46"/>
        <v>0</v>
      </c>
      <c r="M236" s="36">
        <f t="shared" si="47"/>
        <v>0</v>
      </c>
      <c r="N236" s="1">
        <f t="shared" si="48"/>
        <v>50128.425478120582</v>
      </c>
      <c r="O236" s="81">
        <f t="array" ref="O236">IF(OR(G236="Amortization",G236="Fim de Mês",G236="PDD"),(1+J236)*N236-D236,-INDEX(Agenda!J:J,MATCH(1,('Lançamentos- Credito Débito'!E236=Agenda!C:C)*('Lançamentos- Credito Débito'!G236=Agenda!G:G),0)))</f>
        <v>50128.425478120582</v>
      </c>
      <c r="P236" s="44">
        <f t="shared" si="49"/>
        <v>0</v>
      </c>
      <c r="Q236" s="64">
        <f t="shared" si="50"/>
        <v>50128.425478120582</v>
      </c>
      <c r="R236" s="14">
        <f t="array" ref="R236">IF(F236="","",INDEX(Agenda!L:L,MATCH(1,('Lançamentos- Credito Débito'!E236=Agenda!C:C)*('Lançamentos- Credito Débito'!F236=Agenda!I:I),0)))</f>
        <v>40423.03</v>
      </c>
      <c r="S236" s="14" t="e">
        <f t="shared" si="51"/>
        <v>#VALUE!</v>
      </c>
      <c r="T236" s="14" t="e">
        <f t="shared" si="52"/>
        <v>#VALUE!</v>
      </c>
      <c r="U236" s="62" t="e">
        <f t="shared" si="53"/>
        <v>#VALUE!</v>
      </c>
      <c r="V236" s="78">
        <f t="shared" si="54"/>
        <v>0</v>
      </c>
      <c r="W236" s="26"/>
      <c r="X236" s="26"/>
      <c r="Y236" s="26"/>
      <c r="Z236" s="26"/>
      <c r="AA236" s="26"/>
      <c r="AB236" s="14"/>
      <c r="AC236" s="14"/>
      <c r="AD236" s="14"/>
      <c r="AE236" s="16"/>
      <c r="AF236" s="14"/>
      <c r="AG236" s="32"/>
      <c r="AH236" s="14"/>
      <c r="AI236" s="14"/>
    </row>
    <row r="237" spans="1:35" x14ac:dyDescent="0.25">
      <c r="A237" s="3">
        <v>44377</v>
      </c>
      <c r="B237" s="33" t="s">
        <v>100</v>
      </c>
      <c r="C237" s="33" t="s">
        <v>63</v>
      </c>
      <c r="D237" s="34">
        <v>0</v>
      </c>
      <c r="E237" s="33" t="s">
        <v>5</v>
      </c>
      <c r="F237" s="30">
        <v>44346</v>
      </c>
      <c r="G237" s="84" t="s">
        <v>100</v>
      </c>
      <c r="H237" s="25">
        <f t="array" ref="H237">IFERROR(INDEX(Agenda!AA:AA,MATCH(1,('Lançamentos- Credito Débito'!E237=Agenda!C:C)*('Lançamentos- Credito Débito'!F237=Agenda!I:I),0)),"")</f>
        <v>6.6030548228668273E-4</v>
      </c>
      <c r="I237">
        <f>IF(OR(G237="Amortization",G237="Fim de Mês"),A237-A236,IF(G237="PDD",F237-A237+1,""))</f>
        <v>-30</v>
      </c>
      <c r="J237" s="35">
        <f t="shared" si="45"/>
        <v>-1.9607843137254499E-2</v>
      </c>
      <c r="K237" s="40">
        <f t="array" ref="K237">INDEX(Agenda!AB:AB,MATCH(1,('Lançamentos- Credito Débito'!E237=Agenda!C:C)*('Lançamentos- Credito Débito'!F237=Agenda!I:I),0))</f>
        <v>0.79057788632686365</v>
      </c>
      <c r="L237" s="36" t="str">
        <f t="shared" si="46"/>
        <v/>
      </c>
      <c r="M237" s="36">
        <f t="shared" si="47"/>
        <v>0</v>
      </c>
      <c r="N237" s="1">
        <f t="shared" si="48"/>
        <v>50128.425478120582</v>
      </c>
      <c r="O237" s="81">
        <f t="array" ref="O237">IF(OR(G237="Amortization",G237="Fim de Mês",G237="PDD"),(1+J237)*N237-D237,-INDEX(Agenda!J:J,MATCH(1,('Lançamentos- Credito Débito'!E237=Agenda!C:C)*('Lançamentos- Credito Débito'!G237=Agenda!G:G),0)))</f>
        <v>49145.515174628039</v>
      </c>
      <c r="P237" s="44">
        <f t="shared" si="49"/>
        <v>-982.91030349254027</v>
      </c>
      <c r="Q237" s="64">
        <f t="shared" si="50"/>
        <v>49145.515174628039</v>
      </c>
      <c r="R237" s="14">
        <f t="array" ref="R237">IF(F237="","",INDEX(Agenda!L:L,MATCH(1,('Lançamentos- Credito Débito'!E237=Agenda!C:C)*('Lançamentos- Credito Débito'!F237=Agenda!I:I),0)))</f>
        <v>40423.03</v>
      </c>
      <c r="S237" s="14" t="e">
        <f t="shared" si="51"/>
        <v>#VALUE!</v>
      </c>
      <c r="T237" s="14" t="e">
        <f t="shared" si="52"/>
        <v>#VALUE!</v>
      </c>
      <c r="U237" s="62" t="e">
        <f t="shared" si="53"/>
        <v>#VALUE!</v>
      </c>
      <c r="V237" s="78">
        <f t="shared" si="54"/>
        <v>0</v>
      </c>
      <c r="W237" s="26"/>
      <c r="X237" s="26"/>
      <c r="Y237" s="26"/>
      <c r="Z237" s="26"/>
      <c r="AA237" s="26"/>
      <c r="AB237" s="14"/>
      <c r="AC237" s="14"/>
      <c r="AD237" s="14"/>
      <c r="AE237" s="16"/>
      <c r="AF237" s="14"/>
      <c r="AG237" s="32"/>
      <c r="AH237" s="14"/>
      <c r="AI237" s="14"/>
    </row>
    <row r="238" spans="1:35" x14ac:dyDescent="0.25">
      <c r="A238" s="3">
        <v>44377</v>
      </c>
      <c r="B238" s="33" t="s">
        <v>63</v>
      </c>
      <c r="C238" s="33" t="s">
        <v>26</v>
      </c>
      <c r="D238" s="34">
        <v>0</v>
      </c>
      <c r="E238" s="33" t="s">
        <v>5</v>
      </c>
      <c r="F238" s="30">
        <v>44346</v>
      </c>
      <c r="G238" s="33" t="s">
        <v>86</v>
      </c>
      <c r="H238" s="25">
        <f t="array" ref="H238">IFERROR(INDEX(Agenda!AA:AA,MATCH(1,('Lançamentos- Credito Débito'!E238=Agenda!C:C)*('Lançamentos- Credito Débito'!F238=Agenda!I:I),0)),"")</f>
        <v>6.6030548228668273E-4</v>
      </c>
      <c r="I238">
        <f t="shared" si="44"/>
        <v>0</v>
      </c>
      <c r="J238" s="35">
        <f t="shared" si="45"/>
        <v>0</v>
      </c>
      <c r="K238" s="40">
        <f t="array" ref="K238">INDEX(Agenda!AB:AB,MATCH(1,('Lançamentos- Credito Débito'!E238=Agenda!C:C)*('Lançamentos- Credito Débito'!F238=Agenda!I:I),0))</f>
        <v>0.79057788632686365</v>
      </c>
      <c r="L238" s="36">
        <f t="shared" si="46"/>
        <v>0</v>
      </c>
      <c r="M238" s="36">
        <f t="shared" si="47"/>
        <v>0</v>
      </c>
      <c r="N238" s="1">
        <f t="shared" si="48"/>
        <v>49145.515174628039</v>
      </c>
      <c r="O238" s="81">
        <f t="array" ref="O238">IF(OR(G238="Amortization",G238="Fim de Mês",G238="PDD"),(1+J238)*N238-D238,-INDEX(Agenda!J:J,MATCH(1,('Lançamentos- Credito Débito'!E238=Agenda!C:C)*('Lançamentos- Credito Débito'!G238=Agenda!G:G),0)))</f>
        <v>49145.515174628039</v>
      </c>
      <c r="P238" s="44">
        <f t="shared" si="49"/>
        <v>0</v>
      </c>
      <c r="Q238" s="64">
        <f t="shared" si="50"/>
        <v>49145.515174628039</v>
      </c>
      <c r="R238" s="14">
        <f t="array" ref="R238">IF(F238="","",INDEX(Agenda!L:L,MATCH(1,('Lançamentos- Credito Débito'!E238=Agenda!C:C)*('Lançamentos- Credito Débito'!F238=Agenda!I:I),0)))</f>
        <v>40423.03</v>
      </c>
      <c r="S238" s="14" t="e">
        <f t="shared" si="51"/>
        <v>#VALUE!</v>
      </c>
      <c r="T238" s="14" t="e">
        <f t="shared" si="52"/>
        <v>#VALUE!</v>
      </c>
      <c r="U238" s="62" t="e">
        <f t="shared" si="53"/>
        <v>#VALUE!</v>
      </c>
      <c r="V238" s="78">
        <f t="shared" si="54"/>
        <v>0</v>
      </c>
      <c r="W238" s="26"/>
      <c r="X238" s="26"/>
      <c r="Y238" s="26"/>
      <c r="Z238" s="26"/>
      <c r="AA238" s="26"/>
      <c r="AB238" s="14"/>
      <c r="AC238" s="14"/>
      <c r="AD238" s="14"/>
      <c r="AE238" s="16"/>
      <c r="AF238" s="14"/>
      <c r="AG238" s="32"/>
      <c r="AH238" s="14"/>
      <c r="AI238" s="14"/>
    </row>
    <row r="239" spans="1:35" x14ac:dyDescent="0.25">
      <c r="A239" s="3">
        <v>44407</v>
      </c>
      <c r="B239" s="33" t="s">
        <v>100</v>
      </c>
      <c r="C239" s="33" t="s">
        <v>63</v>
      </c>
      <c r="D239" s="34">
        <v>0</v>
      </c>
      <c r="E239" s="33" t="s">
        <v>5</v>
      </c>
      <c r="F239" s="30">
        <v>44346</v>
      </c>
      <c r="G239" s="76" t="s">
        <v>100</v>
      </c>
      <c r="H239" s="25">
        <f t="array" ref="H239">IFERROR(INDEX(Agenda!AA:AA,MATCH(1,('Lançamentos- Credito Débito'!E239=Agenda!C:C)*('Lançamentos- Credito Débito'!F239=Agenda!I:I),0)),"")</f>
        <v>6.6030548228668273E-4</v>
      </c>
      <c r="I239">
        <f t="shared" si="44"/>
        <v>-60</v>
      </c>
      <c r="J239" s="35">
        <f t="shared" si="45"/>
        <v>-3.883121876201423E-2</v>
      </c>
      <c r="K239" s="40">
        <f t="array" ref="K239">INDEX(Agenda!AB:AB,MATCH(1,('Lançamentos- Credito Débito'!E239=Agenda!C:C)*('Lançamentos- Credito Débito'!F239=Agenda!I:I),0))</f>
        <v>0.79057788632686365</v>
      </c>
      <c r="L239" s="36" t="str">
        <f t="shared" si="46"/>
        <v/>
      </c>
      <c r="M239" s="36">
        <f t="shared" si="47"/>
        <v>0</v>
      </c>
      <c r="N239" s="1">
        <f t="shared" si="48"/>
        <v>49145.515174628039</v>
      </c>
      <c r="O239" s="81">
        <f t="array" ref="O239">IF(OR(G239="Amortization",G239="Fim de Mês",G239="PDD"),(1+J239)*N239-D239,-INDEX(Agenda!J:J,MATCH(1,('Lançamentos- Credito Débito'!E239=Agenda!C:C)*('Lançamentos- Credito Débito'!G239=Agenda!G:G),0)))</f>
        <v>47237.134923710168</v>
      </c>
      <c r="P239" s="44">
        <f t="shared" si="49"/>
        <v>-1908.3802509178713</v>
      </c>
      <c r="Q239" s="64">
        <f t="shared" si="50"/>
        <v>47237.134923710168</v>
      </c>
      <c r="R239" s="14">
        <f t="array" ref="R239">IF(F239="","",INDEX(Agenda!L:L,MATCH(1,('Lançamentos- Credito Débito'!E239=Agenda!C:C)*('Lançamentos- Credito Débito'!F239=Agenda!I:I),0)))</f>
        <v>40423.03</v>
      </c>
      <c r="S239" s="14" t="e">
        <f t="shared" si="51"/>
        <v>#VALUE!</v>
      </c>
      <c r="T239" s="14" t="e">
        <f t="shared" si="52"/>
        <v>#VALUE!</v>
      </c>
      <c r="U239" s="62" t="e">
        <f t="shared" si="53"/>
        <v>#VALUE!</v>
      </c>
      <c r="V239" s="78">
        <f t="shared" si="54"/>
        <v>0</v>
      </c>
      <c r="W239" s="26"/>
      <c r="X239" s="26"/>
      <c r="Y239" s="26"/>
      <c r="Z239" s="26"/>
      <c r="AA239" s="26"/>
      <c r="AB239" s="14"/>
      <c r="AC239" s="14"/>
      <c r="AD239" s="14"/>
      <c r="AE239" s="16"/>
      <c r="AF239" s="14"/>
      <c r="AG239" s="32"/>
      <c r="AH239" s="14"/>
      <c r="AI239" s="14"/>
    </row>
    <row r="240" spans="1:35" x14ac:dyDescent="0.25">
      <c r="A240" s="3">
        <v>44407</v>
      </c>
      <c r="B240" s="33" t="s">
        <v>63</v>
      </c>
      <c r="C240" s="33" t="s">
        <v>26</v>
      </c>
      <c r="D240" s="34">
        <v>0</v>
      </c>
      <c r="E240" s="33" t="s">
        <v>5</v>
      </c>
      <c r="F240" s="30">
        <v>44346</v>
      </c>
      <c r="G240" s="33" t="s">
        <v>86</v>
      </c>
      <c r="H240" s="25">
        <f t="array" ref="H240">IFERROR(INDEX(Agenda!AA:AA,MATCH(1,('Lançamentos- Credito Débito'!E240=Agenda!C:C)*('Lançamentos- Credito Débito'!F240=Agenda!I:I),0)),"")</f>
        <v>6.6030548228668273E-4</v>
      </c>
      <c r="I240">
        <f t="shared" si="44"/>
        <v>0</v>
      </c>
      <c r="J240" s="35">
        <f t="shared" si="45"/>
        <v>0</v>
      </c>
      <c r="K240" s="40">
        <f t="array" ref="K240">INDEX(Agenda!AB:AB,MATCH(1,('Lançamentos- Credito Débito'!E240=Agenda!C:C)*('Lançamentos- Credito Débito'!F240=Agenda!I:I),0))</f>
        <v>0.79057788632686365</v>
      </c>
      <c r="L240" s="36">
        <f t="shared" si="46"/>
        <v>0</v>
      </c>
      <c r="M240" s="36">
        <f t="shared" si="47"/>
        <v>0</v>
      </c>
      <c r="N240" s="1">
        <f t="shared" si="48"/>
        <v>47237.134923710168</v>
      </c>
      <c r="O240" s="81">
        <f t="array" ref="O240">IF(OR(G240="Amortization",G240="Fim de Mês",G240="PDD"),(1+J240)*N240-D240,-INDEX(Agenda!J:J,MATCH(1,('Lançamentos- Credito Débito'!E240=Agenda!C:C)*('Lançamentos- Credito Débito'!G240=Agenda!G:G),0)))</f>
        <v>47237.134923710168</v>
      </c>
      <c r="P240" s="44">
        <f t="shared" si="49"/>
        <v>0</v>
      </c>
      <c r="Q240" s="64">
        <f t="shared" si="50"/>
        <v>47237.134923710168</v>
      </c>
      <c r="R240" s="14">
        <f t="array" ref="R240">IF(F240="","",INDEX(Agenda!L:L,MATCH(1,('Lançamentos- Credito Débito'!E240=Agenda!C:C)*('Lançamentos- Credito Débito'!F240=Agenda!I:I),0)))</f>
        <v>40423.03</v>
      </c>
      <c r="S240" s="14" t="e">
        <f t="shared" si="51"/>
        <v>#VALUE!</v>
      </c>
      <c r="T240" s="14" t="e">
        <f t="shared" si="52"/>
        <v>#VALUE!</v>
      </c>
      <c r="U240" s="62" t="e">
        <f t="shared" si="53"/>
        <v>#VALUE!</v>
      </c>
      <c r="V240" s="78">
        <f t="shared" si="54"/>
        <v>0</v>
      </c>
    </row>
    <row r="241" spans="1:22" x14ac:dyDescent="0.25">
      <c r="A241" s="3">
        <v>44439</v>
      </c>
      <c r="B241" s="33" t="s">
        <v>100</v>
      </c>
      <c r="C241" s="33" t="s">
        <v>63</v>
      </c>
      <c r="D241" s="34">
        <v>0</v>
      </c>
      <c r="E241" s="33" t="s">
        <v>5</v>
      </c>
      <c r="F241" s="30">
        <v>44346</v>
      </c>
      <c r="G241" s="76" t="s">
        <v>100</v>
      </c>
      <c r="H241" s="25">
        <f t="array" ref="H241">IFERROR(INDEX(Agenda!AA:AA,MATCH(1,('Lançamentos- Credito Débito'!E241=Agenda!C:C)*('Lançamentos- Credito Débito'!F241=Agenda!I:I),0)),"")</f>
        <v>6.6030548228668273E-4</v>
      </c>
      <c r="I241">
        <f t="shared" si="44"/>
        <v>-92</v>
      </c>
      <c r="J241" s="35">
        <f t="shared" si="45"/>
        <v>-5.8920875177359E-2</v>
      </c>
      <c r="K241" s="40">
        <f t="array" ref="K241">INDEX(Agenda!AB:AB,MATCH(1,('Lançamentos- Credito Débito'!E241=Agenda!C:C)*('Lançamentos- Credito Débito'!F241=Agenda!I:I),0))</f>
        <v>0.79057788632686365</v>
      </c>
      <c r="L241" s="36" t="str">
        <f t="shared" si="46"/>
        <v/>
      </c>
      <c r="M241" s="36">
        <f t="shared" si="47"/>
        <v>0</v>
      </c>
      <c r="N241" s="1">
        <f t="shared" si="48"/>
        <v>47237.134923710168</v>
      </c>
      <c r="O241" s="81">
        <f t="array" ref="O241">IF(OR(G241="Amortization",G241="Fim de Mês",G241="PDD"),(1+J241)*N241-D241,-INDEX(Agenda!J:J,MATCH(1,('Lançamentos- Credito Débito'!E241=Agenda!C:C)*('Lançamentos- Credito Débito'!G241=Agenda!G:G),0)))</f>
        <v>44453.881593134174</v>
      </c>
      <c r="P241" s="44">
        <f t="shared" si="49"/>
        <v>-2783.2533305759925</v>
      </c>
      <c r="Q241" s="64">
        <f t="shared" si="50"/>
        <v>44453.881593134174</v>
      </c>
      <c r="R241" s="14">
        <f t="array" ref="R241">IF(F241="","",INDEX(Agenda!L:L,MATCH(1,('Lançamentos- Credito Débito'!E241=Agenda!C:C)*('Lançamentos- Credito Débito'!F241=Agenda!I:I),0)))</f>
        <v>40423.03</v>
      </c>
      <c r="S241" s="14" t="e">
        <f t="shared" si="51"/>
        <v>#VALUE!</v>
      </c>
      <c r="T241" s="14" t="e">
        <f t="shared" si="52"/>
        <v>#VALUE!</v>
      </c>
      <c r="U241" s="62" t="e">
        <f t="shared" si="53"/>
        <v>#VALUE!</v>
      </c>
      <c r="V241" s="78">
        <f t="shared" si="54"/>
        <v>0</v>
      </c>
    </row>
    <row r="242" spans="1:22" x14ac:dyDescent="0.25">
      <c r="A242" s="3">
        <v>44439</v>
      </c>
      <c r="B242" s="33" t="s">
        <v>63</v>
      </c>
      <c r="C242" s="33" t="s">
        <v>26</v>
      </c>
      <c r="D242" s="34">
        <v>0</v>
      </c>
      <c r="E242" s="33" t="s">
        <v>5</v>
      </c>
      <c r="F242" s="30">
        <v>44346</v>
      </c>
      <c r="G242" s="33" t="s">
        <v>86</v>
      </c>
      <c r="H242" s="25">
        <f t="array" ref="H242">IFERROR(INDEX(Agenda!AA:AA,MATCH(1,('Lançamentos- Credito Débito'!E242=Agenda!C:C)*('Lançamentos- Credito Débito'!F242=Agenda!I:I),0)),"")</f>
        <v>6.6030548228668273E-4</v>
      </c>
      <c r="I242">
        <f t="shared" si="44"/>
        <v>0</v>
      </c>
      <c r="J242" s="35">
        <f t="shared" si="45"/>
        <v>0</v>
      </c>
      <c r="K242" s="40">
        <f t="array" ref="K242">INDEX(Agenda!AB:AB,MATCH(1,('Lançamentos- Credito Débito'!E242=Agenda!C:C)*('Lançamentos- Credito Débito'!F242=Agenda!I:I),0))</f>
        <v>0.79057788632686365</v>
      </c>
      <c r="L242" s="36">
        <f t="shared" si="46"/>
        <v>0</v>
      </c>
      <c r="M242" s="36">
        <f t="shared" si="47"/>
        <v>0</v>
      </c>
      <c r="N242" s="1">
        <f t="shared" si="48"/>
        <v>44453.881593134174</v>
      </c>
      <c r="O242" s="81">
        <f t="array" ref="O242">IF(OR(G242="Amortization",G242="Fim de Mês",G242="PDD"),(1+J242)*N242-D242,-INDEX(Agenda!J:J,MATCH(1,('Lançamentos- Credito Débito'!E242=Agenda!C:C)*('Lançamentos- Credito Débito'!G242=Agenda!G:G),0)))</f>
        <v>44453.881593134174</v>
      </c>
      <c r="P242" s="44">
        <f t="shared" si="49"/>
        <v>0</v>
      </c>
      <c r="Q242" s="64">
        <f t="shared" si="50"/>
        <v>44453.881593134174</v>
      </c>
      <c r="R242" s="14">
        <f t="array" ref="R242">IF(F242="","",INDEX(Agenda!L:L,MATCH(1,('Lançamentos- Credito Débito'!E242=Agenda!C:C)*('Lançamentos- Credito Débito'!F242=Agenda!I:I),0)))</f>
        <v>40423.03</v>
      </c>
      <c r="S242" s="14" t="e">
        <f t="shared" si="51"/>
        <v>#VALUE!</v>
      </c>
      <c r="T242" s="14" t="e">
        <f t="shared" si="52"/>
        <v>#VALUE!</v>
      </c>
      <c r="U242" s="62" t="e">
        <f t="shared" si="53"/>
        <v>#VALUE!</v>
      </c>
      <c r="V242" s="78">
        <f t="shared" si="54"/>
        <v>0</v>
      </c>
    </row>
    <row r="243" spans="1:22" x14ac:dyDescent="0.25">
      <c r="A243" s="3">
        <v>44469</v>
      </c>
      <c r="B243" s="33" t="s">
        <v>100</v>
      </c>
      <c r="C243" s="33" t="s">
        <v>63</v>
      </c>
      <c r="D243" s="34">
        <v>0</v>
      </c>
      <c r="E243" s="33" t="s">
        <v>5</v>
      </c>
      <c r="F243" s="30">
        <v>44346</v>
      </c>
      <c r="G243" s="84" t="s">
        <v>100</v>
      </c>
      <c r="H243" s="25">
        <f t="array" ref="H243">IFERROR(INDEX(Agenda!AA:AA,MATCH(1,('Lançamentos- Credito Débito'!E243=Agenda!C:C)*('Lançamentos- Credito Débito'!F243=Agenda!I:I),0)),"")</f>
        <v>6.6030548228668273E-4</v>
      </c>
      <c r="I243">
        <f t="shared" si="44"/>
        <v>-122</v>
      </c>
      <c r="J243" s="35">
        <f t="shared" si="45"/>
        <v>-7.7373407036626207E-2</v>
      </c>
      <c r="K243" s="40">
        <f t="array" ref="K243">INDEX(Agenda!AB:AB,MATCH(1,('Lançamentos- Credito Débito'!E243=Agenda!C:C)*('Lançamentos- Credito Débito'!F243=Agenda!I:I),0))</f>
        <v>0.79057788632686365</v>
      </c>
      <c r="L243" s="36" t="str">
        <f t="shared" si="46"/>
        <v/>
      </c>
      <c r="M243" s="36">
        <f t="shared" si="47"/>
        <v>0</v>
      </c>
      <c r="N243" s="1">
        <f t="shared" si="48"/>
        <v>44453.881593134174</v>
      </c>
      <c r="O243" s="81">
        <f t="array" ref="O243">IF(OR(G243="Amortization",G243="Fim de Mês",G243="PDD"),(1+J243)*N243-D243,-INDEX(Agenda!J:J,MATCH(1,('Lançamentos- Credito Débito'!E243=Agenda!C:C)*('Lançamentos- Credito Débito'!G243=Agenda!G:G),0)))</f>
        <v>41014.333318270619</v>
      </c>
      <c r="P243" s="44">
        <f t="shared" si="49"/>
        <v>-3439.5482748635559</v>
      </c>
      <c r="Q243" s="64">
        <f t="shared" si="50"/>
        <v>41014.333318270619</v>
      </c>
      <c r="R243" s="14">
        <f t="array" ref="R243">IF(F243="","",INDEX(Agenda!L:L,MATCH(1,('Lançamentos- Credito Débito'!E243=Agenda!C:C)*('Lançamentos- Credito Débito'!F243=Agenda!I:I),0)))</f>
        <v>40423.03</v>
      </c>
      <c r="S243" s="14" t="e">
        <f t="shared" si="51"/>
        <v>#VALUE!</v>
      </c>
      <c r="T243" s="14" t="e">
        <f t="shared" si="52"/>
        <v>#VALUE!</v>
      </c>
      <c r="U243" s="62" t="e">
        <f t="shared" si="53"/>
        <v>#VALUE!</v>
      </c>
      <c r="V243" s="78">
        <f t="shared" si="54"/>
        <v>0</v>
      </c>
    </row>
    <row r="244" spans="1:22" x14ac:dyDescent="0.25">
      <c r="A244" s="3">
        <v>44469</v>
      </c>
      <c r="B244" s="33" t="s">
        <v>63</v>
      </c>
      <c r="C244" s="33" t="s">
        <v>26</v>
      </c>
      <c r="D244" s="34">
        <v>0</v>
      </c>
      <c r="E244" s="33" t="s">
        <v>5</v>
      </c>
      <c r="F244" s="30">
        <v>44346</v>
      </c>
      <c r="G244" s="33" t="s">
        <v>86</v>
      </c>
      <c r="H244" s="25">
        <f t="array" ref="H244">IFERROR(INDEX(Agenda!AA:AA,MATCH(1,('Lançamentos- Credito Débito'!E244=Agenda!C:C)*('Lançamentos- Credito Débito'!F244=Agenda!I:I),0)),"")</f>
        <v>6.6030548228668273E-4</v>
      </c>
      <c r="I244">
        <f t="shared" si="44"/>
        <v>0</v>
      </c>
      <c r="J244" s="35">
        <f t="shared" si="45"/>
        <v>0</v>
      </c>
      <c r="K244" s="40">
        <f t="array" ref="K244">INDEX(Agenda!AB:AB,MATCH(1,('Lançamentos- Credito Débito'!E244=Agenda!C:C)*('Lançamentos- Credito Débito'!F244=Agenda!I:I),0))</f>
        <v>0.79057788632686365</v>
      </c>
      <c r="L244" s="36">
        <f t="shared" si="46"/>
        <v>0</v>
      </c>
      <c r="M244" s="36">
        <f t="shared" si="47"/>
        <v>0</v>
      </c>
      <c r="N244" s="1">
        <f t="shared" si="48"/>
        <v>41014.333318270619</v>
      </c>
      <c r="O244" s="81">
        <f t="array" ref="O244">IF(OR(G244="Amortization",G244="Fim de Mês",G244="PDD"),(1+J244)*N244-D244,-INDEX(Agenda!J:J,MATCH(1,('Lançamentos- Credito Débito'!E244=Agenda!C:C)*('Lançamentos- Credito Débito'!G244=Agenda!G:G),0)))</f>
        <v>41014.333318270619</v>
      </c>
      <c r="P244" s="44">
        <f t="shared" si="49"/>
        <v>0</v>
      </c>
      <c r="Q244" s="64">
        <f t="shared" si="50"/>
        <v>41014.333318270619</v>
      </c>
      <c r="R244" s="14">
        <f t="array" ref="R244">IF(F244="","",INDEX(Agenda!L:L,MATCH(1,('Lançamentos- Credito Débito'!E244=Agenda!C:C)*('Lançamentos- Credito Débito'!F244=Agenda!I:I),0)))</f>
        <v>40423.03</v>
      </c>
      <c r="S244" s="14" t="e">
        <f t="shared" si="51"/>
        <v>#VALUE!</v>
      </c>
      <c r="T244" s="14" t="e">
        <f t="shared" si="52"/>
        <v>#VALUE!</v>
      </c>
      <c r="U244" s="62" t="e">
        <f t="shared" si="53"/>
        <v>#VALUE!</v>
      </c>
      <c r="V244" s="78">
        <f t="shared" si="54"/>
        <v>0</v>
      </c>
    </row>
    <row r="245" spans="1:22" x14ac:dyDescent="0.25">
      <c r="A245" s="3">
        <v>44500</v>
      </c>
      <c r="B245" s="33" t="s">
        <v>100</v>
      </c>
      <c r="C245" s="33" t="s">
        <v>63</v>
      </c>
      <c r="D245" s="34">
        <v>0</v>
      </c>
      <c r="E245" s="33" t="s">
        <v>5</v>
      </c>
      <c r="F245" s="30">
        <v>44346</v>
      </c>
      <c r="G245" s="76" t="s">
        <v>100</v>
      </c>
      <c r="H245" s="25">
        <f t="array" ref="H245">IFERROR(INDEX(Agenda!AA:AA,MATCH(1,('Lançamentos- Credito Débito'!E245=Agenda!C:C)*('Lançamentos- Credito Débito'!F245=Agenda!I:I),0)),"")</f>
        <v>6.6030548228668273E-4</v>
      </c>
      <c r="I245">
        <f t="shared" si="44"/>
        <v>-153</v>
      </c>
      <c r="J245" s="35">
        <f t="shared" si="45"/>
        <v>-9.6061000422785536E-2</v>
      </c>
      <c r="K245" s="40">
        <f t="array" ref="K245">INDEX(Agenda!AB:AB,MATCH(1,('Lançamentos- Credito Débito'!E245=Agenda!C:C)*('Lançamentos- Credito Débito'!F245=Agenda!I:I),0))</f>
        <v>0.79057788632686365</v>
      </c>
      <c r="L245" s="36" t="str">
        <f t="shared" si="46"/>
        <v/>
      </c>
      <c r="M245" s="36">
        <f t="shared" si="47"/>
        <v>0</v>
      </c>
      <c r="N245" s="1">
        <f t="shared" si="48"/>
        <v>41014.333318270619</v>
      </c>
      <c r="O245" s="81">
        <f t="array" ref="O245">IF(OR(G245="Amortization",G245="Fim de Mês",G245="PDD"),(1+J245)*N245-D245,-INDEX(Agenda!J:J,MATCH(1,('Lançamentos- Credito Débito'!E245=Agenda!C:C)*('Lançamentos- Credito Débito'!G245=Agenda!G:G),0)))</f>
        <v>37074.455428043955</v>
      </c>
      <c r="P245" s="44">
        <f t="shared" si="49"/>
        <v>-3939.8778902266608</v>
      </c>
      <c r="Q245" s="64">
        <f t="shared" si="50"/>
        <v>37074.455428043955</v>
      </c>
      <c r="R245" s="14">
        <f t="array" ref="R245">IF(F245="","",INDEX(Agenda!L:L,MATCH(1,('Lançamentos- Credito Débito'!E245=Agenda!C:C)*('Lançamentos- Credito Débito'!F245=Agenda!I:I),0)))</f>
        <v>40423.03</v>
      </c>
      <c r="S245" s="14" t="e">
        <f t="shared" si="51"/>
        <v>#VALUE!</v>
      </c>
      <c r="T245" s="14" t="e">
        <f t="shared" si="52"/>
        <v>#VALUE!</v>
      </c>
      <c r="U245" s="62" t="e">
        <f t="shared" si="53"/>
        <v>#VALUE!</v>
      </c>
      <c r="V245" s="78">
        <f t="shared" si="54"/>
        <v>0</v>
      </c>
    </row>
    <row r="246" spans="1:22" x14ac:dyDescent="0.25">
      <c r="A246" s="45">
        <v>44019</v>
      </c>
      <c r="B246" s="33" t="s">
        <v>20</v>
      </c>
      <c r="C246" s="33" t="s">
        <v>63</v>
      </c>
      <c r="D246" s="34">
        <v>103039.67</v>
      </c>
      <c r="E246" s="33" t="s">
        <v>2</v>
      </c>
      <c r="F246" s="33"/>
      <c r="G246" s="33" t="s">
        <v>50</v>
      </c>
      <c r="H246" s="25" t="str">
        <f t="array" ref="H246">IFERROR(INDEX(Agenda!AA:AA,MATCH(1,('Lançamentos- Credito Débito'!E246=Agenda!C:C)*('Lançamentos- Credito Débito'!F246=Agenda!I:I),0)),"")</f>
        <v/>
      </c>
      <c r="I246" t="str">
        <f t="shared" ref="I246:I247" si="55">IF(OR(G246="Amortization",G246="Fim de Mês"),A246-A245,IF(G246="PDD",F246-A246+1,""))</f>
        <v/>
      </c>
      <c r="J246" s="35" t="str">
        <f t="shared" ref="J246:J247" si="56">IFERROR((1+H246)^I246-1,"")</f>
        <v/>
      </c>
      <c r="K246" s="40" t="e">
        <f t="array" ref="K246">INDEX(Agenda!AB:AB,MATCH(1,('Lançamentos- Credito Débito'!E246=Agenda!C:C)*('Lançamentos- Credito Débito'!F246=Agenda!I:I),0))</f>
        <v>#N/A</v>
      </c>
      <c r="L246" s="36" t="str">
        <f t="shared" ref="L246:L247" si="57">IF(OR(G246="Amortization",G246="Fim de Mês"),K246*D246,"")</f>
        <v/>
      </c>
      <c r="M246" s="36" t="str">
        <f t="shared" ref="M246:M247" si="58">IF(J246="","",D246*(1-K246))</f>
        <v/>
      </c>
      <c r="N246" s="1" t="str">
        <f t="shared" ref="N246:N247" si="59">IF(E246=E245,O245,"")</f>
        <v/>
      </c>
      <c r="O246" s="81">
        <f t="array" ref="O246">IF(OR(G246="Amortization",G246="Fim de Mês",G246="PDD"),(1+J246)*N246-D246,-INDEX(Agenda!J:J,MATCH(1,('Lançamentos- Credito Débito'!E246=Agenda!C:C)*('Lançamentos- Credito Débito'!G246=Agenda!G:G),0)))</f>
        <v>103039.67</v>
      </c>
      <c r="P246" s="44" t="str">
        <f t="shared" ref="P246:P247" si="60">IF(J246="","",N246*J246)</f>
        <v/>
      </c>
      <c r="Q246" s="64" t="str">
        <f t="shared" ref="Q246:Q247" si="61">IF(N246="","",N246+P246)</f>
        <v/>
      </c>
      <c r="R246" s="14" t="str">
        <f t="array" ref="R246">IF(F246="","",INDEX(Agenda!L:L,MATCH(1,('Lançamentos- Credito Débito'!E246=Agenda!C:C)*('Lançamentos- Credito Débito'!F246=Agenda!I:I),0)))</f>
        <v/>
      </c>
      <c r="S246" s="14" t="str">
        <f t="shared" ref="S246:S247" si="62">IF(AND(F246=F245,J246&lt;&gt;""),S245+L246,L246)</f>
        <v/>
      </c>
      <c r="T246" s="14" t="str">
        <f t="shared" ref="T246:T247" si="63">IF(R246="","",R246-S246)</f>
        <v/>
      </c>
      <c r="U246" s="62" t="str">
        <f t="shared" ref="U246:U247" si="64">IF(S246="","",T246/K246)</f>
        <v/>
      </c>
      <c r="V246" s="78" t="str">
        <f t="shared" ref="V246:V247" si="65">IFERROR(IF(F246=F245,V245,IF(F245&lt;&gt;"",U246+U245,0)),S246)</f>
        <v/>
      </c>
    </row>
    <row r="247" spans="1:22" x14ac:dyDescent="0.25">
      <c r="A247" s="45">
        <v>44032</v>
      </c>
      <c r="B247" s="33" t="s">
        <v>63</v>
      </c>
      <c r="C247" s="33" t="s">
        <v>20</v>
      </c>
      <c r="D247" s="67">
        <v>666.93</v>
      </c>
      <c r="E247" s="33" t="s">
        <v>2</v>
      </c>
      <c r="F247" s="30">
        <v>44032</v>
      </c>
      <c r="G247" s="33" t="s">
        <v>51</v>
      </c>
      <c r="H247" s="25">
        <f t="array" ref="H247">IFERROR(INDEX(Agenda!AA:AA,MATCH(1,('Lançamentos- Credito Débito'!E247=Agenda!C:C)*('Lançamentos- Credito Débito'!F247=Agenda!I:I),0)),"")</f>
        <v>4.9641025393465377E-4</v>
      </c>
      <c r="I247">
        <f t="shared" si="55"/>
        <v>13</v>
      </c>
      <c r="J247" s="35">
        <f t="shared" si="56"/>
        <v>6.4725893350574548E-3</v>
      </c>
      <c r="K247" s="40">
        <f t="array" ref="K247">INDEX(Agenda!AB:AB,MATCH(1,('Lançamentos- Credito Débito'!E247=Agenda!C:C)*('Lançamentos- Credito Débito'!F247=Agenda!I:I),0))</f>
        <v>1.4994077339450918E-5</v>
      </c>
      <c r="L247" s="36">
        <f t="shared" si="57"/>
        <v>0.01</v>
      </c>
      <c r="M247" s="36">
        <f t="shared" si="58"/>
        <v>666.92</v>
      </c>
      <c r="N247" s="1">
        <f t="shared" si="59"/>
        <v>103039.67</v>
      </c>
      <c r="O247" s="81">
        <f t="array" ref="O247">IF(OR(G247="Amortization",G247="Fim de Mês",G247="PDD"),(1+J247)*N247-D247,-INDEX(Agenda!J:J,MATCH(1,('Lançamentos- Credito Débito'!E247=Agenda!C:C)*('Lançamentos- Credito Débito'!G247=Agenda!G:G),0)))</f>
        <v>103039.67346912985</v>
      </c>
      <c r="P247" s="44">
        <f t="shared" si="60"/>
        <v>666.93346912983952</v>
      </c>
      <c r="Q247" s="64">
        <f t="shared" si="61"/>
        <v>103706.60346912984</v>
      </c>
      <c r="R247" s="14">
        <f t="array" ref="R247">IF(F247="","",INDEX(Agenda!L:L,MATCH(1,('Lançamentos- Credito Débito'!E247=Agenda!C:C)*('Lançamentos- Credito Débito'!F247=Agenda!I:I),0)))</f>
        <v>0.01</v>
      </c>
      <c r="S247" s="14">
        <f t="shared" si="62"/>
        <v>0.01</v>
      </c>
      <c r="T247" s="14">
        <f t="shared" si="63"/>
        <v>0</v>
      </c>
      <c r="U247" s="62">
        <f t="shared" si="64"/>
        <v>0</v>
      </c>
      <c r="V247" s="78">
        <f t="shared" si="65"/>
        <v>0</v>
      </c>
    </row>
    <row r="248" spans="1:22" x14ac:dyDescent="0.25">
      <c r="A248" s="45">
        <v>44043</v>
      </c>
      <c r="B248" s="33" t="s">
        <v>63</v>
      </c>
      <c r="C248" s="33" t="s">
        <v>20</v>
      </c>
      <c r="D248" s="34">
        <v>0</v>
      </c>
      <c r="E248" s="33" t="s">
        <v>2</v>
      </c>
      <c r="F248" s="45">
        <v>44032</v>
      </c>
      <c r="G248" s="33" t="s">
        <v>86</v>
      </c>
      <c r="H248" s="25">
        <f t="array" ref="H248">IFERROR(INDEX(Agenda!AA:AA,MATCH(1,('Lançamentos- Credito Débito'!E248=Agenda!C:C)*('Lançamentos- Credito Débito'!F248=Agenda!I:I),0)),"")</f>
        <v>4.9641025393465377E-4</v>
      </c>
      <c r="I248">
        <f t="shared" ref="I247:I269" si="66">IF(OR(G248="Amortization",G248="Fim de Mês"),A248-A247,"")</f>
        <v>11</v>
      </c>
      <c r="J248" s="35">
        <f t="shared" ref="J246:J269" si="67">IFERROR((1+H248)^I248-1,"")</f>
        <v>5.4740862699960147E-3</v>
      </c>
      <c r="K248" s="40">
        <f t="array" ref="K248">INDEX(Agenda!AB:AB,MATCH(1,('Lançamentos- Credito Débito'!E248=Agenda!C:C)*('Lançamentos- Credito Débito'!F248=Agenda!I:I),0))</f>
        <v>1.4994077339450918E-5</v>
      </c>
      <c r="L248" s="36">
        <f t="shared" ref="L246:L269" si="68">IF(OR(G248="Amortization",G248="Fim de Mês"),K248*D248,"")</f>
        <v>0</v>
      </c>
      <c r="M248" s="36">
        <f t="shared" ref="M246:M269" si="69">IF(J248="","",D248*(1-K248))</f>
        <v>0</v>
      </c>
      <c r="N248" s="1">
        <f t="shared" ref="N247:N269" si="70">IF(E248=E247,O247,"")</f>
        <v>103039.67346912985</v>
      </c>
      <c r="O248" s="81">
        <f t="array" ref="O248">IF(OR(G248="Amortization",G248="Fim de Mês",G248="PDD"),(1+J248)*N248-D248,-INDEX(Agenda!J:J,MATCH(1,('Lançamentos- Credito Débito'!E248=Agenda!C:C)*('Lançamentos- Credito Débito'!G248=Agenda!G:G),0)))</f>
        <v>103603.72153093209</v>
      </c>
      <c r="P248" s="44">
        <f t="shared" ref="P246:P269" si="71">IF(J248="","",N248*J248)</f>
        <v>564.04806180223636</v>
      </c>
      <c r="Q248" s="64">
        <f t="shared" ref="Q246:Q269" si="72">IF(N248="","",N248+P248)</f>
        <v>103603.72153093209</v>
      </c>
      <c r="R248" s="14">
        <f t="array" ref="R248">IF(F248="","",INDEX(Agenda!L:L,MATCH(1,('Lançamentos- Credito Débito'!E248=Agenda!C:C)*('Lançamentos- Credito Débito'!F248=Agenda!I:I),0)))</f>
        <v>0.01</v>
      </c>
      <c r="S248" s="14">
        <f t="shared" ref="S247:S269" si="73">IF(AND(F248=F247,J248&lt;&gt;""),S247+L248,L248)</f>
        <v>0.01</v>
      </c>
      <c r="T248" s="14">
        <f t="shared" ref="T246:T269" si="74">IF(R248="","",R248-S248)</f>
        <v>0</v>
      </c>
      <c r="U248" s="62">
        <f t="shared" ref="U246:U269" si="75">IF(S248="","",T248/K248)</f>
        <v>0</v>
      </c>
      <c r="V248" s="78">
        <f t="shared" ref="V247:V269" si="76">IFERROR(IF(F248=F247,V247,IF(F247&lt;&gt;"",U248+U247,0)),S248)</f>
        <v>0</v>
      </c>
    </row>
    <row r="249" spans="1:22" x14ac:dyDescent="0.25">
      <c r="A249" s="45">
        <v>44063</v>
      </c>
      <c r="B249" s="33" t="s">
        <v>63</v>
      </c>
      <c r="C249" s="33" t="s">
        <v>20</v>
      </c>
      <c r="D249" s="67">
        <v>1597.52</v>
      </c>
      <c r="E249" s="33" t="s">
        <v>2</v>
      </c>
      <c r="F249" s="45">
        <v>44063</v>
      </c>
      <c r="G249" s="33" t="s">
        <v>51</v>
      </c>
      <c r="H249" s="25">
        <f t="array" ref="H249">IFERROR(INDEX(Agenda!AA:AA,MATCH(1,('Lançamentos- Credito Débito'!E249=Agenda!C:C)*('Lançamentos- Credito Débito'!F249=Agenda!I:I),0)),"")</f>
        <v>4.9641025393465377E-4</v>
      </c>
      <c r="I249">
        <f t="shared" si="66"/>
        <v>20</v>
      </c>
      <c r="J249" s="35">
        <f t="shared" si="67"/>
        <v>9.9751652227595411E-3</v>
      </c>
      <c r="K249" s="40">
        <f t="array" ref="K249">INDEX(Agenda!AB:AB,MATCH(1,('Lançamentos- Credito Débito'!E249=Agenda!C:C)*('Lançamentos- Credito Débito'!F249=Agenda!I:I),0))</f>
        <v>6.2597025389353498E-6</v>
      </c>
      <c r="L249" s="36">
        <f t="shared" si="68"/>
        <v>0.01</v>
      </c>
      <c r="M249" s="36">
        <f t="shared" si="69"/>
        <v>1597.51</v>
      </c>
      <c r="N249" s="1">
        <f t="shared" si="70"/>
        <v>103603.72153093209</v>
      </c>
      <c r="O249" s="81">
        <f t="array" ref="O249">IF(OR(G249="Amortization",G249="Fim de Mês",G249="PDD"),(1+J249)*N249-D249,-INDEX(Agenda!J:J,MATCH(1,('Lançamentos- Credito Débito'!E249=Agenda!C:C)*('Lançamentos- Credito Débito'!G249=Agenda!G:G),0)))</f>
        <v>103039.6657708959</v>
      </c>
      <c r="P249" s="44">
        <f t="shared" si="71"/>
        <v>1033.4642399638176</v>
      </c>
      <c r="Q249" s="64">
        <f t="shared" si="72"/>
        <v>104637.1857708959</v>
      </c>
      <c r="R249" s="14">
        <f t="array" ref="R249">IF(F249="","",INDEX(Agenda!L:L,MATCH(1,('Lançamentos- Credito Débito'!E249=Agenda!C:C)*('Lançamentos- Credito Débito'!F249=Agenda!I:I),0)))</f>
        <v>0.01</v>
      </c>
      <c r="S249" s="14">
        <f t="shared" si="73"/>
        <v>0.01</v>
      </c>
      <c r="T249" s="14">
        <f t="shared" si="74"/>
        <v>0</v>
      </c>
      <c r="U249" s="62">
        <f t="shared" si="75"/>
        <v>0</v>
      </c>
      <c r="V249" s="78">
        <f t="shared" si="76"/>
        <v>0</v>
      </c>
    </row>
    <row r="250" spans="1:22" x14ac:dyDescent="0.25">
      <c r="A250" s="45">
        <v>44074</v>
      </c>
      <c r="B250" s="33" t="s">
        <v>63</v>
      </c>
      <c r="C250" s="33" t="s">
        <v>20</v>
      </c>
      <c r="D250" s="34">
        <v>0</v>
      </c>
      <c r="E250" s="33" t="s">
        <v>2</v>
      </c>
      <c r="F250" s="45">
        <v>44063</v>
      </c>
      <c r="G250" s="33" t="s">
        <v>86</v>
      </c>
      <c r="H250" s="25">
        <f t="array" ref="H250">IFERROR(INDEX(Agenda!AA:AA,MATCH(1,('Lançamentos- Credito Débito'!E250=Agenda!C:C)*('Lançamentos- Credito Débito'!F250=Agenda!I:I),0)),"")</f>
        <v>4.9641025393465377E-4</v>
      </c>
      <c r="I250">
        <f t="shared" si="66"/>
        <v>11</v>
      </c>
      <c r="J250" s="35">
        <f t="shared" si="67"/>
        <v>5.4740862699960147E-3</v>
      </c>
      <c r="K250" s="40">
        <f t="array" ref="K250">INDEX(Agenda!AB:AB,MATCH(1,('Lançamentos- Credito Débito'!E250=Agenda!C:C)*('Lançamentos- Credito Débito'!F250=Agenda!I:I),0))</f>
        <v>6.2597025389353498E-6</v>
      </c>
      <c r="L250" s="36">
        <f t="shared" si="68"/>
        <v>0</v>
      </c>
      <c r="M250" s="36">
        <f t="shared" si="69"/>
        <v>0</v>
      </c>
      <c r="N250" s="1">
        <f t="shared" si="70"/>
        <v>103039.6657708959</v>
      </c>
      <c r="O250" s="81">
        <f t="array" ref="O250">IF(OR(G250="Amortization",G250="Fim de Mês",G250="PDD"),(1+J250)*N250-D250,-INDEX(Agenda!J:J,MATCH(1,('Lançamentos- Credito Débito'!E250=Agenda!C:C)*('Lançamentos- Credito Débito'!G250=Agenda!G:G),0)))</f>
        <v>103603.71379055733</v>
      </c>
      <c r="P250" s="44">
        <f t="shared" si="71"/>
        <v>564.04801966143953</v>
      </c>
      <c r="Q250" s="64">
        <f t="shared" si="72"/>
        <v>103603.71379055733</v>
      </c>
      <c r="R250" s="14">
        <f t="array" ref="R250">IF(F250="","",INDEX(Agenda!L:L,MATCH(1,('Lançamentos- Credito Débito'!E250=Agenda!C:C)*('Lançamentos- Credito Débito'!F250=Agenda!I:I),0)))</f>
        <v>0.01</v>
      </c>
      <c r="S250" s="14">
        <f t="shared" si="73"/>
        <v>0.01</v>
      </c>
      <c r="T250" s="14">
        <f t="shared" si="74"/>
        <v>0</v>
      </c>
      <c r="U250" s="62">
        <f t="shared" si="75"/>
        <v>0</v>
      </c>
      <c r="V250" s="78">
        <f t="shared" si="76"/>
        <v>0</v>
      </c>
    </row>
    <row r="251" spans="1:22" x14ac:dyDescent="0.25">
      <c r="A251" s="45">
        <v>44094</v>
      </c>
      <c r="B251" s="33" t="s">
        <v>63</v>
      </c>
      <c r="C251" s="33" t="s">
        <v>20</v>
      </c>
      <c r="D251" s="34">
        <v>11186.7</v>
      </c>
      <c r="E251" s="33" t="s">
        <v>2</v>
      </c>
      <c r="F251" s="45">
        <v>44094</v>
      </c>
      <c r="G251" s="33" t="s">
        <v>51</v>
      </c>
      <c r="H251" s="25">
        <f t="array" ref="H251">IFERROR(INDEX(Agenda!AA:AA,MATCH(1,('Lançamentos- Credito Débito'!E251=Agenda!C:C)*('Lançamentos- Credito Débito'!F251=Agenda!I:I),0)),"")</f>
        <v>4.9641025393465377E-4</v>
      </c>
      <c r="I251">
        <f t="shared" si="66"/>
        <v>20</v>
      </c>
      <c r="J251" s="35">
        <f t="shared" si="67"/>
        <v>9.9751652227595411E-3</v>
      </c>
      <c r="K251" s="40">
        <f t="array" ref="K251">INDEX(Agenda!AB:AB,MATCH(1,('Lançamentos- Credito Débito'!E251=Agenda!C:C)*('Lançamentos- Credito Débito'!F251=Agenda!I:I),0))</f>
        <v>0.85719470442579127</v>
      </c>
      <c r="L251" s="36">
        <f t="shared" si="68"/>
        <v>9589.18</v>
      </c>
      <c r="M251" s="36">
        <f t="shared" si="69"/>
        <v>1597.5200000000009</v>
      </c>
      <c r="N251" s="1">
        <f t="shared" si="70"/>
        <v>103603.71379055733</v>
      </c>
      <c r="O251" s="81">
        <f t="array" ref="O251">IF(OR(G251="Amortization",G251="Fim de Mês",G251="PDD"),(1+J251)*N251-D251,-INDEX(Agenda!J:J,MATCH(1,('Lançamentos- Credito Débito'!E251=Agenda!C:C)*('Lançamentos- Credito Débito'!G251=Agenda!G:G),0)))</f>
        <v>93450.47795330963</v>
      </c>
      <c r="P251" s="44">
        <f t="shared" si="71"/>
        <v>1033.4641627523006</v>
      </c>
      <c r="Q251" s="64">
        <f t="shared" si="72"/>
        <v>104637.17795330963</v>
      </c>
      <c r="R251" s="14">
        <f t="array" ref="R251">IF(F251="","",INDEX(Agenda!L:L,MATCH(1,('Lançamentos- Credito Débito'!E251=Agenda!C:C)*('Lançamentos- Credito Débito'!F251=Agenda!I:I),0)))</f>
        <v>9589.18</v>
      </c>
      <c r="S251" s="14">
        <f t="shared" si="73"/>
        <v>9589.18</v>
      </c>
      <c r="T251" s="14">
        <f t="shared" si="74"/>
        <v>0</v>
      </c>
      <c r="U251" s="62">
        <f t="shared" si="75"/>
        <v>0</v>
      </c>
      <c r="V251" s="78">
        <f t="shared" si="76"/>
        <v>0</v>
      </c>
    </row>
    <row r="252" spans="1:22" x14ac:dyDescent="0.25">
      <c r="A252" s="45">
        <v>44104</v>
      </c>
      <c r="B252" s="33" t="s">
        <v>63</v>
      </c>
      <c r="C252" s="33" t="s">
        <v>20</v>
      </c>
      <c r="D252" s="34">
        <v>0</v>
      </c>
      <c r="E252" s="33" t="s">
        <v>2</v>
      </c>
      <c r="F252" s="45">
        <v>44094</v>
      </c>
      <c r="G252" s="33" t="s">
        <v>86</v>
      </c>
      <c r="H252" s="25">
        <f t="array" ref="H252">IFERROR(INDEX(Agenda!AA:AA,MATCH(1,('Lançamentos- Credito Débito'!E252=Agenda!C:C)*('Lançamentos- Credito Débito'!F252=Agenda!I:I),0)),"")</f>
        <v>4.9641025393465377E-4</v>
      </c>
      <c r="I252">
        <f t="shared" si="66"/>
        <v>10</v>
      </c>
      <c r="J252" s="35">
        <f t="shared" si="67"/>
        <v>4.9752062726520219E-3</v>
      </c>
      <c r="K252" s="40">
        <f t="array" ref="K252">INDEX(Agenda!AB:AB,MATCH(1,('Lançamentos- Credito Débito'!E252=Agenda!C:C)*('Lançamentos- Credito Débito'!F252=Agenda!I:I),0))</f>
        <v>0.85719470442579127</v>
      </c>
      <c r="L252" s="36">
        <f t="shared" si="68"/>
        <v>0</v>
      </c>
      <c r="M252" s="36">
        <f t="shared" si="69"/>
        <v>0</v>
      </c>
      <c r="N252" s="1">
        <f t="shared" si="70"/>
        <v>93450.47795330963</v>
      </c>
      <c r="O252" s="81">
        <f t="array" ref="O252">IF(OR(G252="Amortization",G252="Fim de Mês",G252="PDD"),(1+J252)*N252-D252,-INDEX(Agenda!J:J,MATCH(1,('Lançamentos- Credito Débito'!E252=Agenda!C:C)*('Lançamentos- Credito Débito'!G252=Agenda!G:G),0)))</f>
        <v>93915.413357405268</v>
      </c>
      <c r="P252" s="44">
        <f t="shared" si="71"/>
        <v>464.93540409563553</v>
      </c>
      <c r="Q252" s="64">
        <f t="shared" si="72"/>
        <v>93915.413357405268</v>
      </c>
      <c r="R252" s="14">
        <f t="array" ref="R252">IF(F252="","",INDEX(Agenda!L:L,MATCH(1,('Lançamentos- Credito Débito'!E252=Agenda!C:C)*('Lançamentos- Credito Débito'!F252=Agenda!I:I),0)))</f>
        <v>9589.18</v>
      </c>
      <c r="S252" s="14">
        <f t="shared" si="73"/>
        <v>9589.18</v>
      </c>
      <c r="T252" s="14">
        <f t="shared" si="74"/>
        <v>0</v>
      </c>
      <c r="U252" s="62">
        <f t="shared" si="75"/>
        <v>0</v>
      </c>
      <c r="V252" s="78">
        <f t="shared" si="76"/>
        <v>0</v>
      </c>
    </row>
    <row r="253" spans="1:22" x14ac:dyDescent="0.25">
      <c r="A253" s="45">
        <v>44124</v>
      </c>
      <c r="B253" s="33" t="s">
        <v>63</v>
      </c>
      <c r="C253" s="33" t="s">
        <v>20</v>
      </c>
      <c r="D253" s="34">
        <v>11186.7</v>
      </c>
      <c r="E253" s="33" t="s">
        <v>2</v>
      </c>
      <c r="F253" s="45">
        <v>44124</v>
      </c>
      <c r="G253" s="33" t="s">
        <v>51</v>
      </c>
      <c r="H253" s="25">
        <f t="array" ref="H253">IFERROR(INDEX(Agenda!AA:AA,MATCH(1,('Lançamentos- Credito Débito'!E253=Agenda!C:C)*('Lançamentos- Credito Débito'!F253=Agenda!I:I),0)),"")</f>
        <v>4.9641025393465377E-4</v>
      </c>
      <c r="I253">
        <f t="shared" si="66"/>
        <v>20</v>
      </c>
      <c r="J253" s="35">
        <f t="shared" si="67"/>
        <v>9.9751652227595411E-3</v>
      </c>
      <c r="K253" s="40">
        <f t="array" ref="K253">INDEX(Agenda!AB:AB,MATCH(1,('Lançamentos- Credito Débito'!E253=Agenda!C:C)*('Lançamentos- Credito Débito'!F253=Agenda!I:I),0))</f>
        <v>0.87469405633475461</v>
      </c>
      <c r="L253" s="36">
        <f t="shared" si="68"/>
        <v>9784.94</v>
      </c>
      <c r="M253" s="36">
        <f t="shared" si="69"/>
        <v>1401.7600000000007</v>
      </c>
      <c r="N253" s="1">
        <f t="shared" si="70"/>
        <v>93915.413357405268</v>
      </c>
      <c r="O253" s="81">
        <f t="array" ref="O253">IF(OR(G253="Amortization",G253="Fim de Mês",G253="PDD"),(1+J253)*N253-D253,-INDEX(Agenda!J:J,MATCH(1,('Lançamentos- Credito Débito'!E253=Agenda!C:C)*('Lançamentos- Credito Débito'!G253=Agenda!G:G),0)))</f>
        <v>83665.535122609144</v>
      </c>
      <c r="P253" s="44">
        <f t="shared" si="71"/>
        <v>936.82176520387588</v>
      </c>
      <c r="Q253" s="64">
        <f t="shared" si="72"/>
        <v>94852.235122609141</v>
      </c>
      <c r="R253" s="14">
        <f t="array" ref="R253">IF(F253="","",INDEX(Agenda!L:L,MATCH(1,('Lançamentos- Credito Débito'!E253=Agenda!C:C)*('Lançamentos- Credito Débito'!F253=Agenda!I:I),0)))</f>
        <v>9784.94</v>
      </c>
      <c r="S253" s="14">
        <f t="shared" si="73"/>
        <v>9784.94</v>
      </c>
      <c r="T253" s="14">
        <f t="shared" si="74"/>
        <v>0</v>
      </c>
      <c r="U253" s="62">
        <f t="shared" si="75"/>
        <v>0</v>
      </c>
      <c r="V253" s="78">
        <f t="shared" si="76"/>
        <v>0</v>
      </c>
    </row>
    <row r="254" spans="1:22" x14ac:dyDescent="0.25">
      <c r="A254" s="45">
        <v>44135</v>
      </c>
      <c r="B254" s="33" t="s">
        <v>63</v>
      </c>
      <c r="C254" s="33" t="s">
        <v>20</v>
      </c>
      <c r="D254" s="34">
        <v>0</v>
      </c>
      <c r="E254" s="33" t="s">
        <v>2</v>
      </c>
      <c r="F254" s="45">
        <v>44124</v>
      </c>
      <c r="G254" s="33" t="s">
        <v>86</v>
      </c>
      <c r="H254" s="25">
        <f t="array" ref="H254">IFERROR(INDEX(Agenda!AA:AA,MATCH(1,('Lançamentos- Credito Débito'!E254=Agenda!C:C)*('Lançamentos- Credito Débito'!F254=Agenda!I:I),0)),"")</f>
        <v>4.9641025393465377E-4</v>
      </c>
      <c r="I254">
        <f t="shared" si="66"/>
        <v>11</v>
      </c>
      <c r="J254" s="35">
        <f t="shared" si="67"/>
        <v>5.4740862699960147E-3</v>
      </c>
      <c r="K254" s="40">
        <f t="array" ref="K254">INDEX(Agenda!AB:AB,MATCH(1,('Lançamentos- Credito Débito'!E254=Agenda!C:C)*('Lançamentos- Credito Débito'!F254=Agenda!I:I),0))</f>
        <v>0.87469405633475461</v>
      </c>
      <c r="L254" s="36">
        <f t="shared" si="68"/>
        <v>0</v>
      </c>
      <c r="M254" s="36">
        <f t="shared" si="69"/>
        <v>0</v>
      </c>
      <c r="N254" s="1">
        <f t="shared" si="70"/>
        <v>83665.535122609144</v>
      </c>
      <c r="O254" s="81">
        <f t="array" ref="O254">IF(OR(G254="Amortization",G254="Fim de Mês",G254="PDD"),(1+J254)*N254-D254,-INDEX(Agenda!J:J,MATCH(1,('Lançamentos- Credito Débito'!E254=Agenda!C:C)*('Lançamentos- Credito Débito'!G254=Agenda!G:G),0)))</f>
        <v>84123.527479695695</v>
      </c>
      <c r="P254" s="44">
        <f t="shared" si="71"/>
        <v>457.99235708654408</v>
      </c>
      <c r="Q254" s="64">
        <f t="shared" si="72"/>
        <v>84123.527479695695</v>
      </c>
      <c r="R254" s="14">
        <f t="array" ref="R254">IF(F254="","",INDEX(Agenda!L:L,MATCH(1,('Lançamentos- Credito Débito'!E254=Agenda!C:C)*('Lançamentos- Credito Débito'!F254=Agenda!I:I),0)))</f>
        <v>9784.94</v>
      </c>
      <c r="S254" s="14">
        <f t="shared" si="73"/>
        <v>9784.94</v>
      </c>
      <c r="T254" s="14">
        <f t="shared" si="74"/>
        <v>0</v>
      </c>
      <c r="U254" s="62">
        <f t="shared" si="75"/>
        <v>0</v>
      </c>
      <c r="V254" s="78">
        <f t="shared" si="76"/>
        <v>0</v>
      </c>
    </row>
    <row r="255" spans="1:22" x14ac:dyDescent="0.25">
      <c r="A255" s="45">
        <v>44155</v>
      </c>
      <c r="B255" s="33" t="s">
        <v>63</v>
      </c>
      <c r="C255" s="33" t="s">
        <v>20</v>
      </c>
      <c r="D255" s="34">
        <v>11186.7</v>
      </c>
      <c r="E255" s="33" t="s">
        <v>2</v>
      </c>
      <c r="F255" s="45">
        <v>44155</v>
      </c>
      <c r="G255" s="33" t="s">
        <v>51</v>
      </c>
      <c r="H255" s="25">
        <f t="array" ref="H255">IFERROR(INDEX(Agenda!AA:AA,MATCH(1,('Lançamentos- Credito Débito'!E255=Agenda!C:C)*('Lançamentos- Credito Débito'!F255=Agenda!I:I),0)),"")</f>
        <v>4.9641025393465377E-4</v>
      </c>
      <c r="I255">
        <f t="shared" si="66"/>
        <v>20</v>
      </c>
      <c r="J255" s="35">
        <f t="shared" si="67"/>
        <v>9.9751652227595411E-3</v>
      </c>
      <c r="K255" s="40">
        <f t="array" ref="K255">INDEX(Agenda!AB:AB,MATCH(1,('Lançamentos- Credito Débito'!E255=Agenda!C:C)*('Lançamentos- Credito Débito'!F255=Agenda!I:I),0))</f>
        <v>0.8840462334736785</v>
      </c>
      <c r="L255" s="36">
        <f t="shared" si="68"/>
        <v>9889.56</v>
      </c>
      <c r="M255" s="36">
        <f t="shared" si="69"/>
        <v>1297.1400000000008</v>
      </c>
      <c r="N255" s="1">
        <f t="shared" si="70"/>
        <v>84123.527479695695</v>
      </c>
      <c r="O255" s="81">
        <f t="array" ref="O255">IF(OR(G255="Amortization",G255="Fim de Mês",G255="PDD"),(1+J255)*N255-D255,-INDEX(Agenda!J:J,MATCH(1,('Lançamentos- Credito Débito'!E255=Agenda!C:C)*('Lançamentos- Credito Débito'!G255=Agenda!G:G),0)))</f>
        <v>73775.973565427019</v>
      </c>
      <c r="P255" s="44">
        <f t="shared" si="71"/>
        <v>839.14608573131704</v>
      </c>
      <c r="Q255" s="64">
        <f t="shared" si="72"/>
        <v>84962.673565427016</v>
      </c>
      <c r="R255" s="14">
        <f t="array" ref="R255">IF(F255="","",INDEX(Agenda!L:L,MATCH(1,('Lançamentos- Credito Débito'!E255=Agenda!C:C)*('Lançamentos- Credito Débito'!F255=Agenda!I:I),0)))</f>
        <v>9889.56</v>
      </c>
      <c r="S255" s="14">
        <f t="shared" si="73"/>
        <v>9889.56</v>
      </c>
      <c r="T255" s="14">
        <f t="shared" si="74"/>
        <v>0</v>
      </c>
      <c r="U255" s="62">
        <f t="shared" si="75"/>
        <v>0</v>
      </c>
      <c r="V255" s="78">
        <f t="shared" si="76"/>
        <v>0</v>
      </c>
    </row>
    <row r="256" spans="1:22" x14ac:dyDescent="0.25">
      <c r="A256" s="45">
        <v>44165</v>
      </c>
      <c r="B256" s="33" t="s">
        <v>63</v>
      </c>
      <c r="C256" s="33" t="s">
        <v>20</v>
      </c>
      <c r="D256" s="34">
        <v>0</v>
      </c>
      <c r="E256" s="33" t="s">
        <v>2</v>
      </c>
      <c r="F256" s="45">
        <v>44155</v>
      </c>
      <c r="G256" s="33" t="s">
        <v>86</v>
      </c>
      <c r="H256" s="25">
        <f t="array" ref="H256">IFERROR(INDEX(Agenda!AA:AA,MATCH(1,('Lançamentos- Credito Débito'!E256=Agenda!C:C)*('Lançamentos- Credito Débito'!F256=Agenda!I:I),0)),"")</f>
        <v>4.9641025393465377E-4</v>
      </c>
      <c r="I256">
        <f t="shared" si="66"/>
        <v>10</v>
      </c>
      <c r="J256" s="35">
        <f t="shared" si="67"/>
        <v>4.9752062726520219E-3</v>
      </c>
      <c r="K256" s="40">
        <f t="array" ref="K256">INDEX(Agenda!AB:AB,MATCH(1,('Lançamentos- Credito Débito'!E256=Agenda!C:C)*('Lançamentos- Credito Débito'!F256=Agenda!I:I),0))</f>
        <v>0.8840462334736785</v>
      </c>
      <c r="L256" s="36">
        <f t="shared" si="68"/>
        <v>0</v>
      </c>
      <c r="M256" s="36">
        <f t="shared" si="69"/>
        <v>0</v>
      </c>
      <c r="N256" s="1">
        <f t="shared" si="70"/>
        <v>73775.973565427019</v>
      </c>
      <c r="O256" s="81">
        <f t="array" ref="O256">IF(OR(G256="Amortization",G256="Fim de Mês",G256="PDD"),(1+J256)*N256-D256,-INDEX(Agenda!J:J,MATCH(1,('Lançamentos- Credito Débito'!E256=Agenda!C:C)*('Lançamentos- Credito Débito'!G256=Agenda!G:G),0)))</f>
        <v>74143.024251880735</v>
      </c>
      <c r="P256" s="44">
        <f t="shared" si="71"/>
        <v>367.05068645372228</v>
      </c>
      <c r="Q256" s="64">
        <f t="shared" si="72"/>
        <v>74143.024251880735</v>
      </c>
      <c r="R256" s="14">
        <f t="array" ref="R256">IF(F256="","",INDEX(Agenda!L:L,MATCH(1,('Lançamentos- Credito Débito'!E256=Agenda!C:C)*('Lançamentos- Credito Débito'!F256=Agenda!I:I),0)))</f>
        <v>9889.56</v>
      </c>
      <c r="S256" s="14">
        <f t="shared" si="73"/>
        <v>9889.56</v>
      </c>
      <c r="T256" s="14">
        <f t="shared" si="74"/>
        <v>0</v>
      </c>
      <c r="U256" s="62">
        <f t="shared" si="75"/>
        <v>0</v>
      </c>
      <c r="V256" s="78">
        <f t="shared" si="76"/>
        <v>0</v>
      </c>
    </row>
    <row r="257" spans="1:22" x14ac:dyDescent="0.25">
      <c r="A257" s="45">
        <v>44185</v>
      </c>
      <c r="B257" s="33" t="s">
        <v>63</v>
      </c>
      <c r="C257" s="33" t="s">
        <v>20</v>
      </c>
      <c r="D257" s="34">
        <v>11186.7</v>
      </c>
      <c r="E257" s="33" t="s">
        <v>2</v>
      </c>
      <c r="F257" s="45">
        <v>44185</v>
      </c>
      <c r="G257" s="33" t="s">
        <v>51</v>
      </c>
      <c r="H257" s="25">
        <f t="array" ref="H257">IFERROR(INDEX(Agenda!AA:AA,MATCH(1,('Lançamentos- Credito Débito'!E257=Agenda!C:C)*('Lançamentos- Credito Débito'!F257=Agenda!I:I),0)),"")</f>
        <v>4.9641025393465377E-4</v>
      </c>
      <c r="I257">
        <f t="shared" si="66"/>
        <v>20</v>
      </c>
      <c r="J257" s="35">
        <f t="shared" si="67"/>
        <v>9.9751652227595411E-3</v>
      </c>
      <c r="K257" s="40">
        <f t="array" ref="K257">INDEX(Agenda!AB:AB,MATCH(1,('Lançamentos- Credito Débito'!E257=Agenda!C:C)*('Lançamentos- Credito Débito'!F257=Agenda!I:I),0))</f>
        <v>0.90107538416154886</v>
      </c>
      <c r="L257" s="36">
        <f t="shared" si="68"/>
        <v>10080.06</v>
      </c>
      <c r="M257" s="36">
        <f t="shared" si="69"/>
        <v>1106.6400000000015</v>
      </c>
      <c r="N257" s="1">
        <f t="shared" si="70"/>
        <v>74143.024251880735</v>
      </c>
      <c r="O257" s="81">
        <f t="array" ref="O257">IF(OR(G257="Amortization",G257="Fim de Mês",G257="PDD"),(1+J257)*N257-D257,-INDEX(Agenda!J:J,MATCH(1,('Lançamentos- Credito Débito'!E257=Agenda!C:C)*('Lançamentos- Credito Débito'!G257=Agenda!G:G),0)))</f>
        <v>63695.913168908315</v>
      </c>
      <c r="P257" s="44">
        <f t="shared" si="71"/>
        <v>739.58891702757796</v>
      </c>
      <c r="Q257" s="64">
        <f t="shared" si="72"/>
        <v>74882.613168908312</v>
      </c>
      <c r="R257" s="14">
        <f t="array" ref="R257">IF(F257="","",INDEX(Agenda!L:L,MATCH(1,('Lançamentos- Credito Débito'!E257=Agenda!C:C)*('Lançamentos- Credito Débito'!F257=Agenda!I:I),0)))</f>
        <v>10080.06</v>
      </c>
      <c r="S257" s="14">
        <f t="shared" si="73"/>
        <v>10080.06</v>
      </c>
      <c r="T257" s="14">
        <f t="shared" si="74"/>
        <v>0</v>
      </c>
      <c r="U257" s="62">
        <f t="shared" si="75"/>
        <v>0</v>
      </c>
      <c r="V257" s="78">
        <f t="shared" si="76"/>
        <v>0</v>
      </c>
    </row>
    <row r="258" spans="1:22" x14ac:dyDescent="0.25">
      <c r="A258" s="45">
        <v>44196</v>
      </c>
      <c r="B258" s="33" t="s">
        <v>63</v>
      </c>
      <c r="C258" s="33" t="s">
        <v>20</v>
      </c>
      <c r="D258" s="34">
        <v>0</v>
      </c>
      <c r="E258" s="33" t="s">
        <v>2</v>
      </c>
      <c r="F258" s="45">
        <v>44185</v>
      </c>
      <c r="G258" s="33" t="s">
        <v>86</v>
      </c>
      <c r="H258" s="25">
        <f t="array" ref="H258">IFERROR(INDEX(Agenda!AA:AA,MATCH(1,('Lançamentos- Credito Débito'!E258=Agenda!C:C)*('Lançamentos- Credito Débito'!F258=Agenda!I:I),0)),"")</f>
        <v>4.9641025393465377E-4</v>
      </c>
      <c r="I258">
        <f t="shared" si="66"/>
        <v>11</v>
      </c>
      <c r="J258" s="35">
        <f t="shared" si="67"/>
        <v>5.4740862699960147E-3</v>
      </c>
      <c r="K258" s="40">
        <f t="array" ref="K258">INDEX(Agenda!AB:AB,MATCH(1,('Lançamentos- Credito Débito'!E258=Agenda!C:C)*('Lançamentos- Credito Débito'!F258=Agenda!I:I),0))</f>
        <v>0.90107538416154886</v>
      </c>
      <c r="L258" s="36">
        <f t="shared" si="68"/>
        <v>0</v>
      </c>
      <c r="M258" s="36">
        <f t="shared" si="69"/>
        <v>0</v>
      </c>
      <c r="N258" s="1">
        <f t="shared" si="70"/>
        <v>63695.913168908315</v>
      </c>
      <c r="O258" s="81">
        <f t="array" ref="O258">IF(OR(G258="Amortization",G258="Fim de Mês",G258="PDD"),(1+J258)*N258-D258,-INDEX(Agenda!J:J,MATCH(1,('Lançamentos- Credito Débito'!E258=Agenda!C:C)*('Lançamentos- Credito Débito'!G258=Agenda!G:G),0)))</f>
        <v>64044.590092641098</v>
      </c>
      <c r="P258" s="44">
        <f t="shared" si="71"/>
        <v>348.67692373277936</v>
      </c>
      <c r="Q258" s="64">
        <f t="shared" si="72"/>
        <v>64044.590092641098</v>
      </c>
      <c r="R258" s="14">
        <f t="array" ref="R258">IF(F258="","",INDEX(Agenda!L:L,MATCH(1,('Lançamentos- Credito Débito'!E258=Agenda!C:C)*('Lançamentos- Credito Débito'!F258=Agenda!I:I),0)))</f>
        <v>10080.06</v>
      </c>
      <c r="S258" s="14">
        <f t="shared" si="73"/>
        <v>10080.06</v>
      </c>
      <c r="T258" s="14">
        <f t="shared" si="74"/>
        <v>0</v>
      </c>
      <c r="U258" s="62">
        <f t="shared" si="75"/>
        <v>0</v>
      </c>
      <c r="V258" s="78">
        <f t="shared" si="76"/>
        <v>0</v>
      </c>
    </row>
    <row r="259" spans="1:22" x14ac:dyDescent="0.25">
      <c r="A259" s="45">
        <v>44216</v>
      </c>
      <c r="B259" s="33" t="s">
        <v>63</v>
      </c>
      <c r="C259" s="33" t="s">
        <v>20</v>
      </c>
      <c r="D259" s="34">
        <v>11186.7</v>
      </c>
      <c r="E259" s="33" t="s">
        <v>2</v>
      </c>
      <c r="F259" s="45">
        <v>44216</v>
      </c>
      <c r="G259" s="33" t="s">
        <v>51</v>
      </c>
      <c r="H259" s="25">
        <f t="array" ref="H259">IFERROR(INDEX(Agenda!AA:AA,MATCH(1,('Lançamentos- Credito Débito'!E259=Agenda!C:C)*('Lançamentos- Credito Débito'!F259=Agenda!I:I),0)),"")</f>
        <v>4.9641025393465377E-4</v>
      </c>
      <c r="I259">
        <f t="shared" si="66"/>
        <v>20</v>
      </c>
      <c r="J259" s="35">
        <f t="shared" si="67"/>
        <v>9.9751652227595411E-3</v>
      </c>
      <c r="K259" s="40">
        <f t="array" ref="K259">INDEX(Agenda!AB:AB,MATCH(1,('Lançamentos- Credito Débito'!E259=Agenda!C:C)*('Lançamentos- Credito Débito'!F259=Agenda!I:I),0))</f>
        <v>0.91172195553648527</v>
      </c>
      <c r="L259" s="36">
        <f t="shared" si="68"/>
        <v>10199.16</v>
      </c>
      <c r="M259" s="36">
        <f t="shared" si="69"/>
        <v>987.5400000000003</v>
      </c>
      <c r="N259" s="1">
        <f t="shared" si="70"/>
        <v>64044.590092641098</v>
      </c>
      <c r="O259" s="81">
        <f t="array" ref="O259">IF(OR(G259="Amortization",G259="Fim de Mês",G259="PDD"),(1+J259)*N259-D259,-INDEX(Agenda!J:J,MATCH(1,('Lançamentos- Credito Débito'!E259=Agenda!C:C)*('Lançamentos- Credito Débito'!G259=Agenda!G:G),0)))</f>
        <v>53496.745460439095</v>
      </c>
      <c r="P259" s="44">
        <f t="shared" si="71"/>
        <v>638.85536779800373</v>
      </c>
      <c r="Q259" s="64">
        <f t="shared" si="72"/>
        <v>64683.445460439099</v>
      </c>
      <c r="R259" s="14">
        <f t="array" ref="R259">IF(F259="","",INDEX(Agenda!L:L,MATCH(1,('Lançamentos- Credito Débito'!E259=Agenda!C:C)*('Lançamentos- Credito Débito'!F259=Agenda!I:I),0)))</f>
        <v>10199.16</v>
      </c>
      <c r="S259" s="14">
        <f t="shared" si="73"/>
        <v>10199.16</v>
      </c>
      <c r="T259" s="14">
        <f t="shared" si="74"/>
        <v>0</v>
      </c>
      <c r="U259" s="62">
        <f t="shared" si="75"/>
        <v>0</v>
      </c>
      <c r="V259" s="78">
        <f t="shared" si="76"/>
        <v>0</v>
      </c>
    </row>
    <row r="260" spans="1:22" x14ac:dyDescent="0.25">
      <c r="A260" s="45">
        <v>44227</v>
      </c>
      <c r="B260" s="33" t="s">
        <v>63</v>
      </c>
      <c r="C260" s="33" t="s">
        <v>20</v>
      </c>
      <c r="D260" s="34">
        <v>0</v>
      </c>
      <c r="E260" s="33" t="s">
        <v>2</v>
      </c>
      <c r="F260" s="45">
        <v>44216</v>
      </c>
      <c r="G260" s="33" t="s">
        <v>86</v>
      </c>
      <c r="H260" s="25">
        <f t="array" ref="H260">IFERROR(INDEX(Agenda!AA:AA,MATCH(1,('Lançamentos- Credito Débito'!E260=Agenda!C:C)*('Lançamentos- Credito Débito'!F260=Agenda!I:I),0)),"")</f>
        <v>4.9641025393465377E-4</v>
      </c>
      <c r="I260">
        <f t="shared" si="66"/>
        <v>11</v>
      </c>
      <c r="J260" s="35">
        <f t="shared" si="67"/>
        <v>5.4740862699960147E-3</v>
      </c>
      <c r="K260" s="40">
        <f t="array" ref="K260">INDEX(Agenda!AB:AB,MATCH(1,('Lançamentos- Credito Débito'!E260=Agenda!C:C)*('Lançamentos- Credito Débito'!F260=Agenda!I:I),0))</f>
        <v>0.91172195553648527</v>
      </c>
      <c r="L260" s="36">
        <f t="shared" si="68"/>
        <v>0</v>
      </c>
      <c r="M260" s="36">
        <f t="shared" si="69"/>
        <v>0</v>
      </c>
      <c r="N260" s="1">
        <f t="shared" si="70"/>
        <v>53496.745460439095</v>
      </c>
      <c r="O260" s="81">
        <f t="array" ref="O260">IF(OR(G260="Amortization",G260="Fim de Mês",G260="PDD"),(1+J260)*N260-D260,-INDEX(Agenda!J:J,MATCH(1,('Lançamentos- Credito Débito'!E260=Agenda!C:C)*('Lançamentos- Credito Débito'!G260=Agenda!G:G),0)))</f>
        <v>53789.591260253554</v>
      </c>
      <c r="P260" s="44">
        <f t="shared" si="71"/>
        <v>292.84579981446126</v>
      </c>
      <c r="Q260" s="64">
        <f t="shared" si="72"/>
        <v>53789.591260253554</v>
      </c>
      <c r="R260" s="14">
        <f t="array" ref="R260">IF(F260="","",INDEX(Agenda!L:L,MATCH(1,('Lançamentos- Credito Débito'!E260=Agenda!C:C)*('Lançamentos- Credito Débito'!F260=Agenda!I:I),0)))</f>
        <v>10199.16</v>
      </c>
      <c r="S260" s="14">
        <f t="shared" si="73"/>
        <v>10199.16</v>
      </c>
      <c r="T260" s="14">
        <f t="shared" si="74"/>
        <v>0</v>
      </c>
      <c r="U260" s="62">
        <f t="shared" si="75"/>
        <v>0</v>
      </c>
      <c r="V260" s="78">
        <f t="shared" si="76"/>
        <v>0</v>
      </c>
    </row>
    <row r="261" spans="1:22" x14ac:dyDescent="0.25">
      <c r="A261" s="45">
        <v>44247</v>
      </c>
      <c r="B261" s="33" t="s">
        <v>63</v>
      </c>
      <c r="C261" s="33" t="s">
        <v>20</v>
      </c>
      <c r="D261" s="34">
        <v>11186.7</v>
      </c>
      <c r="E261" s="33" t="s">
        <v>2</v>
      </c>
      <c r="F261" s="45">
        <v>44247</v>
      </c>
      <c r="G261" s="33" t="s">
        <v>51</v>
      </c>
      <c r="H261" s="25">
        <f t="array" ref="H261">IFERROR(INDEX(Agenda!AA:AA,MATCH(1,('Lançamentos- Credito Débito'!E261=Agenda!C:C)*('Lançamentos- Credito Débito'!F261=Agenda!I:I),0)),"")</f>
        <v>4.9641025393465377E-4</v>
      </c>
      <c r="I261">
        <f t="shared" si="66"/>
        <v>20</v>
      </c>
      <c r="J261" s="35">
        <f t="shared" si="67"/>
        <v>9.9751652227595411E-3</v>
      </c>
      <c r="K261" s="40">
        <f t="array" ref="K261">INDEX(Agenda!AB:AB,MATCH(1,('Lançamentos- Credito Débito'!E261=Agenda!C:C)*('Lançamentos- Credito Débito'!F261=Agenda!I:I),0))</f>
        <v>0.92585749148542462</v>
      </c>
      <c r="L261" s="36">
        <f t="shared" si="68"/>
        <v>10357.290000000001</v>
      </c>
      <c r="M261" s="36">
        <f t="shared" si="69"/>
        <v>829.41000000000042</v>
      </c>
      <c r="N261" s="1">
        <f t="shared" si="70"/>
        <v>53789.591260253554</v>
      </c>
      <c r="O261" s="81">
        <f t="array" ref="O261">IF(OR(G261="Amortization",G261="Fim de Mês",G261="PDD"),(1+J261)*N261-D261,-INDEX(Agenda!J:J,MATCH(1,('Lançamentos- Credito Débito'!E261=Agenda!C:C)*('Lançamentos- Credito Débito'!G261=Agenda!G:G),0)))</f>
        <v>43139.451320339285</v>
      </c>
      <c r="P261" s="44">
        <f t="shared" si="71"/>
        <v>536.56006008573183</v>
      </c>
      <c r="Q261" s="64">
        <f t="shared" si="72"/>
        <v>54326.151320339282</v>
      </c>
      <c r="R261" s="14">
        <f t="array" ref="R261">IF(F261="","",INDEX(Agenda!L:L,MATCH(1,('Lançamentos- Credito Débito'!E261=Agenda!C:C)*('Lançamentos- Credito Débito'!F261=Agenda!I:I),0)))</f>
        <v>10357.290000000001</v>
      </c>
      <c r="S261" s="14">
        <f t="shared" si="73"/>
        <v>10357.290000000001</v>
      </c>
      <c r="T261" s="14">
        <f t="shared" si="74"/>
        <v>0</v>
      </c>
      <c r="U261" s="62">
        <f t="shared" si="75"/>
        <v>0</v>
      </c>
      <c r="V261" s="78">
        <f t="shared" si="76"/>
        <v>0</v>
      </c>
    </row>
    <row r="262" spans="1:22" x14ac:dyDescent="0.25">
      <c r="A262" s="45">
        <v>44255</v>
      </c>
      <c r="B262" s="33" t="s">
        <v>63</v>
      </c>
      <c r="C262" s="33" t="s">
        <v>20</v>
      </c>
      <c r="D262" s="34">
        <v>0</v>
      </c>
      <c r="E262" s="33" t="s">
        <v>2</v>
      </c>
      <c r="F262" s="45">
        <v>44247</v>
      </c>
      <c r="G262" s="33" t="s">
        <v>86</v>
      </c>
      <c r="H262" s="25">
        <f t="array" ref="H262">IFERROR(INDEX(Agenda!AA:AA,MATCH(1,('Lançamentos- Credito Débito'!E262=Agenda!C:C)*('Lançamentos- Credito Débito'!F262=Agenda!I:I),0)),"")</f>
        <v>4.9641025393465377E-4</v>
      </c>
      <c r="I262">
        <f t="shared" si="66"/>
        <v>8</v>
      </c>
      <c r="J262" s="35">
        <f t="shared" si="67"/>
        <v>3.9781887339656041E-3</v>
      </c>
      <c r="K262" s="40">
        <f t="array" ref="K262">INDEX(Agenda!AB:AB,MATCH(1,('Lançamentos- Credito Débito'!E262=Agenda!C:C)*('Lançamentos- Credito Débito'!F262=Agenda!I:I),0))</f>
        <v>0.92585749148542462</v>
      </c>
      <c r="L262" s="36">
        <f t="shared" si="68"/>
        <v>0</v>
      </c>
      <c r="M262" s="36">
        <f t="shared" si="69"/>
        <v>0</v>
      </c>
      <c r="N262" s="1">
        <f t="shared" si="70"/>
        <v>43139.451320339285</v>
      </c>
      <c r="O262" s="81">
        <f t="array" ref="O262">IF(OR(G262="Amortization",G262="Fim de Mês",G262="PDD"),(1+J262)*N262-D262,-INDEX(Agenda!J:J,MATCH(1,('Lançamentos- Credito Débito'!E262=Agenda!C:C)*('Lançamentos- Credito Débito'!G262=Agenda!G:G),0)))</f>
        <v>43311.068199571317</v>
      </c>
      <c r="P262" s="44">
        <f t="shared" si="71"/>
        <v>171.61687923203135</v>
      </c>
      <c r="Q262" s="64">
        <f t="shared" si="72"/>
        <v>43311.068199571317</v>
      </c>
      <c r="R262" s="14">
        <f t="array" ref="R262">IF(F262="","",INDEX(Agenda!L:L,MATCH(1,('Lançamentos- Credito Débito'!E262=Agenda!C:C)*('Lançamentos- Credito Débito'!F262=Agenda!I:I),0)))</f>
        <v>10357.290000000001</v>
      </c>
      <c r="S262" s="14">
        <f t="shared" si="73"/>
        <v>10357.290000000001</v>
      </c>
      <c r="T262" s="14">
        <f t="shared" si="74"/>
        <v>0</v>
      </c>
      <c r="U262" s="62">
        <f t="shared" si="75"/>
        <v>0</v>
      </c>
      <c r="V262" s="78">
        <f t="shared" si="76"/>
        <v>0</v>
      </c>
    </row>
    <row r="263" spans="1:22" x14ac:dyDescent="0.25">
      <c r="A263" s="45">
        <v>44275</v>
      </c>
      <c r="B263" s="33" t="s">
        <v>63</v>
      </c>
      <c r="C263" s="33" t="s">
        <v>20</v>
      </c>
      <c r="D263" s="34">
        <v>11186.7</v>
      </c>
      <c r="E263" s="33" t="s">
        <v>2</v>
      </c>
      <c r="F263" s="45">
        <v>44275</v>
      </c>
      <c r="G263" s="33" t="s">
        <v>51</v>
      </c>
      <c r="H263" s="25">
        <f t="array" ref="H263">IFERROR(INDEX(Agenda!AA:AA,MATCH(1,('Lançamentos- Credito Débito'!E263=Agenda!C:C)*('Lançamentos- Credito Débito'!F263=Agenda!I:I),0)),"")</f>
        <v>4.9641025393465377E-4</v>
      </c>
      <c r="I263">
        <f t="shared" si="66"/>
        <v>20</v>
      </c>
      <c r="J263" s="35">
        <f t="shared" si="67"/>
        <v>9.9751652227595411E-3</v>
      </c>
      <c r="K263" s="40">
        <f t="array" ref="K263">INDEX(Agenda!AB:AB,MATCH(1,('Lançamentos- Credito Débito'!E263=Agenda!C:C)*('Lançamentos- Credito Débito'!F263=Agenda!I:I),0))</f>
        <v>0.94603770548955457</v>
      </c>
      <c r="L263" s="36">
        <f t="shared" si="68"/>
        <v>10583.04</v>
      </c>
      <c r="M263" s="36">
        <f t="shared" si="69"/>
        <v>603.66</v>
      </c>
      <c r="N263" s="1">
        <f t="shared" si="70"/>
        <v>43311.068199571317</v>
      </c>
      <c r="O263" s="81">
        <f t="array" ref="O263">IF(OR(G263="Amortization",G263="Fim de Mês",G263="PDD"),(1+J263)*N263-D263,-INDEX(Agenda!J:J,MATCH(1,('Lançamentos- Credito Débito'!E263=Agenda!C:C)*('Lançamentos- Credito Débito'!G263=Agenda!G:G),0)))</f>
        <v>32556.403260836243</v>
      </c>
      <c r="P263" s="44">
        <f t="shared" si="71"/>
        <v>432.0350612649305</v>
      </c>
      <c r="Q263" s="64">
        <f t="shared" si="72"/>
        <v>43743.103260836244</v>
      </c>
      <c r="R263" s="14">
        <f t="array" ref="R263">IF(F263="","",INDEX(Agenda!L:L,MATCH(1,('Lançamentos- Credito Débito'!E263=Agenda!C:C)*('Lançamentos- Credito Débito'!F263=Agenda!I:I),0)))</f>
        <v>10583.04</v>
      </c>
      <c r="S263" s="14">
        <f t="shared" si="73"/>
        <v>10583.04</v>
      </c>
      <c r="T263" s="14">
        <f t="shared" si="74"/>
        <v>0</v>
      </c>
      <c r="U263" s="62">
        <f t="shared" si="75"/>
        <v>0</v>
      </c>
      <c r="V263" s="78">
        <f t="shared" si="76"/>
        <v>0</v>
      </c>
    </row>
    <row r="264" spans="1:22" x14ac:dyDescent="0.25">
      <c r="A264" s="45">
        <v>44286</v>
      </c>
      <c r="B264" s="33" t="s">
        <v>63</v>
      </c>
      <c r="C264" s="33" t="s">
        <v>20</v>
      </c>
      <c r="D264" s="34">
        <v>0</v>
      </c>
      <c r="E264" s="33" t="s">
        <v>2</v>
      </c>
      <c r="F264" s="45">
        <v>44275</v>
      </c>
      <c r="G264" s="33" t="s">
        <v>86</v>
      </c>
      <c r="H264" s="25">
        <f t="array" ref="H264">IFERROR(INDEX(Agenda!AA:AA,MATCH(1,('Lançamentos- Credito Débito'!E264=Agenda!C:C)*('Lançamentos- Credito Débito'!F264=Agenda!I:I),0)),"")</f>
        <v>4.9641025393465377E-4</v>
      </c>
      <c r="I264">
        <f t="shared" si="66"/>
        <v>11</v>
      </c>
      <c r="J264" s="35">
        <f t="shared" si="67"/>
        <v>5.4740862699960147E-3</v>
      </c>
      <c r="K264" s="40">
        <f t="array" ref="K264">INDEX(Agenda!AB:AB,MATCH(1,('Lançamentos- Credito Débito'!E264=Agenda!C:C)*('Lançamentos- Credito Débito'!F264=Agenda!I:I),0))</f>
        <v>0.94603770548955457</v>
      </c>
      <c r="L264" s="36">
        <f t="shared" si="68"/>
        <v>0</v>
      </c>
      <c r="M264" s="36">
        <f t="shared" si="69"/>
        <v>0</v>
      </c>
      <c r="N264" s="1">
        <f t="shared" si="70"/>
        <v>32556.403260836243</v>
      </c>
      <c r="O264" s="81">
        <f t="array" ref="O264">IF(OR(G264="Amortization",G264="Fim de Mês",G264="PDD"),(1+J264)*N264-D264,-INDEX(Agenda!J:J,MATCH(1,('Lançamentos- Credito Débito'!E264=Agenda!C:C)*('Lançamentos- Credito Débito'!G264=Agenda!G:G),0)))</f>
        <v>32734.61982092684</v>
      </c>
      <c r="P264" s="44">
        <f t="shared" si="71"/>
        <v>178.21656009059717</v>
      </c>
      <c r="Q264" s="64">
        <f t="shared" si="72"/>
        <v>32734.61982092684</v>
      </c>
      <c r="R264" s="14">
        <f t="array" ref="R264">IF(F264="","",INDEX(Agenda!L:L,MATCH(1,('Lançamentos- Credito Débito'!E264=Agenda!C:C)*('Lançamentos- Credito Débito'!F264=Agenda!I:I),0)))</f>
        <v>10583.04</v>
      </c>
      <c r="S264" s="14">
        <f t="shared" si="73"/>
        <v>10583.04</v>
      </c>
      <c r="T264" s="14">
        <f t="shared" si="74"/>
        <v>0</v>
      </c>
      <c r="U264" s="62">
        <f t="shared" si="75"/>
        <v>0</v>
      </c>
      <c r="V264" s="78">
        <f t="shared" si="76"/>
        <v>0</v>
      </c>
    </row>
    <row r="265" spans="1:22" x14ac:dyDescent="0.25">
      <c r="A265" s="45">
        <v>44306</v>
      </c>
      <c r="B265" s="33" t="s">
        <v>63</v>
      </c>
      <c r="C265" s="33" t="s">
        <v>20</v>
      </c>
      <c r="D265" s="34">
        <v>11186.7</v>
      </c>
      <c r="E265" s="33" t="s">
        <v>2</v>
      </c>
      <c r="F265" s="45">
        <v>44306</v>
      </c>
      <c r="G265" s="33" t="s">
        <v>51</v>
      </c>
      <c r="H265" s="25">
        <f t="array" ref="H265">IFERROR(INDEX(Agenda!AA:AA,MATCH(1,('Lançamentos- Credito Débito'!E265=Agenda!C:C)*('Lançamentos- Credito Débito'!F265=Agenda!I:I),0)),"")</f>
        <v>4.9641025393465377E-4</v>
      </c>
      <c r="I265">
        <f t="shared" si="66"/>
        <v>20</v>
      </c>
      <c r="J265" s="35">
        <f t="shared" si="67"/>
        <v>9.9751652227595411E-3</v>
      </c>
      <c r="K265" s="40">
        <f t="array" ref="K265">INDEX(Agenda!AB:AB,MATCH(1,('Lançamentos- Credito Débito'!E265=Agenda!C:C)*('Lançamentos- Credito Débito'!F265=Agenda!I:I),0))</f>
        <v>0.95487945506717797</v>
      </c>
      <c r="L265" s="36">
        <f t="shared" si="68"/>
        <v>10681.95</v>
      </c>
      <c r="M265" s="36">
        <f t="shared" si="69"/>
        <v>504.75000000000017</v>
      </c>
      <c r="N265" s="1">
        <f t="shared" si="70"/>
        <v>32734.61982092684</v>
      </c>
      <c r="O265" s="81">
        <f t="array" ref="O265">IF(OR(G265="Amortization",G265="Fim de Mês",G265="PDD"),(1+J265)*N265-D265,-INDEX(Agenda!J:J,MATCH(1,('Lançamentos- Credito Débito'!E265=Agenda!C:C)*('Lançamentos- Credito Débito'!G265=Agenda!G:G),0)))</f>
        <v>21874.453062144803</v>
      </c>
      <c r="P265" s="44">
        <f t="shared" si="71"/>
        <v>326.53324121796459</v>
      </c>
      <c r="Q265" s="64">
        <f t="shared" si="72"/>
        <v>33061.153062144804</v>
      </c>
      <c r="R265" s="14">
        <f t="array" ref="R265">IF(F265="","",INDEX(Agenda!L:L,MATCH(1,('Lançamentos- Credito Débito'!E265=Agenda!C:C)*('Lançamentos- Credito Débito'!F265=Agenda!I:I),0)))</f>
        <v>10681.95</v>
      </c>
      <c r="S265" s="14">
        <f t="shared" si="73"/>
        <v>10681.95</v>
      </c>
      <c r="T265" s="14">
        <f t="shared" si="74"/>
        <v>0</v>
      </c>
      <c r="U265" s="62">
        <f t="shared" si="75"/>
        <v>0</v>
      </c>
      <c r="V265" s="78">
        <f t="shared" si="76"/>
        <v>0</v>
      </c>
    </row>
    <row r="266" spans="1:22" x14ac:dyDescent="0.25">
      <c r="A266" s="45">
        <v>44316</v>
      </c>
      <c r="B266" s="33" t="s">
        <v>63</v>
      </c>
      <c r="C266" s="33" t="s">
        <v>20</v>
      </c>
      <c r="D266" s="34">
        <v>0</v>
      </c>
      <c r="E266" s="33" t="s">
        <v>2</v>
      </c>
      <c r="F266" s="45">
        <v>44306</v>
      </c>
      <c r="G266" s="33" t="s">
        <v>86</v>
      </c>
      <c r="H266" s="25">
        <f t="array" ref="H266">IFERROR(INDEX(Agenda!AA:AA,MATCH(1,('Lançamentos- Credito Débito'!E266=Agenda!C:C)*('Lançamentos- Credito Débito'!F266=Agenda!I:I),0)),"")</f>
        <v>4.9641025393465377E-4</v>
      </c>
      <c r="I266">
        <f t="shared" si="66"/>
        <v>10</v>
      </c>
      <c r="J266" s="35">
        <f t="shared" si="67"/>
        <v>4.9752062726520219E-3</v>
      </c>
      <c r="K266" s="40">
        <f t="array" ref="K266">INDEX(Agenda!AB:AB,MATCH(1,('Lançamentos- Credito Débito'!E266=Agenda!C:C)*('Lançamentos- Credito Débito'!F266=Agenda!I:I),0))</f>
        <v>0.95487945506717797</v>
      </c>
      <c r="L266" s="36">
        <f t="shared" si="68"/>
        <v>0</v>
      </c>
      <c r="M266" s="36">
        <f t="shared" si="69"/>
        <v>0</v>
      </c>
      <c r="N266" s="1">
        <f t="shared" si="70"/>
        <v>21874.453062144803</v>
      </c>
      <c r="O266" s="81">
        <f t="array" ref="O266">IF(OR(G266="Amortization",G266="Fim de Mês",G266="PDD"),(1+J266)*N266-D266,-INDEX(Agenda!J:J,MATCH(1,('Lançamentos- Credito Débito'!E266=Agenda!C:C)*('Lançamentos- Credito Débito'!G266=Agenda!G:G),0)))</f>
        <v>21983.282978230418</v>
      </c>
      <c r="P266" s="44">
        <f t="shared" si="71"/>
        <v>108.82991608561505</v>
      </c>
      <c r="Q266" s="64">
        <f t="shared" si="72"/>
        <v>21983.282978230418</v>
      </c>
      <c r="R266" s="14">
        <f t="array" ref="R266">IF(F266="","",INDEX(Agenda!L:L,MATCH(1,('Lançamentos- Credito Débito'!E266=Agenda!C:C)*('Lançamentos- Credito Débito'!F266=Agenda!I:I),0)))</f>
        <v>10681.95</v>
      </c>
      <c r="S266" s="14">
        <f t="shared" si="73"/>
        <v>10681.95</v>
      </c>
      <c r="T266" s="14">
        <f t="shared" si="74"/>
        <v>0</v>
      </c>
      <c r="U266" s="62">
        <f t="shared" si="75"/>
        <v>0</v>
      </c>
      <c r="V266" s="78">
        <f t="shared" si="76"/>
        <v>0</v>
      </c>
    </row>
    <row r="267" spans="1:22" x14ac:dyDescent="0.25">
      <c r="A267" s="45">
        <v>44336</v>
      </c>
      <c r="B267" s="33" t="s">
        <v>63</v>
      </c>
      <c r="C267" s="33" t="s">
        <v>20</v>
      </c>
      <c r="D267" s="34"/>
      <c r="E267" s="33" t="s">
        <v>2</v>
      </c>
      <c r="F267" s="45">
        <v>44336</v>
      </c>
      <c r="G267" s="33" t="s">
        <v>51</v>
      </c>
      <c r="H267" s="25">
        <f t="array" ref="H267">IFERROR(INDEX(Agenda!AA:AA,MATCH(1,('Lançamentos- Credito Débito'!E267=Agenda!C:C)*('Lançamentos- Credito Débito'!F267=Agenda!I:I),0)),"")</f>
        <v>4.9641025393465377E-4</v>
      </c>
      <c r="I267">
        <f t="shared" si="66"/>
        <v>20</v>
      </c>
      <c r="J267" s="35">
        <f t="shared" si="67"/>
        <v>9.9751652227595411E-3</v>
      </c>
      <c r="K267" s="40">
        <f t="array" ref="K267">INDEX(Agenda!AB:AB,MATCH(1,('Lançamentos- Credito Débito'!E267=Agenda!C:C)*('Lançamentos- Credito Débito'!F267=Agenda!I:I),0))</f>
        <v>0.97066874055798391</v>
      </c>
      <c r="L267" s="36">
        <f t="shared" si="68"/>
        <v>0</v>
      </c>
      <c r="M267" s="36">
        <f t="shared" si="69"/>
        <v>0</v>
      </c>
      <c r="N267" s="1">
        <f t="shared" si="70"/>
        <v>21983.282978230418</v>
      </c>
      <c r="O267" s="81">
        <f t="array" ref="O267">IF(OR(G267="Amortization",G267="Fim de Mês",G267="PDD"),(1+J267)*N267-D267,-INDEX(Agenda!J:J,MATCH(1,('Lançamentos- Credito Débito'!E267=Agenda!C:C)*('Lançamentos- Credito Débito'!G267=Agenda!G:G),0)))</f>
        <v>22202.569858076942</v>
      </c>
      <c r="P267" s="44">
        <f t="shared" si="71"/>
        <v>219.28687984652586</v>
      </c>
      <c r="Q267" s="64">
        <f t="shared" si="72"/>
        <v>22202.569858076942</v>
      </c>
      <c r="R267" s="14">
        <f t="array" ref="R267">IF(F267="","",INDEX(Agenda!L:L,MATCH(1,('Lançamentos- Credito Débito'!E267=Agenda!C:C)*('Lançamentos- Credito Débito'!F267=Agenda!I:I),0)))</f>
        <v>10858.58</v>
      </c>
      <c r="S267" s="14">
        <f t="shared" si="73"/>
        <v>0</v>
      </c>
      <c r="T267" s="14">
        <f t="shared" si="74"/>
        <v>10858.58</v>
      </c>
      <c r="U267" s="62">
        <f t="shared" si="75"/>
        <v>11186.7</v>
      </c>
      <c r="V267" s="78">
        <f t="shared" si="76"/>
        <v>11186.7</v>
      </c>
    </row>
    <row r="268" spans="1:22" x14ac:dyDescent="0.25">
      <c r="A268" s="45">
        <v>44347</v>
      </c>
      <c r="B268" s="33" t="s">
        <v>63</v>
      </c>
      <c r="C268" s="33" t="s">
        <v>20</v>
      </c>
      <c r="D268" s="34">
        <v>0</v>
      </c>
      <c r="E268" s="33" t="s">
        <v>2</v>
      </c>
      <c r="F268" s="45">
        <v>44336</v>
      </c>
      <c r="G268" s="33" t="s">
        <v>86</v>
      </c>
      <c r="H268" s="25">
        <f t="array" ref="H268">IFERROR(INDEX(Agenda!AA:AA,MATCH(1,('Lançamentos- Credito Débito'!E268=Agenda!C:C)*('Lançamentos- Credito Débito'!F268=Agenda!I:I),0)),"")</f>
        <v>4.9641025393465377E-4</v>
      </c>
      <c r="I268">
        <f t="shared" si="66"/>
        <v>11</v>
      </c>
      <c r="J268" s="35">
        <f t="shared" si="67"/>
        <v>5.4740862699960147E-3</v>
      </c>
      <c r="K268" s="40">
        <f t="array" ref="K268">INDEX(Agenda!AB:AB,MATCH(1,('Lançamentos- Credito Débito'!E268=Agenda!C:C)*('Lançamentos- Credito Débito'!F268=Agenda!I:I),0))</f>
        <v>0.97066874055798391</v>
      </c>
      <c r="L268" s="36">
        <f t="shared" si="68"/>
        <v>0</v>
      </c>
      <c r="M268" s="36">
        <f t="shared" si="69"/>
        <v>0</v>
      </c>
      <c r="N268" s="1">
        <f t="shared" si="70"/>
        <v>22202.569858076942</v>
      </c>
      <c r="O268" s="81">
        <f t="array" ref="O268">IF(OR(G268="Amortization",G268="Fim de Mês",G268="PDD"),(1+J268)*N268-D268,-INDEX(Agenda!J:J,MATCH(1,('Lançamentos- Credito Débito'!E268=Agenda!C:C)*('Lançamentos- Credito Débito'!G268=Agenda!G:G),0)))</f>
        <v>22324.108640895669</v>
      </c>
      <c r="P268" s="44">
        <f t="shared" si="71"/>
        <v>121.53878281872635</v>
      </c>
      <c r="Q268" s="64">
        <f t="shared" si="72"/>
        <v>22324.108640895669</v>
      </c>
      <c r="R268" s="14">
        <f t="array" ref="R268">IF(F268="","",INDEX(Agenda!L:L,MATCH(1,('Lançamentos- Credito Débito'!E268=Agenda!C:C)*('Lançamentos- Credito Débito'!F268=Agenda!I:I),0)))</f>
        <v>10858.58</v>
      </c>
      <c r="S268" s="14">
        <f t="shared" si="73"/>
        <v>0</v>
      </c>
      <c r="T268" s="14">
        <f t="shared" si="74"/>
        <v>10858.58</v>
      </c>
      <c r="U268" s="62">
        <f t="shared" si="75"/>
        <v>11186.7</v>
      </c>
      <c r="V268" s="78">
        <f t="shared" si="76"/>
        <v>11186.7</v>
      </c>
    </row>
    <row r="269" spans="1:22" x14ac:dyDescent="0.25">
      <c r="A269" s="3">
        <v>44367</v>
      </c>
      <c r="B269" s="33" t="s">
        <v>63</v>
      </c>
      <c r="C269" s="33" t="s">
        <v>20</v>
      </c>
      <c r="D269" s="34"/>
      <c r="E269" s="33" t="s">
        <v>2</v>
      </c>
      <c r="F269" s="3">
        <v>44367</v>
      </c>
      <c r="G269" s="33" t="s">
        <v>51</v>
      </c>
      <c r="H269" s="25">
        <f t="array" ref="H269">IFERROR(INDEX(Agenda!AA:AA,MATCH(1,('Lançamentos- Credito Débito'!E269=Agenda!C:C)*('Lançamentos- Credito Débito'!F269=Agenda!I:I),0)),"")</f>
        <v>4.9641025393465377E-4</v>
      </c>
      <c r="I269">
        <f t="shared" si="66"/>
        <v>20</v>
      </c>
      <c r="J269" s="35">
        <f t="shared" si="67"/>
        <v>9.9751652227595411E-3</v>
      </c>
      <c r="K269" s="40">
        <f t="array" ref="K269">INDEX(Agenda!AB:AB,MATCH(1,('Lançamentos- Credito Débito'!E269=Agenda!C:C)*('Lançamentos- Credito Débito'!F269=Agenda!I:I),0))</f>
        <v>0.98473276301322099</v>
      </c>
      <c r="L269" s="36">
        <f t="shared" si="68"/>
        <v>0</v>
      </c>
      <c r="M269" s="36">
        <f t="shared" si="69"/>
        <v>0</v>
      </c>
      <c r="N269" s="1">
        <f t="shared" si="70"/>
        <v>22324.108640895669</v>
      </c>
      <c r="O269" s="81">
        <f t="array" ref="O269">IF(OR(G269="Amortization",G269="Fim de Mês",G269="PDD"),(1+J269)*N269-D269,-INDEX(Agenda!J:J,MATCH(1,('Lançamentos- Credito Débito'!E269=Agenda!C:C)*('Lançamentos- Credito Débito'!G269=Agenda!G:G),0)))</f>
        <v>22546.795313039438</v>
      </c>
      <c r="P269" s="44">
        <f t="shared" si="71"/>
        <v>222.68667214376825</v>
      </c>
      <c r="Q269" s="64">
        <f t="shared" si="72"/>
        <v>22546.795313039438</v>
      </c>
      <c r="R269" s="14">
        <f t="array" ref="R269">IF(F269="","",INDEX(Agenda!L:L,MATCH(1,('Lançamentos- Credito Débito'!E269=Agenda!C:C)*('Lançamentos- Credito Débito'!F269=Agenda!I:I),0)))</f>
        <v>11015.91</v>
      </c>
      <c r="S269" s="14">
        <f t="shared" si="73"/>
        <v>0</v>
      </c>
      <c r="T269" s="14">
        <f t="shared" si="74"/>
        <v>11015.91</v>
      </c>
      <c r="U269" s="62">
        <f t="shared" si="75"/>
        <v>11186.7</v>
      </c>
      <c r="V269" s="78">
        <f t="shared" si="76"/>
        <v>22373.4</v>
      </c>
    </row>
  </sheetData>
  <autoFilter ref="A1:V245" xr:uid="{5E82EDBD-13CA-4D42-A868-CBDA8A91909D}"/>
  <phoneticPr fontId="3" type="noConversion"/>
  <conditionalFormatting sqref="D125 D127 F176 D129 A149:A150 A191 F223 F4:F5 A88 D131 D133 D135 D137 D139 D141 D143 D145 D147 A161 A163:A165 D149:D175 F246:F247 F210">
    <cfRule type="cellIs" dxfId="128" priority="153" operator="lessThan">
      <formula>0</formula>
    </cfRule>
  </conditionalFormatting>
  <conditionalFormatting sqref="A125">
    <cfRule type="cellIs" dxfId="127" priority="152" operator="lessThan">
      <formula>0</formula>
    </cfRule>
  </conditionalFormatting>
  <conditionalFormatting sqref="F195:F206 F246:F1048576">
    <cfRule type="cellIs" dxfId="126" priority="151" operator="lessThan">
      <formula>0</formula>
    </cfRule>
  </conditionalFormatting>
  <conditionalFormatting sqref="F1">
    <cfRule type="cellIs" dxfId="125" priority="150" operator="lessThan">
      <formula>0</formula>
    </cfRule>
  </conditionalFormatting>
  <conditionalFormatting sqref="F73:F75">
    <cfRule type="cellIs" dxfId="124" priority="147" operator="lessThan">
      <formula>0</formula>
    </cfRule>
  </conditionalFormatting>
  <conditionalFormatting sqref="F149 F189">
    <cfRule type="cellIs" dxfId="123" priority="146" operator="lessThan">
      <formula>0</formula>
    </cfRule>
  </conditionalFormatting>
  <conditionalFormatting sqref="F3">
    <cfRule type="cellIs" dxfId="122" priority="144" operator="lessThan">
      <formula>0</formula>
    </cfRule>
  </conditionalFormatting>
  <conditionalFormatting sqref="F37:F39">
    <cfRule type="cellIs" dxfId="121" priority="142" operator="lessThan">
      <formula>0</formula>
    </cfRule>
  </conditionalFormatting>
  <conditionalFormatting sqref="F51">
    <cfRule type="cellIs" dxfId="120" priority="141" operator="lessThan">
      <formula>0</formula>
    </cfRule>
  </conditionalFormatting>
  <conditionalFormatting sqref="F74:F75">
    <cfRule type="cellIs" dxfId="119" priority="140" operator="lessThan">
      <formula>0</formula>
    </cfRule>
  </conditionalFormatting>
  <conditionalFormatting sqref="F87">
    <cfRule type="cellIs" dxfId="118" priority="139" operator="lessThan">
      <formula>0</formula>
    </cfRule>
  </conditionalFormatting>
  <conditionalFormatting sqref="F110:F111">
    <cfRule type="cellIs" dxfId="117" priority="138" operator="lessThan">
      <formula>0</formula>
    </cfRule>
  </conditionalFormatting>
  <conditionalFormatting sqref="F123:F124">
    <cfRule type="cellIs" dxfId="116" priority="137" operator="lessThan">
      <formula>0</formula>
    </cfRule>
  </conditionalFormatting>
  <conditionalFormatting sqref="F126:F131">
    <cfRule type="cellIs" dxfId="115" priority="135" operator="lessThan">
      <formula>0</formula>
    </cfRule>
  </conditionalFormatting>
  <conditionalFormatting sqref="D126">
    <cfRule type="cellIs" dxfId="114" priority="134" operator="lessThan">
      <formula>0</formula>
    </cfRule>
  </conditionalFormatting>
  <conditionalFormatting sqref="G49:G99 G1:G39 G246:G1048576 G110:G235">
    <cfRule type="cellIs" dxfId="113" priority="133" operator="equal">
      <formula>"disbursement"</formula>
    </cfRule>
  </conditionalFormatting>
  <conditionalFormatting sqref="F150:F162">
    <cfRule type="cellIs" dxfId="112" priority="132" operator="lessThan">
      <formula>0</formula>
    </cfRule>
  </conditionalFormatting>
  <conditionalFormatting sqref="F164:F166">
    <cfRule type="cellIs" dxfId="111" priority="131" operator="lessThan">
      <formula>0</formula>
    </cfRule>
  </conditionalFormatting>
  <conditionalFormatting sqref="F247">
    <cfRule type="cellIs" dxfId="110" priority="130" operator="lessThan">
      <formula>0</formula>
    </cfRule>
  </conditionalFormatting>
  <conditionalFormatting sqref="D248 D250:D269">
    <cfRule type="cellIs" dxfId="109" priority="128" operator="lessThan">
      <formula>0</formula>
    </cfRule>
  </conditionalFormatting>
  <conditionalFormatting sqref="F177">
    <cfRule type="cellIs" dxfId="108" priority="127" operator="lessThan">
      <formula>0</formula>
    </cfRule>
  </conditionalFormatting>
  <conditionalFormatting sqref="F178:F188">
    <cfRule type="cellIs" dxfId="107" priority="126" operator="lessThan">
      <formula>0</formula>
    </cfRule>
  </conditionalFormatting>
  <conditionalFormatting sqref="A129:A148">
    <cfRule type="cellIs" dxfId="106" priority="125" operator="lessThan">
      <formula>0</formula>
    </cfRule>
  </conditionalFormatting>
  <conditionalFormatting sqref="F88">
    <cfRule type="cellIs" dxfId="105" priority="122" operator="lessThan">
      <formula>0</formula>
    </cfRule>
  </conditionalFormatting>
  <conditionalFormatting sqref="D130">
    <cfRule type="cellIs" dxfId="104" priority="119" operator="lessThan">
      <formula>0</formula>
    </cfRule>
  </conditionalFormatting>
  <conditionalFormatting sqref="D128">
    <cfRule type="cellIs" dxfId="103" priority="120" operator="lessThan">
      <formula>0</formula>
    </cfRule>
  </conditionalFormatting>
  <conditionalFormatting sqref="F191">
    <cfRule type="cellIs" dxfId="102" priority="113" operator="lessThan">
      <formula>0</formula>
    </cfRule>
  </conditionalFormatting>
  <conditionalFormatting sqref="F192">
    <cfRule type="cellIs" dxfId="101" priority="112" operator="lessThan">
      <formula>0</formula>
    </cfRule>
  </conditionalFormatting>
  <conditionalFormatting sqref="F190">
    <cfRule type="cellIs" dxfId="100" priority="114" operator="lessThan">
      <formula>0</formula>
    </cfRule>
  </conditionalFormatting>
  <conditionalFormatting sqref="F193">
    <cfRule type="cellIs" dxfId="99" priority="111" operator="lessThan">
      <formula>0</formula>
    </cfRule>
  </conditionalFormatting>
  <conditionalFormatting sqref="F194">
    <cfRule type="cellIs" dxfId="98" priority="110" operator="lessThan">
      <formula>0</formula>
    </cfRule>
  </conditionalFormatting>
  <conditionalFormatting sqref="F225:F234">
    <cfRule type="cellIs" dxfId="97" priority="106" operator="lessThan">
      <formula>0</formula>
    </cfRule>
  </conditionalFormatting>
  <conditionalFormatting sqref="F40">
    <cfRule type="cellIs" dxfId="96" priority="105" operator="lessThan">
      <formula>0</formula>
    </cfRule>
  </conditionalFormatting>
  <conditionalFormatting sqref="G40">
    <cfRule type="cellIs" dxfId="95" priority="104" operator="equal">
      <formula>"disbursement"</formula>
    </cfRule>
  </conditionalFormatting>
  <conditionalFormatting sqref="F41">
    <cfRule type="cellIs" dxfId="94" priority="103" operator="lessThan">
      <formula>0</formula>
    </cfRule>
  </conditionalFormatting>
  <conditionalFormatting sqref="G41">
    <cfRule type="cellIs" dxfId="93" priority="102" operator="equal">
      <formula>"disbursement"</formula>
    </cfRule>
  </conditionalFormatting>
  <conditionalFormatting sqref="F42">
    <cfRule type="cellIs" dxfId="92" priority="101" operator="lessThan">
      <formula>0</formula>
    </cfRule>
  </conditionalFormatting>
  <conditionalFormatting sqref="G42">
    <cfRule type="cellIs" dxfId="91" priority="100" operator="equal">
      <formula>"disbursement"</formula>
    </cfRule>
  </conditionalFormatting>
  <conditionalFormatting sqref="F43">
    <cfRule type="cellIs" dxfId="90" priority="99" operator="lessThan">
      <formula>0</formula>
    </cfRule>
  </conditionalFormatting>
  <conditionalFormatting sqref="F44:F48">
    <cfRule type="cellIs" dxfId="89" priority="97" operator="lessThan">
      <formula>0</formula>
    </cfRule>
  </conditionalFormatting>
  <conditionalFormatting sqref="G43:G47">
    <cfRule type="cellIs" dxfId="88" priority="96" operator="equal">
      <formula>"disbursement"</formula>
    </cfRule>
  </conditionalFormatting>
  <conditionalFormatting sqref="G48">
    <cfRule type="cellIs" dxfId="87" priority="95" operator="equal">
      <formula>"disbursement"</formula>
    </cfRule>
  </conditionalFormatting>
  <conditionalFormatting sqref="F50">
    <cfRule type="cellIs" dxfId="86" priority="94" operator="lessThan">
      <formula>0</formula>
    </cfRule>
  </conditionalFormatting>
  <conditionalFormatting sqref="F76:F85">
    <cfRule type="cellIs" dxfId="85" priority="93" operator="lessThan">
      <formula>0</formula>
    </cfRule>
  </conditionalFormatting>
  <conditionalFormatting sqref="F76:F85">
    <cfRule type="cellIs" dxfId="84" priority="92" operator="lessThan">
      <formula>0</formula>
    </cfRule>
  </conditionalFormatting>
  <conditionalFormatting sqref="F89:F98">
    <cfRule type="cellIs" dxfId="83" priority="91" operator="lessThan">
      <formula>0</formula>
    </cfRule>
  </conditionalFormatting>
  <conditionalFormatting sqref="F100:F109">
    <cfRule type="cellIs" dxfId="82" priority="90" operator="lessThan">
      <formula>0</formula>
    </cfRule>
  </conditionalFormatting>
  <conditionalFormatting sqref="G100:G109">
    <cfRule type="cellIs" dxfId="81" priority="89" operator="equal">
      <formula>"disbursement"</formula>
    </cfRule>
  </conditionalFormatting>
  <conditionalFormatting sqref="A101">
    <cfRule type="cellIs" dxfId="80" priority="88" operator="lessThan">
      <formula>0</formula>
    </cfRule>
  </conditionalFormatting>
  <conditionalFormatting sqref="A111">
    <cfRule type="cellIs" dxfId="79" priority="87" operator="lessThan">
      <formula>0</formula>
    </cfRule>
  </conditionalFormatting>
  <conditionalFormatting sqref="A114">
    <cfRule type="cellIs" dxfId="78" priority="86" operator="lessThan">
      <formula>0</formula>
    </cfRule>
  </conditionalFormatting>
  <conditionalFormatting sqref="A124">
    <cfRule type="cellIs" dxfId="77" priority="85" operator="lessThan">
      <formula>0</formula>
    </cfRule>
  </conditionalFormatting>
  <conditionalFormatting sqref="F113:F122">
    <cfRule type="cellIs" dxfId="76" priority="84" operator="lessThan">
      <formula>0</formula>
    </cfRule>
  </conditionalFormatting>
  <conditionalFormatting sqref="F132">
    <cfRule type="cellIs" dxfId="75" priority="83" operator="lessThan">
      <formula>0</formula>
    </cfRule>
  </conditionalFormatting>
  <conditionalFormatting sqref="F133">
    <cfRule type="cellIs" dxfId="74" priority="82" operator="lessThan">
      <formula>0</formula>
    </cfRule>
  </conditionalFormatting>
  <conditionalFormatting sqref="F134">
    <cfRule type="cellIs" dxfId="73" priority="81" operator="lessThan">
      <formula>0</formula>
    </cfRule>
  </conditionalFormatting>
  <conditionalFormatting sqref="F135">
    <cfRule type="cellIs" dxfId="72" priority="80" operator="lessThan">
      <formula>0</formula>
    </cfRule>
  </conditionalFormatting>
  <conditionalFormatting sqref="F136:F137">
    <cfRule type="cellIs" dxfId="71" priority="79" operator="lessThan">
      <formula>0</formula>
    </cfRule>
  </conditionalFormatting>
  <conditionalFormatting sqref="F138:F139">
    <cfRule type="cellIs" dxfId="70" priority="78" operator="lessThan">
      <formula>0</formula>
    </cfRule>
  </conditionalFormatting>
  <conditionalFormatting sqref="F140:F141">
    <cfRule type="cellIs" dxfId="69" priority="77" operator="lessThan">
      <formula>0</formula>
    </cfRule>
  </conditionalFormatting>
  <conditionalFormatting sqref="F142:F143">
    <cfRule type="cellIs" dxfId="68" priority="76" operator="lessThan">
      <formula>0</formula>
    </cfRule>
  </conditionalFormatting>
  <conditionalFormatting sqref="F144:F145">
    <cfRule type="cellIs" dxfId="67" priority="75" operator="lessThan">
      <formula>0</formula>
    </cfRule>
  </conditionalFormatting>
  <conditionalFormatting sqref="F146:F147">
    <cfRule type="cellIs" dxfId="66" priority="74" operator="lessThan">
      <formula>0</formula>
    </cfRule>
  </conditionalFormatting>
  <conditionalFormatting sqref="F148">
    <cfRule type="cellIs" dxfId="65" priority="73" operator="lessThan">
      <formula>0</formula>
    </cfRule>
  </conditionalFormatting>
  <conditionalFormatting sqref="D132">
    <cfRule type="cellIs" dxfId="64" priority="72" operator="lessThan">
      <formula>0</formula>
    </cfRule>
  </conditionalFormatting>
  <conditionalFormatting sqref="D134">
    <cfRule type="cellIs" dxfId="63" priority="71" operator="lessThan">
      <formula>0</formula>
    </cfRule>
  </conditionalFormatting>
  <conditionalFormatting sqref="D136">
    <cfRule type="cellIs" dxfId="62" priority="70" operator="lessThan">
      <formula>0</formula>
    </cfRule>
  </conditionalFormatting>
  <conditionalFormatting sqref="D138">
    <cfRule type="cellIs" dxfId="61" priority="69" operator="lessThan">
      <formula>0</formula>
    </cfRule>
  </conditionalFormatting>
  <conditionalFormatting sqref="D140">
    <cfRule type="cellIs" dxfId="60" priority="68" operator="lessThan">
      <formula>0</formula>
    </cfRule>
  </conditionalFormatting>
  <conditionalFormatting sqref="D142">
    <cfRule type="cellIs" dxfId="59" priority="67" operator="lessThan">
      <formula>0</formula>
    </cfRule>
  </conditionalFormatting>
  <conditionalFormatting sqref="D144">
    <cfRule type="cellIs" dxfId="58" priority="66" operator="lessThan">
      <formula>0</formula>
    </cfRule>
  </conditionalFormatting>
  <conditionalFormatting sqref="D146">
    <cfRule type="cellIs" dxfId="57" priority="65" operator="lessThan">
      <formula>0</formula>
    </cfRule>
  </conditionalFormatting>
  <conditionalFormatting sqref="D148">
    <cfRule type="cellIs" dxfId="56" priority="64" operator="lessThan">
      <formula>0</formula>
    </cfRule>
  </conditionalFormatting>
  <conditionalFormatting sqref="A160">
    <cfRule type="cellIs" dxfId="55" priority="63" operator="lessThan">
      <formula>0</formula>
    </cfRule>
  </conditionalFormatting>
  <conditionalFormatting sqref="A162">
    <cfRule type="cellIs" dxfId="54" priority="62" operator="lessThan">
      <formula>0</formula>
    </cfRule>
  </conditionalFormatting>
  <conditionalFormatting sqref="F167:F175">
    <cfRule type="cellIs" dxfId="53" priority="59" operator="lessThan">
      <formula>0</formula>
    </cfRule>
  </conditionalFormatting>
  <conditionalFormatting sqref="A175">
    <cfRule type="cellIs" dxfId="52" priority="58" operator="lessThan">
      <formula>0</formula>
    </cfRule>
  </conditionalFormatting>
  <conditionalFormatting sqref="A188">
    <cfRule type="cellIs" dxfId="51" priority="57" operator="lessThan">
      <formula>0</formula>
    </cfRule>
  </conditionalFormatting>
  <conditionalFormatting sqref="D177:D187">
    <cfRule type="cellIs" dxfId="50" priority="56" operator="lessThan">
      <formula>0</formula>
    </cfRule>
  </conditionalFormatting>
  <conditionalFormatting sqref="A247:A268">
    <cfRule type="cellIs" dxfId="49" priority="55" operator="lessThan">
      <formula>0</formula>
    </cfRule>
  </conditionalFormatting>
  <conditionalFormatting sqref="F248">
    <cfRule type="cellIs" dxfId="48" priority="54" operator="lessThan">
      <formula>0</formula>
    </cfRule>
  </conditionalFormatting>
  <conditionalFormatting sqref="F249:F250">
    <cfRule type="cellIs" dxfId="47" priority="53" operator="lessThan">
      <formula>0</formula>
    </cfRule>
  </conditionalFormatting>
  <conditionalFormatting sqref="F251:F252">
    <cfRule type="cellIs" dxfId="46" priority="52" operator="lessThan">
      <formula>0</formula>
    </cfRule>
  </conditionalFormatting>
  <conditionalFormatting sqref="F253:F254">
    <cfRule type="cellIs" dxfId="45" priority="51" operator="lessThan">
      <formula>0</formula>
    </cfRule>
  </conditionalFormatting>
  <conditionalFormatting sqref="F255:F256">
    <cfRule type="cellIs" dxfId="44" priority="50" operator="lessThan">
      <formula>0</formula>
    </cfRule>
  </conditionalFormatting>
  <conditionalFormatting sqref="F257:F258">
    <cfRule type="cellIs" dxfId="43" priority="49" operator="lessThan">
      <formula>0</formula>
    </cfRule>
  </conditionalFormatting>
  <conditionalFormatting sqref="F259:F260">
    <cfRule type="cellIs" dxfId="42" priority="48" operator="lessThan">
      <formula>0</formula>
    </cfRule>
  </conditionalFormatting>
  <conditionalFormatting sqref="F261:F262">
    <cfRule type="cellIs" dxfId="41" priority="47" operator="lessThan">
      <formula>0</formula>
    </cfRule>
  </conditionalFormatting>
  <conditionalFormatting sqref="F263:F264">
    <cfRule type="cellIs" dxfId="40" priority="46" operator="lessThan">
      <formula>0</formula>
    </cfRule>
  </conditionalFormatting>
  <conditionalFormatting sqref="F265:F266">
    <cfRule type="cellIs" dxfId="39" priority="45" operator="lessThan">
      <formula>0</formula>
    </cfRule>
  </conditionalFormatting>
  <conditionalFormatting sqref="F267:F268">
    <cfRule type="cellIs" dxfId="38" priority="44" operator="lessThan">
      <formula>0</formula>
    </cfRule>
  </conditionalFormatting>
  <conditionalFormatting sqref="A222">
    <cfRule type="cellIs" dxfId="37" priority="42" operator="lessThan">
      <formula>0</formula>
    </cfRule>
  </conditionalFormatting>
  <conditionalFormatting sqref="F211:F222">
    <cfRule type="cellIs" dxfId="36" priority="41" operator="lessThan">
      <formula>0</formula>
    </cfRule>
  </conditionalFormatting>
  <conditionalFormatting sqref="A212">
    <cfRule type="cellIs" dxfId="35" priority="43" operator="lessThan">
      <formula>0</formula>
    </cfRule>
  </conditionalFormatting>
  <conditionalFormatting sqref="A223:A224">
    <cfRule type="cellIs" dxfId="34" priority="40" operator="lessThan">
      <formula>0</formula>
    </cfRule>
  </conditionalFormatting>
  <conditionalFormatting sqref="A234">
    <cfRule type="cellIs" dxfId="33" priority="39" operator="lessThan">
      <formula>0</formula>
    </cfRule>
  </conditionalFormatting>
  <conditionalFormatting sqref="A193:A209">
    <cfRule type="cellIs" dxfId="32" priority="37" operator="lessThan">
      <formula>0</formula>
    </cfRule>
  </conditionalFormatting>
  <conditionalFormatting sqref="F207:F208">
    <cfRule type="cellIs" dxfId="31" priority="36" operator="lessThan">
      <formula>0</formula>
    </cfRule>
  </conditionalFormatting>
  <conditionalFormatting sqref="F209">
    <cfRule type="cellIs" dxfId="30" priority="35" operator="lessThan">
      <formula>0</formula>
    </cfRule>
  </conditionalFormatting>
  <conditionalFormatting sqref="D247">
    <cfRule type="cellIs" dxfId="29" priority="34" operator="lessThan">
      <formula>0</formula>
    </cfRule>
  </conditionalFormatting>
  <conditionalFormatting sqref="D249">
    <cfRule type="cellIs" dxfId="28" priority="33" operator="lessThan">
      <formula>0</formula>
    </cfRule>
  </conditionalFormatting>
  <conditionalFormatting sqref="D195">
    <cfRule type="cellIs" dxfId="27" priority="29" operator="lessThan">
      <formula>0</formula>
    </cfRule>
  </conditionalFormatting>
  <conditionalFormatting sqref="D197">
    <cfRule type="cellIs" dxfId="26" priority="28" operator="lessThan">
      <formula>0</formula>
    </cfRule>
  </conditionalFormatting>
  <conditionalFormatting sqref="D199">
    <cfRule type="cellIs" dxfId="25" priority="27" operator="lessThan">
      <formula>0</formula>
    </cfRule>
  </conditionalFormatting>
  <conditionalFormatting sqref="D201">
    <cfRule type="cellIs" dxfId="24" priority="26" operator="lessThan">
      <formula>0</formula>
    </cfRule>
  </conditionalFormatting>
  <conditionalFormatting sqref="D203">
    <cfRule type="cellIs" dxfId="23" priority="25" operator="lessThan">
      <formula>0</formula>
    </cfRule>
  </conditionalFormatting>
  <conditionalFormatting sqref="D205">
    <cfRule type="cellIs" dxfId="22" priority="24" operator="lessThan">
      <formula>0</formula>
    </cfRule>
  </conditionalFormatting>
  <conditionalFormatting sqref="D191">
    <cfRule type="cellIs" dxfId="21" priority="22" operator="lessThan">
      <formula>0</formula>
    </cfRule>
  </conditionalFormatting>
  <conditionalFormatting sqref="D193">
    <cfRule type="cellIs" dxfId="20" priority="21" operator="lessThan">
      <formula>0</formula>
    </cfRule>
  </conditionalFormatting>
  <conditionalFormatting sqref="D207">
    <cfRule type="cellIs" dxfId="19" priority="20" operator="lessThan">
      <formula>0</formula>
    </cfRule>
  </conditionalFormatting>
  <conditionalFormatting sqref="F224">
    <cfRule type="cellIs" dxfId="18" priority="19" operator="lessThan">
      <formula>0</formula>
    </cfRule>
  </conditionalFormatting>
  <conditionalFormatting sqref="D209">
    <cfRule type="cellIs" dxfId="17" priority="18" operator="lessThan">
      <formula>0</formula>
    </cfRule>
  </conditionalFormatting>
  <conditionalFormatting sqref="F235">
    <cfRule type="cellIs" dxfId="16" priority="17" operator="lessThan">
      <formula>0</formula>
    </cfRule>
  </conditionalFormatting>
  <conditionalFormatting sqref="G236">
    <cfRule type="cellIs" dxfId="15" priority="16" operator="equal">
      <formula>"disbursement"</formula>
    </cfRule>
  </conditionalFormatting>
  <conditionalFormatting sqref="F236">
    <cfRule type="cellIs" dxfId="14" priority="15" operator="lessThan">
      <formula>0</formula>
    </cfRule>
  </conditionalFormatting>
  <conditionalFormatting sqref="G237">
    <cfRule type="cellIs" dxfId="13" priority="14" operator="equal">
      <formula>"disbursement"</formula>
    </cfRule>
  </conditionalFormatting>
  <conditionalFormatting sqref="G238">
    <cfRule type="cellIs" dxfId="12" priority="13" operator="equal">
      <formula>"disbursement"</formula>
    </cfRule>
  </conditionalFormatting>
  <conditionalFormatting sqref="G240">
    <cfRule type="cellIs" dxfId="11" priority="12" operator="equal">
      <formula>"disbursement"</formula>
    </cfRule>
  </conditionalFormatting>
  <conditionalFormatting sqref="G242:G243">
    <cfRule type="cellIs" dxfId="10" priority="11" operator="equal">
      <formula>"disbursement"</formula>
    </cfRule>
  </conditionalFormatting>
  <conditionalFormatting sqref="G244">
    <cfRule type="cellIs" dxfId="9" priority="10" operator="equal">
      <formula>"disbursement"</formula>
    </cfRule>
  </conditionalFormatting>
  <conditionalFormatting sqref="F237">
    <cfRule type="cellIs" dxfId="8" priority="9" operator="lessThan">
      <formula>0</formula>
    </cfRule>
  </conditionalFormatting>
  <conditionalFormatting sqref="F238">
    <cfRule type="cellIs" dxfId="7" priority="8" operator="lessThan">
      <formula>0</formula>
    </cfRule>
  </conditionalFormatting>
  <conditionalFormatting sqref="F239">
    <cfRule type="cellIs" dxfId="6" priority="7" operator="lessThan">
      <formula>0</formula>
    </cfRule>
  </conditionalFormatting>
  <conditionalFormatting sqref="F240">
    <cfRule type="cellIs" dxfId="5" priority="6" operator="lessThan">
      <formula>0</formula>
    </cfRule>
  </conditionalFormatting>
  <conditionalFormatting sqref="F241">
    <cfRule type="cellIs" dxfId="4" priority="5" operator="lessThan">
      <formula>0</formula>
    </cfRule>
  </conditionalFormatting>
  <conditionalFormatting sqref="F242">
    <cfRule type="cellIs" dxfId="3" priority="4" operator="lessThan">
      <formula>0</formula>
    </cfRule>
  </conditionalFormatting>
  <conditionalFormatting sqref="F243">
    <cfRule type="cellIs" dxfId="2" priority="3" operator="lessThan">
      <formula>0</formula>
    </cfRule>
  </conditionalFormatting>
  <conditionalFormatting sqref="F244">
    <cfRule type="cellIs" dxfId="1" priority="2" operator="lessThan">
      <formula>0</formula>
    </cfRule>
  </conditionalFormatting>
  <conditionalFormatting sqref="F245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0531-87D2-4F9E-85D7-3522F43B309B}">
  <dimension ref="A4:R270"/>
  <sheetViews>
    <sheetView topLeftCell="A4" zoomScale="120" zoomScaleNormal="120" workbookViewId="0">
      <selection activeCell="C7" sqref="C7:L31"/>
    </sheetView>
  </sheetViews>
  <sheetFormatPr defaultRowHeight="15" x14ac:dyDescent="0.25"/>
  <cols>
    <col min="1" max="1" width="18" bestFit="1" customWidth="1"/>
    <col min="2" max="2" width="16.28515625" bestFit="1" customWidth="1"/>
    <col min="3" max="3" width="6.42578125" bestFit="1" customWidth="1"/>
    <col min="4" max="5" width="6.42578125" style="1" bestFit="1" customWidth="1"/>
    <col min="6" max="10" width="6.42578125" bestFit="1" customWidth="1"/>
    <col min="11" max="11" width="10.42578125" bestFit="1" customWidth="1"/>
    <col min="12" max="12" width="7.85546875" bestFit="1" customWidth="1"/>
    <col min="13" max="17" width="6.42578125" bestFit="1" customWidth="1"/>
    <col min="18" max="18" width="10.42578125" bestFit="1" customWidth="1"/>
    <col min="19" max="19" width="11.5703125" bestFit="1" customWidth="1"/>
    <col min="20" max="20" width="7.5703125" bestFit="1" customWidth="1"/>
    <col min="21" max="21" width="6.42578125" bestFit="1" customWidth="1"/>
    <col min="22" max="22" width="10" bestFit="1" customWidth="1"/>
    <col min="23" max="23" width="10.42578125" bestFit="1" customWidth="1"/>
    <col min="24" max="52" width="11.5703125" bestFit="1" customWidth="1"/>
    <col min="53" max="53" width="11.42578125" bestFit="1" customWidth="1"/>
    <col min="54" max="54" width="8.85546875" bestFit="1" customWidth="1"/>
    <col min="55" max="55" width="11.42578125" bestFit="1" customWidth="1"/>
    <col min="56" max="56" width="8.85546875" bestFit="1" customWidth="1"/>
    <col min="57" max="57" width="11.42578125" bestFit="1" customWidth="1"/>
    <col min="58" max="58" width="10" bestFit="1" customWidth="1"/>
    <col min="59" max="59" width="12.5703125" bestFit="1" customWidth="1"/>
    <col min="60" max="60" width="10" bestFit="1" customWidth="1"/>
    <col min="61" max="61" width="12.5703125" bestFit="1" customWidth="1"/>
    <col min="62" max="62" width="10" bestFit="1" customWidth="1"/>
    <col min="63" max="63" width="12.5703125" bestFit="1" customWidth="1"/>
    <col min="64" max="64" width="10" bestFit="1" customWidth="1"/>
    <col min="65" max="65" width="12.5703125" bestFit="1" customWidth="1"/>
    <col min="66" max="66" width="9.28515625" bestFit="1" customWidth="1"/>
    <col min="67" max="67" width="11.85546875" bestFit="1" customWidth="1"/>
    <col min="68" max="68" width="9.28515625" bestFit="1" customWidth="1"/>
    <col min="69" max="69" width="11.85546875" bestFit="1" customWidth="1"/>
    <col min="70" max="70" width="9.28515625" bestFit="1" customWidth="1"/>
    <col min="71" max="71" width="11.85546875" bestFit="1" customWidth="1"/>
    <col min="72" max="72" width="9.7109375" bestFit="1" customWidth="1"/>
    <col min="73" max="73" width="12.28515625" bestFit="1" customWidth="1"/>
    <col min="74" max="74" width="9.7109375" bestFit="1" customWidth="1"/>
    <col min="75" max="75" width="12.28515625" bestFit="1" customWidth="1"/>
    <col min="76" max="76" width="9.7109375" bestFit="1" customWidth="1"/>
    <col min="77" max="77" width="12.28515625" bestFit="1" customWidth="1"/>
    <col min="78" max="78" width="10.140625" bestFit="1" customWidth="1"/>
    <col min="79" max="79" width="12.7109375" bestFit="1" customWidth="1"/>
    <col min="80" max="80" width="10.140625" bestFit="1" customWidth="1"/>
    <col min="81" max="81" width="12.7109375" bestFit="1" customWidth="1"/>
    <col min="82" max="82" width="10.140625" bestFit="1" customWidth="1"/>
    <col min="83" max="83" width="12.7109375" bestFit="1" customWidth="1"/>
    <col min="84" max="84" width="9.7109375" bestFit="1" customWidth="1"/>
    <col min="85" max="85" width="12.28515625" bestFit="1" customWidth="1"/>
    <col min="86" max="86" width="9.7109375" bestFit="1" customWidth="1"/>
    <col min="87" max="87" width="12.28515625" bestFit="1" customWidth="1"/>
    <col min="88" max="88" width="9.7109375" bestFit="1" customWidth="1"/>
    <col min="89" max="89" width="12.28515625" bestFit="1" customWidth="1"/>
    <col min="90" max="90" width="9.7109375" bestFit="1" customWidth="1"/>
    <col min="91" max="91" width="12.28515625" bestFit="1" customWidth="1"/>
    <col min="92" max="92" width="12" bestFit="1" customWidth="1"/>
    <col min="93" max="93" width="12.5703125" bestFit="1" customWidth="1"/>
    <col min="94" max="97" width="12.42578125" bestFit="1" customWidth="1"/>
    <col min="98" max="98" width="10.7109375" bestFit="1" customWidth="1"/>
    <col min="99" max="99" width="12.28515625" bestFit="1" customWidth="1"/>
    <col min="100" max="100" width="12.42578125" bestFit="1" customWidth="1"/>
    <col min="101" max="101" width="12.7109375" bestFit="1" customWidth="1"/>
    <col min="102" max="102" width="10.7109375" bestFit="1" customWidth="1"/>
    <col min="103" max="103" width="12.28515625" bestFit="1" customWidth="1"/>
    <col min="104" max="104" width="10.7109375" bestFit="1" customWidth="1"/>
    <col min="105" max="105" width="12.28515625" bestFit="1" customWidth="1"/>
    <col min="106" max="106" width="19.140625" bestFit="1" customWidth="1"/>
    <col min="107" max="107" width="34.42578125" bestFit="1" customWidth="1"/>
  </cols>
  <sheetData>
    <row r="4" spans="1:18" x14ac:dyDescent="0.25">
      <c r="A4" s="48" t="s">
        <v>87</v>
      </c>
      <c r="B4" s="48" t="s">
        <v>115</v>
      </c>
      <c r="D4"/>
      <c r="E4"/>
    </row>
    <row r="5" spans="1:18" x14ac:dyDescent="0.25">
      <c r="B5" t="s">
        <v>90</v>
      </c>
      <c r="D5"/>
      <c r="E5"/>
      <c r="K5" t="s">
        <v>101</v>
      </c>
      <c r="L5" t="s">
        <v>91</v>
      </c>
      <c r="R5" t="s">
        <v>111</v>
      </c>
    </row>
    <row r="6" spans="1:18" x14ac:dyDescent="0.25">
      <c r="A6" s="48" t="s">
        <v>116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L6" t="s">
        <v>112</v>
      </c>
      <c r="M6" t="s">
        <v>113</v>
      </c>
      <c r="N6" t="s">
        <v>114</v>
      </c>
      <c r="O6" t="s">
        <v>102</v>
      </c>
      <c r="P6" t="s">
        <v>103</v>
      </c>
      <c r="Q6" t="s">
        <v>104</v>
      </c>
    </row>
    <row r="7" spans="1:18" x14ac:dyDescent="0.25">
      <c r="A7" s="49" t="s">
        <v>38</v>
      </c>
      <c r="B7" s="50">
        <v>5.0317514194420099E-3</v>
      </c>
      <c r="C7" s="50">
        <v>1.9627588659429041E-2</v>
      </c>
      <c r="D7" s="50">
        <v>1.9000000000003459E-2</v>
      </c>
      <c r="E7" s="50">
        <v>1.9627588659429041E-2</v>
      </c>
      <c r="F7" s="50">
        <v>1.9627588659429041E-2</v>
      </c>
      <c r="G7" s="50">
        <v>1.9000000000003459E-2</v>
      </c>
      <c r="H7" s="50">
        <v>1.9627588659429041E-2</v>
      </c>
      <c r="I7" s="50">
        <v>1.9000000000003459E-2</v>
      </c>
      <c r="J7" s="50">
        <v>1.9627588659429041E-2</v>
      </c>
      <c r="K7" s="50">
        <v>0.16016969471659759</v>
      </c>
      <c r="L7" s="50">
        <v>1.9627588659429041E-2</v>
      </c>
      <c r="M7" s="50">
        <v>1.7722177358375779E-2</v>
      </c>
      <c r="N7" s="50">
        <v>1.9000000000003459E-2</v>
      </c>
      <c r="O7" s="50"/>
      <c r="P7" s="50"/>
      <c r="Q7" s="50"/>
      <c r="R7" s="50">
        <v>5.6349766017808278E-2</v>
      </c>
    </row>
    <row r="8" spans="1:18" x14ac:dyDescent="0.25">
      <c r="A8" s="51" t="s">
        <v>17</v>
      </c>
      <c r="B8" s="50">
        <v>5.0317514194420099E-3</v>
      </c>
      <c r="C8" s="50">
        <v>1.9627588659429041E-2</v>
      </c>
      <c r="D8" s="50">
        <v>1.9000000000003459E-2</v>
      </c>
      <c r="E8" s="50">
        <v>1.9627588659429041E-2</v>
      </c>
      <c r="F8" s="50">
        <v>1.9627588659429041E-2</v>
      </c>
      <c r="G8" s="50">
        <v>1.9000000000003459E-2</v>
      </c>
      <c r="H8" s="50">
        <v>1.9627588659429041E-2</v>
      </c>
      <c r="I8" s="50">
        <v>1.9000000000003459E-2</v>
      </c>
      <c r="J8" s="50">
        <v>1.9627588659429041E-2</v>
      </c>
      <c r="K8" s="50">
        <v>0.16016969471659759</v>
      </c>
      <c r="L8" s="50">
        <v>1.9627588659429041E-2</v>
      </c>
      <c r="M8" s="50">
        <v>1.7722177358375779E-2</v>
      </c>
      <c r="N8" s="50">
        <v>1.9000000000003459E-2</v>
      </c>
      <c r="O8" s="50"/>
      <c r="P8" s="50"/>
      <c r="Q8" s="50"/>
      <c r="R8" s="50">
        <v>5.6349766017808278E-2</v>
      </c>
    </row>
    <row r="9" spans="1:18" x14ac:dyDescent="0.25">
      <c r="A9" s="49" t="s">
        <v>30</v>
      </c>
      <c r="B9" s="50"/>
      <c r="C9" s="50">
        <v>8.2648376090512787E-3</v>
      </c>
      <c r="D9" s="50">
        <v>2.4999999999997025E-2</v>
      </c>
      <c r="E9" s="50">
        <v>2.5844011563361136E-2</v>
      </c>
      <c r="F9" s="50">
        <v>2.5844011563361136E-2</v>
      </c>
      <c r="G9" s="50">
        <v>2.4999999999997025E-2</v>
      </c>
      <c r="H9" s="50">
        <v>2.5844011563361136E-2</v>
      </c>
      <c r="I9" s="50">
        <v>2.4999999999997025E-2</v>
      </c>
      <c r="J9" s="50">
        <v>2.5844011563361136E-2</v>
      </c>
      <c r="K9" s="50">
        <v>0.18664088386248689</v>
      </c>
      <c r="L9" s="50">
        <v>2.5844011563361136E-2</v>
      </c>
      <c r="M9" s="50">
        <v>2.3314059529544018E-2</v>
      </c>
      <c r="N9" s="50">
        <v>2.5844011563361136E-2</v>
      </c>
      <c r="O9" s="50">
        <v>2.4999999999997025E-2</v>
      </c>
      <c r="P9" s="50">
        <v>7.4352892836888618E-3</v>
      </c>
      <c r="Q9" s="50"/>
      <c r="R9" s="50">
        <v>0.10743737193995218</v>
      </c>
    </row>
    <row r="10" spans="1:18" x14ac:dyDescent="0.25">
      <c r="A10" s="51" t="s">
        <v>7</v>
      </c>
      <c r="B10" s="50"/>
      <c r="C10" s="50">
        <v>8.2648376090512787E-3</v>
      </c>
      <c r="D10" s="50">
        <v>2.4999999999997025E-2</v>
      </c>
      <c r="E10" s="50">
        <v>2.5844011563361136E-2</v>
      </c>
      <c r="F10" s="50">
        <v>2.5844011563361136E-2</v>
      </c>
      <c r="G10" s="50">
        <v>2.4999999999997025E-2</v>
      </c>
      <c r="H10" s="50">
        <v>2.5844011563361136E-2</v>
      </c>
      <c r="I10" s="50">
        <v>2.4999999999997025E-2</v>
      </c>
      <c r="J10" s="50">
        <v>2.5844011563361136E-2</v>
      </c>
      <c r="K10" s="50">
        <v>0.18664088386248689</v>
      </c>
      <c r="L10" s="50">
        <v>2.5844011563361136E-2</v>
      </c>
      <c r="M10" s="50">
        <v>2.3314059529544018E-2</v>
      </c>
      <c r="N10" s="50">
        <v>2.5844011563361136E-2</v>
      </c>
      <c r="O10" s="50">
        <v>2.4999999999997025E-2</v>
      </c>
      <c r="P10" s="50">
        <v>7.4352892836888618E-3</v>
      </c>
      <c r="Q10" s="50"/>
      <c r="R10" s="50">
        <v>0.10743737193995218</v>
      </c>
    </row>
    <row r="11" spans="1:18" x14ac:dyDescent="0.25">
      <c r="A11" s="49" t="s">
        <v>28</v>
      </c>
      <c r="B11" s="50"/>
      <c r="C11" s="50">
        <v>4.9928666204672512E-2</v>
      </c>
      <c r="D11" s="50">
        <v>7.577059796649932E-2</v>
      </c>
      <c r="E11" s="50">
        <v>7.6616689331397758E-2</v>
      </c>
      <c r="F11" s="50">
        <v>7.8284068072143054E-2</v>
      </c>
      <c r="G11" s="50">
        <v>7.1630892127641177E-2</v>
      </c>
      <c r="H11" s="50">
        <v>8.0915036478491631E-2</v>
      </c>
      <c r="I11" s="50">
        <v>7.4928666204669536E-2</v>
      </c>
      <c r="J11" s="50">
        <v>7.7442830719513189E-2</v>
      </c>
      <c r="K11" s="50">
        <v>0.58551744710502818</v>
      </c>
      <c r="L11" s="50">
        <v>7.7442830719513189E-2</v>
      </c>
      <c r="M11" s="50">
        <v>6.9906541047927595E-2</v>
      </c>
      <c r="N11" s="50">
        <v>7.7442830719513189E-2</v>
      </c>
      <c r="O11" s="50">
        <v>6.826178425529128E-2</v>
      </c>
      <c r="P11" s="50">
        <v>2.5844011563361136E-2</v>
      </c>
      <c r="Q11" s="50"/>
      <c r="R11" s="50">
        <v>0.31889799830560639</v>
      </c>
    </row>
    <row r="12" spans="1:18" x14ac:dyDescent="0.25">
      <c r="A12" s="51" t="s">
        <v>15</v>
      </c>
      <c r="B12" s="50"/>
      <c r="C12" s="50">
        <v>2.4999999999997025E-2</v>
      </c>
      <c r="D12" s="50">
        <v>2.5844011563361136E-2</v>
      </c>
      <c r="E12" s="50">
        <v>2.5844011563361136E-2</v>
      </c>
      <c r="F12" s="50">
        <v>2.5844011563361136E-2</v>
      </c>
      <c r="G12" s="50">
        <v>2.4999999999997025E-2</v>
      </c>
      <c r="H12" s="50">
        <v>2.5844011563361136E-2</v>
      </c>
      <c r="I12" s="50">
        <v>2.4999999999997025E-2</v>
      </c>
      <c r="J12" s="50">
        <v>2.5844011563361136E-2</v>
      </c>
      <c r="K12" s="50">
        <v>0.20422005781679675</v>
      </c>
      <c r="L12" s="50">
        <v>2.5844011563361136E-2</v>
      </c>
      <c r="M12" s="50">
        <v>2.3314059529544018E-2</v>
      </c>
      <c r="N12" s="50">
        <v>2.5844011563361136E-2</v>
      </c>
      <c r="O12" s="50">
        <v>2.1630892127647128E-2</v>
      </c>
      <c r="P12" s="50"/>
      <c r="Q12" s="50"/>
      <c r="R12" s="50">
        <v>9.6632974783913417E-2</v>
      </c>
    </row>
    <row r="13" spans="1:18" x14ac:dyDescent="0.25">
      <c r="A13" s="51" t="s">
        <v>9</v>
      </c>
      <c r="B13" s="50"/>
      <c r="C13" s="50">
        <v>2.4928666204675487E-2</v>
      </c>
      <c r="D13" s="50">
        <v>2.5769903557305351E-2</v>
      </c>
      <c r="E13" s="50">
        <v>2.4928666204675487E-2</v>
      </c>
      <c r="F13" s="50">
        <v>2.6596044945420783E-2</v>
      </c>
      <c r="G13" s="50">
        <v>2.1630892127647128E-2</v>
      </c>
      <c r="H13" s="50">
        <v>2.922701335176936E-2</v>
      </c>
      <c r="I13" s="50">
        <v>2.4928666204675487E-2</v>
      </c>
      <c r="J13" s="50">
        <v>2.5754807592790918E-2</v>
      </c>
      <c r="K13" s="50">
        <v>0.20376466018896</v>
      </c>
      <c r="L13" s="50">
        <v>2.5754807592790918E-2</v>
      </c>
      <c r="M13" s="50">
        <v>2.3278421988839559E-2</v>
      </c>
      <c r="N13" s="50">
        <v>2.5754807592790918E-2</v>
      </c>
      <c r="O13" s="50">
        <v>2.1630892127647128E-2</v>
      </c>
      <c r="P13" s="50"/>
      <c r="Q13" s="50"/>
      <c r="R13" s="50">
        <v>9.6418929302068523E-2</v>
      </c>
    </row>
    <row r="14" spans="1:18" x14ac:dyDescent="0.25">
      <c r="A14" s="51" t="s">
        <v>6</v>
      </c>
      <c r="B14" s="50"/>
      <c r="C14" s="50"/>
      <c r="D14" s="50">
        <v>2.4156682845832833E-2</v>
      </c>
      <c r="E14" s="50">
        <v>2.5844011563361136E-2</v>
      </c>
      <c r="F14" s="50">
        <v>2.5844011563361136E-2</v>
      </c>
      <c r="G14" s="50">
        <v>2.4999999999997025E-2</v>
      </c>
      <c r="H14" s="50">
        <v>2.5844011563361136E-2</v>
      </c>
      <c r="I14" s="50">
        <v>2.4999999999997025E-2</v>
      </c>
      <c r="J14" s="50">
        <v>2.5844011563361136E-2</v>
      </c>
      <c r="K14" s="50">
        <v>0.17753272909927142</v>
      </c>
      <c r="L14" s="50">
        <v>2.5844011563361136E-2</v>
      </c>
      <c r="M14" s="50">
        <v>2.3314059529544018E-2</v>
      </c>
      <c r="N14" s="50">
        <v>2.5844011563361136E-2</v>
      </c>
      <c r="O14" s="50">
        <v>2.4999999999997025E-2</v>
      </c>
      <c r="P14" s="50">
        <v>2.5844011563361136E-2</v>
      </c>
      <c r="Q14" s="50"/>
      <c r="R14" s="50">
        <v>0.12584609421962445</v>
      </c>
    </row>
    <row r="15" spans="1:18" x14ac:dyDescent="0.25">
      <c r="A15" s="49" t="s">
        <v>32</v>
      </c>
      <c r="B15" s="50"/>
      <c r="C15" s="50">
        <v>1.6765012974473859E-2</v>
      </c>
      <c r="D15" s="50">
        <v>2.1000000000002572E-2</v>
      </c>
      <c r="E15" s="50">
        <v>2.1707544131279066E-2</v>
      </c>
      <c r="F15" s="50">
        <v>2.1707544131279066E-2</v>
      </c>
      <c r="G15" s="50">
        <v>2.1000000000002572E-2</v>
      </c>
      <c r="H15" s="50">
        <v>2.1707544131279066E-2</v>
      </c>
      <c r="I15" s="50">
        <v>2.1000000000002572E-2</v>
      </c>
      <c r="J15" s="50">
        <v>2.1707544131279066E-2</v>
      </c>
      <c r="K15" s="50">
        <v>0.16659518949959784</v>
      </c>
      <c r="L15" s="50">
        <v>2.1707544131279066E-2</v>
      </c>
      <c r="M15" s="50">
        <v>1.9586381345281678E-2</v>
      </c>
      <c r="N15" s="50">
        <v>2.1707544131279066E-2</v>
      </c>
      <c r="O15" s="50">
        <v>2.1000000000002572E-2</v>
      </c>
      <c r="P15" s="50"/>
      <c r="Q15" s="50"/>
      <c r="R15" s="50">
        <v>8.4001469607842383E-2</v>
      </c>
    </row>
    <row r="16" spans="1:18" x14ac:dyDescent="0.25">
      <c r="A16" s="51" t="s">
        <v>12</v>
      </c>
      <c r="B16" s="50"/>
      <c r="C16" s="50">
        <v>1.6765012974473859E-2</v>
      </c>
      <c r="D16" s="50">
        <v>2.1000000000002572E-2</v>
      </c>
      <c r="E16" s="50">
        <v>2.1707544131279066E-2</v>
      </c>
      <c r="F16" s="50">
        <v>2.1707544131279066E-2</v>
      </c>
      <c r="G16" s="50">
        <v>2.1000000000002572E-2</v>
      </c>
      <c r="H16" s="50">
        <v>2.1707544131279066E-2</v>
      </c>
      <c r="I16" s="50">
        <v>2.1000000000002572E-2</v>
      </c>
      <c r="J16" s="50">
        <v>2.1707544131279066E-2</v>
      </c>
      <c r="K16" s="50">
        <v>0.16659518949959784</v>
      </c>
      <c r="L16" s="50">
        <v>2.1707544131279066E-2</v>
      </c>
      <c r="M16" s="50">
        <v>1.9586381345281678E-2</v>
      </c>
      <c r="N16" s="50">
        <v>2.1707544131279066E-2</v>
      </c>
      <c r="O16" s="50">
        <v>2.1000000000002572E-2</v>
      </c>
      <c r="P16" s="50"/>
      <c r="Q16" s="50"/>
      <c r="R16" s="50">
        <v>8.4001469607842383E-2</v>
      </c>
    </row>
    <row r="17" spans="1:18" x14ac:dyDescent="0.25">
      <c r="A17" s="49" t="s">
        <v>34</v>
      </c>
      <c r="B17" s="50"/>
      <c r="C17" s="50">
        <v>3.103969833599729E-2</v>
      </c>
      <c r="D17" s="50">
        <v>5.2000000000003155E-2</v>
      </c>
      <c r="E17" s="50">
        <v>5.3756425161728849E-2</v>
      </c>
      <c r="F17" s="50">
        <v>5.3756425161728849E-2</v>
      </c>
      <c r="G17" s="50">
        <v>5.2000000000003155E-2</v>
      </c>
      <c r="H17" s="50">
        <v>5.3756425161728849E-2</v>
      </c>
      <c r="I17" s="50">
        <v>5.2000000000003155E-2</v>
      </c>
      <c r="J17" s="50">
        <v>5.3756425161728849E-2</v>
      </c>
      <c r="K17" s="50">
        <v>0.40206539898292215</v>
      </c>
      <c r="L17" s="50">
        <v>5.3756425161728849E-2</v>
      </c>
      <c r="M17" s="50">
        <v>4.8491654811403606E-2</v>
      </c>
      <c r="N17" s="50">
        <v>5.3756425161728849E-2</v>
      </c>
      <c r="O17" s="50">
        <v>5.2000000000003155E-2</v>
      </c>
      <c r="P17" s="50"/>
      <c r="Q17" s="50"/>
      <c r="R17" s="50">
        <v>0.20800450513486446</v>
      </c>
    </row>
    <row r="18" spans="1:18" x14ac:dyDescent="0.25">
      <c r="A18" s="51" t="s">
        <v>14</v>
      </c>
      <c r="B18" s="50"/>
      <c r="C18" s="50">
        <v>1.5519849167998645E-2</v>
      </c>
      <c r="D18" s="50">
        <v>2.6000000000001577E-2</v>
      </c>
      <c r="E18" s="50">
        <v>2.6878212580864425E-2</v>
      </c>
      <c r="F18" s="50">
        <v>2.6878212580864425E-2</v>
      </c>
      <c r="G18" s="50">
        <v>2.6000000000001577E-2</v>
      </c>
      <c r="H18" s="50">
        <v>2.6878212580864425E-2</v>
      </c>
      <c r="I18" s="50">
        <v>2.6000000000001577E-2</v>
      </c>
      <c r="J18" s="50">
        <v>2.6878212580864425E-2</v>
      </c>
      <c r="K18" s="50">
        <v>0.20103269949146108</v>
      </c>
      <c r="L18" s="50">
        <v>2.6878212580864425E-2</v>
      </c>
      <c r="M18" s="50">
        <v>2.4245827405701803E-2</v>
      </c>
      <c r="N18" s="50">
        <v>2.6878212580864425E-2</v>
      </c>
      <c r="O18" s="50">
        <v>2.6000000000001577E-2</v>
      </c>
      <c r="P18" s="50"/>
      <c r="Q18" s="50"/>
      <c r="R18" s="50">
        <v>0.10400225256743223</v>
      </c>
    </row>
    <row r="19" spans="1:18" x14ac:dyDescent="0.25">
      <c r="A19" s="51" t="s">
        <v>13</v>
      </c>
      <c r="B19" s="50"/>
      <c r="C19" s="50">
        <v>1.5519849167998645E-2</v>
      </c>
      <c r="D19" s="50">
        <v>2.6000000000001577E-2</v>
      </c>
      <c r="E19" s="50">
        <v>2.6878212580864425E-2</v>
      </c>
      <c r="F19" s="50">
        <v>2.6878212580864425E-2</v>
      </c>
      <c r="G19" s="50">
        <v>2.6000000000001577E-2</v>
      </c>
      <c r="H19" s="50">
        <v>2.6878212580864425E-2</v>
      </c>
      <c r="I19" s="50">
        <v>2.6000000000001577E-2</v>
      </c>
      <c r="J19" s="50">
        <v>2.6878212580864425E-2</v>
      </c>
      <c r="K19" s="50">
        <v>0.20103269949146108</v>
      </c>
      <c r="L19" s="50">
        <v>2.6878212580864425E-2</v>
      </c>
      <c r="M19" s="50">
        <v>2.4245827405701803E-2</v>
      </c>
      <c r="N19" s="50">
        <v>2.6878212580864425E-2</v>
      </c>
      <c r="O19" s="50">
        <v>2.6000000000001577E-2</v>
      </c>
      <c r="P19" s="50"/>
      <c r="Q19" s="50"/>
      <c r="R19" s="50">
        <v>0.10400225256743223</v>
      </c>
    </row>
    <row r="20" spans="1:18" x14ac:dyDescent="0.25">
      <c r="A20" s="49" t="s">
        <v>22</v>
      </c>
      <c r="B20" s="50"/>
      <c r="C20" s="50">
        <v>1.3101727104757321E-2</v>
      </c>
      <c r="D20" s="50">
        <v>2.6255394779941987E-2</v>
      </c>
      <c r="E20" s="50">
        <v>4.5366150912903525E-2</v>
      </c>
      <c r="F20" s="50">
        <v>4.5366150912903525E-2</v>
      </c>
      <c r="G20" s="50">
        <v>4.3893611417615608E-2</v>
      </c>
      <c r="H20" s="50">
        <v>4.5366150912903525E-2</v>
      </c>
      <c r="I20" s="50">
        <v>4.3893611417615608E-2</v>
      </c>
      <c r="J20" s="50">
        <v>4.5366150912903525E-2</v>
      </c>
      <c r="K20" s="50">
        <v>0.30860894837154462</v>
      </c>
      <c r="L20" s="50">
        <v>4.5366150912903525E-2</v>
      </c>
      <c r="M20" s="50">
        <v>4.0951734956440333E-2</v>
      </c>
      <c r="N20" s="50">
        <v>4.5366150912903525E-2</v>
      </c>
      <c r="O20" s="50">
        <v>3.661340806536062E-2</v>
      </c>
      <c r="P20" s="50">
        <v>2.2741610429993342E-2</v>
      </c>
      <c r="Q20" s="50">
        <v>1.4613408065360156E-2</v>
      </c>
      <c r="R20" s="50">
        <v>0.2056524633429615</v>
      </c>
    </row>
    <row r="21" spans="1:18" x14ac:dyDescent="0.25">
      <c r="A21" s="51" t="s">
        <v>11</v>
      </c>
      <c r="B21" s="50"/>
      <c r="C21" s="50">
        <v>1.3101727104757321E-2</v>
      </c>
      <c r="D21" s="50">
        <v>2.1893611417615144E-2</v>
      </c>
      <c r="E21" s="50">
        <v>2.2624540482910183E-2</v>
      </c>
      <c r="F21" s="50">
        <v>2.2624540482910183E-2</v>
      </c>
      <c r="G21" s="50">
        <v>2.1893611417615144E-2</v>
      </c>
      <c r="H21" s="50">
        <v>2.2624540482910183E-2</v>
      </c>
      <c r="I21" s="50">
        <v>2.1893611417615144E-2</v>
      </c>
      <c r="J21" s="50">
        <v>2.2624540482910183E-2</v>
      </c>
      <c r="K21" s="50">
        <v>0.16928072328924348</v>
      </c>
      <c r="L21" s="50">
        <v>2.2624540482910183E-2</v>
      </c>
      <c r="M21" s="50">
        <v>2.0433342936626353E-2</v>
      </c>
      <c r="N21" s="50">
        <v>2.2624540482910183E-2</v>
      </c>
      <c r="O21" s="50">
        <v>1.4613408065360156E-2</v>
      </c>
      <c r="P21" s="50"/>
      <c r="Q21" s="50"/>
      <c r="R21" s="50">
        <v>8.0295831967806874E-2</v>
      </c>
    </row>
    <row r="22" spans="1:18" x14ac:dyDescent="0.25">
      <c r="A22" s="51" t="s">
        <v>3</v>
      </c>
      <c r="B22" s="50"/>
      <c r="C22" s="50"/>
      <c r="D22" s="50">
        <v>4.3617833623268432E-3</v>
      </c>
      <c r="E22" s="50">
        <v>2.2741610429993342E-2</v>
      </c>
      <c r="F22" s="50">
        <v>2.2741610429993342E-2</v>
      </c>
      <c r="G22" s="50">
        <v>2.2000000000000464E-2</v>
      </c>
      <c r="H22" s="50">
        <v>2.2741610429993342E-2</v>
      </c>
      <c r="I22" s="50">
        <v>2.2000000000000464E-2</v>
      </c>
      <c r="J22" s="50">
        <v>2.2741610429993342E-2</v>
      </c>
      <c r="K22" s="50">
        <v>0.13932822508230114</v>
      </c>
      <c r="L22" s="50">
        <v>2.2741610429993342E-2</v>
      </c>
      <c r="M22" s="50">
        <v>2.051839201981398E-2</v>
      </c>
      <c r="N22" s="50">
        <v>2.2741610429993342E-2</v>
      </c>
      <c r="O22" s="50">
        <v>2.2000000000000464E-2</v>
      </c>
      <c r="P22" s="50">
        <v>2.2741610429993342E-2</v>
      </c>
      <c r="Q22" s="50">
        <v>1.4613408065360156E-2</v>
      </c>
      <c r="R22" s="50">
        <v>0.12535663137515463</v>
      </c>
    </row>
    <row r="23" spans="1:18" x14ac:dyDescent="0.25">
      <c r="A23" s="49" t="s">
        <v>24</v>
      </c>
      <c r="B23" s="50"/>
      <c r="C23" s="50">
        <v>1.2729148801356782E-2</v>
      </c>
      <c r="D23" s="50">
        <v>3.833164317511617E-2</v>
      </c>
      <c r="E23" s="50">
        <v>4.9619688355758029E-2</v>
      </c>
      <c r="F23" s="50">
        <v>4.9619688355758029E-2</v>
      </c>
      <c r="G23" s="50">
        <v>4.8000000000004484E-2</v>
      </c>
      <c r="H23" s="50">
        <v>4.9619688355758029E-2</v>
      </c>
      <c r="I23" s="50">
        <v>4.8000000000004484E-2</v>
      </c>
      <c r="J23" s="50">
        <v>4.9619688355758029E-2</v>
      </c>
      <c r="K23" s="50">
        <v>0.34553954539951404</v>
      </c>
      <c r="L23" s="50">
        <v>4.9619688355758029E-2</v>
      </c>
      <c r="M23" s="50">
        <v>4.4764462097251378E-2</v>
      </c>
      <c r="N23" s="50">
        <v>4.9619688355758029E-2</v>
      </c>
      <c r="O23" s="50">
        <v>4.7190795792162898E-2</v>
      </c>
      <c r="P23" s="50">
        <v>2.3190795792160657E-2</v>
      </c>
      <c r="Q23" s="50"/>
      <c r="R23" s="50">
        <v>0.21438543039309099</v>
      </c>
    </row>
    <row r="24" spans="1:18" x14ac:dyDescent="0.25">
      <c r="A24" s="51" t="s">
        <v>10</v>
      </c>
      <c r="B24" s="50"/>
      <c r="C24" s="50">
        <v>1.2729148801356782E-2</v>
      </c>
      <c r="D24" s="50">
        <v>2.4000000000002242E-2</v>
      </c>
      <c r="E24" s="50">
        <v>2.4809844177879015E-2</v>
      </c>
      <c r="F24" s="50">
        <v>2.4809844177879015E-2</v>
      </c>
      <c r="G24" s="50">
        <v>2.4000000000002242E-2</v>
      </c>
      <c r="H24" s="50">
        <v>2.4809844177879015E-2</v>
      </c>
      <c r="I24" s="50">
        <v>2.4000000000002242E-2</v>
      </c>
      <c r="J24" s="50">
        <v>2.4809844177879015E-2</v>
      </c>
      <c r="K24" s="50">
        <v>0.18396852551287957</v>
      </c>
      <c r="L24" s="50">
        <v>2.4809844177879015E-2</v>
      </c>
      <c r="M24" s="50">
        <v>2.2382231048625689E-2</v>
      </c>
      <c r="N24" s="50">
        <v>2.4809844177879015E-2</v>
      </c>
      <c r="O24" s="50">
        <v>2.3190795792160657E-2</v>
      </c>
      <c r="P24" s="50"/>
      <c r="Q24" s="50"/>
      <c r="R24" s="50">
        <v>9.5192715196544375E-2</v>
      </c>
    </row>
    <row r="25" spans="1:18" x14ac:dyDescent="0.25">
      <c r="A25" s="51" t="s">
        <v>4</v>
      </c>
      <c r="B25" s="50"/>
      <c r="C25" s="50"/>
      <c r="D25" s="50">
        <v>1.4331643175113928E-2</v>
      </c>
      <c r="E25" s="50">
        <v>2.4809844177879015E-2</v>
      </c>
      <c r="F25" s="50">
        <v>2.4809844177879015E-2</v>
      </c>
      <c r="G25" s="50">
        <v>2.4000000000002242E-2</v>
      </c>
      <c r="H25" s="50">
        <v>2.4809844177879015E-2</v>
      </c>
      <c r="I25" s="50">
        <v>2.4000000000002242E-2</v>
      </c>
      <c r="J25" s="50">
        <v>2.4809844177879015E-2</v>
      </c>
      <c r="K25" s="50">
        <v>0.16157101988663447</v>
      </c>
      <c r="L25" s="50">
        <v>2.4809844177879015E-2</v>
      </c>
      <c r="M25" s="50">
        <v>2.2382231048625689E-2</v>
      </c>
      <c r="N25" s="50">
        <v>2.4809844177879015E-2</v>
      </c>
      <c r="O25" s="50">
        <v>2.4000000000002242E-2</v>
      </c>
      <c r="P25" s="50">
        <v>2.3190795792160657E-2</v>
      </c>
      <c r="Q25" s="50"/>
      <c r="R25" s="50">
        <v>0.11919271519654662</v>
      </c>
    </row>
    <row r="26" spans="1:18" x14ac:dyDescent="0.25">
      <c r="A26" s="49" t="s">
        <v>26</v>
      </c>
      <c r="B26" s="50"/>
      <c r="C26" s="50">
        <v>1.0617369684125855E-2</v>
      </c>
      <c r="D26" s="50">
        <v>1.9999999999999574E-2</v>
      </c>
      <c r="E26" s="50">
        <v>4.1347023183864184E-2</v>
      </c>
      <c r="F26" s="50">
        <v>4.1347023183864184E-2</v>
      </c>
      <c r="G26" s="50">
        <v>3.9999999999999147E-2</v>
      </c>
      <c r="H26" s="50">
        <v>4.1347023183864184E-2</v>
      </c>
      <c r="I26" s="50">
        <v>3.9999999999999147E-2</v>
      </c>
      <c r="J26" s="50">
        <v>4.1347023183864184E-2</v>
      </c>
      <c r="K26" s="50">
        <v>0.27600546241958046</v>
      </c>
      <c r="L26" s="50">
        <v>4.1347023183864184E-2</v>
      </c>
      <c r="M26" s="50">
        <v>3.7308619625360251E-2</v>
      </c>
      <c r="N26" s="50">
        <v>4.1347023183864184E-2</v>
      </c>
      <c r="O26" s="50">
        <v>3.9999999999999147E-2</v>
      </c>
      <c r="P26" s="50">
        <v>1.9999999999999574E-2</v>
      </c>
      <c r="Q26" s="50"/>
      <c r="R26" s="50">
        <v>0.18000266599308734</v>
      </c>
    </row>
    <row r="27" spans="1:18" x14ac:dyDescent="0.25">
      <c r="A27" s="51" t="s">
        <v>8</v>
      </c>
      <c r="B27" s="50"/>
      <c r="C27" s="50">
        <v>1.0617369684125855E-2</v>
      </c>
      <c r="D27" s="50">
        <v>1.9999999999999574E-2</v>
      </c>
      <c r="E27" s="50">
        <v>2.0673511591932092E-2</v>
      </c>
      <c r="F27" s="50">
        <v>2.0673511591932092E-2</v>
      </c>
      <c r="G27" s="50">
        <v>1.9999999999999574E-2</v>
      </c>
      <c r="H27" s="50">
        <v>2.0673511591932092E-2</v>
      </c>
      <c r="I27" s="50">
        <v>1.9999999999999574E-2</v>
      </c>
      <c r="J27" s="50">
        <v>2.0673511591932092E-2</v>
      </c>
      <c r="K27" s="50">
        <v>0.15331141605185294</v>
      </c>
      <c r="L27" s="50">
        <v>2.0673511591932092E-2</v>
      </c>
      <c r="M27" s="50">
        <v>1.8654309812680125E-2</v>
      </c>
      <c r="N27" s="50">
        <v>2.0673511591932092E-2</v>
      </c>
      <c r="O27" s="50">
        <v>1.9999999999999574E-2</v>
      </c>
      <c r="P27" s="50"/>
      <c r="Q27" s="50"/>
      <c r="R27" s="50">
        <v>8.0001332996543884E-2</v>
      </c>
    </row>
    <row r="28" spans="1:18" x14ac:dyDescent="0.25">
      <c r="A28" s="51" t="s">
        <v>5</v>
      </c>
      <c r="B28" s="50"/>
      <c r="C28" s="50"/>
      <c r="D28" s="50"/>
      <c r="E28" s="50">
        <v>2.0673511591932092E-2</v>
      </c>
      <c r="F28" s="50">
        <v>2.0673511591932092E-2</v>
      </c>
      <c r="G28" s="50">
        <v>1.9999999999999574E-2</v>
      </c>
      <c r="H28" s="50">
        <v>2.0673511591932092E-2</v>
      </c>
      <c r="I28" s="50">
        <v>1.9999999999999574E-2</v>
      </c>
      <c r="J28" s="50">
        <v>2.0673511591932092E-2</v>
      </c>
      <c r="K28" s="50">
        <v>0.12269404636772752</v>
      </c>
      <c r="L28" s="50">
        <v>2.0673511591932092E-2</v>
      </c>
      <c r="M28" s="50">
        <v>1.8654309812680125E-2</v>
      </c>
      <c r="N28" s="50">
        <v>2.0673511591932092E-2</v>
      </c>
      <c r="O28" s="50">
        <v>1.9999999999999574E-2</v>
      </c>
      <c r="P28" s="50">
        <v>1.9999999999999574E-2</v>
      </c>
      <c r="Q28" s="50"/>
      <c r="R28" s="50">
        <v>0.10000133299654346</v>
      </c>
    </row>
    <row r="29" spans="1:18" x14ac:dyDescent="0.25">
      <c r="A29" s="49" t="s">
        <v>36</v>
      </c>
      <c r="B29" s="50"/>
      <c r="C29" s="50">
        <v>2.4999999999997025E-2</v>
      </c>
      <c r="D29" s="50">
        <v>2.5699913492482906E-2</v>
      </c>
      <c r="E29" s="50">
        <v>2.5693051764809294E-2</v>
      </c>
      <c r="F29" s="50">
        <v>2.5693051764809294E-2</v>
      </c>
      <c r="G29" s="50">
        <v>2.4862820367857807E-2</v>
      </c>
      <c r="H29" s="50">
        <v>2.5693051764809294E-2</v>
      </c>
      <c r="I29" s="50">
        <v>2.4862820367857807E-2</v>
      </c>
      <c r="J29" s="50">
        <v>2.5693051764809294E-2</v>
      </c>
      <c r="K29" s="50">
        <v>0.20319776128743272</v>
      </c>
      <c r="L29" s="50">
        <v>2.5693051764809294E-2</v>
      </c>
      <c r="M29" s="50">
        <v>2.320440622672626E-2</v>
      </c>
      <c r="N29" s="50">
        <v>1.6597982758806529E-2</v>
      </c>
      <c r="O29" s="50"/>
      <c r="P29" s="50"/>
      <c r="Q29" s="50"/>
      <c r="R29" s="50">
        <v>6.5495440750342082E-2</v>
      </c>
    </row>
    <row r="30" spans="1:18" x14ac:dyDescent="0.25">
      <c r="A30" s="51" t="s">
        <v>16</v>
      </c>
      <c r="B30" s="50"/>
      <c r="C30" s="50">
        <v>2.4999999999997025E-2</v>
      </c>
      <c r="D30" s="50">
        <v>2.5699913492482906E-2</v>
      </c>
      <c r="E30" s="50">
        <v>2.5693051764809294E-2</v>
      </c>
      <c r="F30" s="50">
        <v>2.5693051764809294E-2</v>
      </c>
      <c r="G30" s="50">
        <v>2.4862820367857807E-2</v>
      </c>
      <c r="H30" s="50">
        <v>2.5693051764809294E-2</v>
      </c>
      <c r="I30" s="50">
        <v>2.4862820367857807E-2</v>
      </c>
      <c r="J30" s="50">
        <v>2.5693051764809294E-2</v>
      </c>
      <c r="K30" s="50">
        <v>0.20319776128743272</v>
      </c>
      <c r="L30" s="50">
        <v>2.5693051764809294E-2</v>
      </c>
      <c r="M30" s="50">
        <v>2.320440622672626E-2</v>
      </c>
      <c r="N30" s="50">
        <v>1.6597982758806529E-2</v>
      </c>
      <c r="O30" s="50"/>
      <c r="P30" s="50"/>
      <c r="Q30" s="50"/>
      <c r="R30" s="50">
        <v>6.5495440750342082E-2</v>
      </c>
    </row>
    <row r="31" spans="1:18" x14ac:dyDescent="0.25">
      <c r="A31" s="49" t="s">
        <v>20</v>
      </c>
      <c r="B31" s="50"/>
      <c r="C31" s="50"/>
      <c r="D31" s="50"/>
      <c r="E31" s="50">
        <v>1.1946675605053469E-2</v>
      </c>
      <c r="F31" s="50">
        <v>1.5449251492755556E-2</v>
      </c>
      <c r="G31" s="50">
        <v>1.4950371495411563E-2</v>
      </c>
      <c r="H31" s="50">
        <v>1.5449251492755556E-2</v>
      </c>
      <c r="I31" s="50">
        <v>1.4950371495411563E-2</v>
      </c>
      <c r="J31" s="50">
        <v>1.5449251492755556E-2</v>
      </c>
      <c r="K31" s="50">
        <v>8.8195173074143263E-2</v>
      </c>
      <c r="L31" s="50">
        <v>1.5449251492755556E-2</v>
      </c>
      <c r="M31" s="50">
        <v>1.3953353956725145E-2</v>
      </c>
      <c r="N31" s="50">
        <v>1.5449251492755556E-2</v>
      </c>
      <c r="O31" s="50">
        <v>1.4950371495411563E-2</v>
      </c>
      <c r="P31" s="50">
        <v>1.5449251492755556E-2</v>
      </c>
      <c r="Q31" s="50">
        <v>9.9751652227595411E-3</v>
      </c>
      <c r="R31" s="50">
        <v>8.5226645153162917E-2</v>
      </c>
    </row>
    <row r="32" spans="1:18" x14ac:dyDescent="0.25">
      <c r="A32" s="51" t="s">
        <v>2</v>
      </c>
      <c r="B32" s="50"/>
      <c r="C32" s="50"/>
      <c r="D32" s="50"/>
      <c r="E32" s="50">
        <v>1.1946675605053469E-2</v>
      </c>
      <c r="F32" s="50">
        <v>1.5449251492755556E-2</v>
      </c>
      <c r="G32" s="50">
        <v>1.4950371495411563E-2</v>
      </c>
      <c r="H32" s="50">
        <v>1.5449251492755556E-2</v>
      </c>
      <c r="I32" s="50">
        <v>1.4950371495411563E-2</v>
      </c>
      <c r="J32" s="50">
        <v>1.5449251492755556E-2</v>
      </c>
      <c r="K32" s="50">
        <v>8.8195173074143263E-2</v>
      </c>
      <c r="L32" s="50">
        <v>1.5449251492755556E-2</v>
      </c>
      <c r="M32" s="50">
        <v>1.3953353956725145E-2</v>
      </c>
      <c r="N32" s="50">
        <v>1.5449251492755556E-2</v>
      </c>
      <c r="O32" s="50">
        <v>1.4950371495411563E-2</v>
      </c>
      <c r="P32" s="50">
        <v>1.5449251492755556E-2</v>
      </c>
      <c r="Q32" s="50">
        <v>9.9751652227595411E-3</v>
      </c>
      <c r="R32" s="50">
        <v>8.5226645153162917E-2</v>
      </c>
    </row>
    <row r="33" spans="4:5" x14ac:dyDescent="0.25">
      <c r="D33"/>
      <c r="E33"/>
    </row>
    <row r="34" spans="4:5" x14ac:dyDescent="0.25">
      <c r="D34"/>
      <c r="E34"/>
    </row>
    <row r="35" spans="4:5" x14ac:dyDescent="0.25">
      <c r="D35"/>
      <c r="E35"/>
    </row>
    <row r="36" spans="4:5" x14ac:dyDescent="0.25">
      <c r="D36"/>
      <c r="E36"/>
    </row>
    <row r="37" spans="4:5" x14ac:dyDescent="0.25">
      <c r="D37"/>
      <c r="E37"/>
    </row>
    <row r="38" spans="4:5" x14ac:dyDescent="0.25">
      <c r="D38"/>
      <c r="E38"/>
    </row>
    <row r="39" spans="4:5" x14ac:dyDescent="0.25">
      <c r="D39"/>
      <c r="E39"/>
    </row>
    <row r="40" spans="4:5" x14ac:dyDescent="0.25">
      <c r="D40"/>
      <c r="E40"/>
    </row>
    <row r="41" spans="4:5" x14ac:dyDescent="0.25">
      <c r="D41"/>
      <c r="E41"/>
    </row>
    <row r="42" spans="4:5" x14ac:dyDescent="0.25">
      <c r="D42"/>
      <c r="E42"/>
    </row>
    <row r="43" spans="4:5" x14ac:dyDescent="0.25">
      <c r="D43"/>
      <c r="E43"/>
    </row>
    <row r="44" spans="4:5" x14ac:dyDescent="0.25">
      <c r="D44"/>
      <c r="E44"/>
    </row>
    <row r="45" spans="4:5" x14ac:dyDescent="0.25">
      <c r="D45"/>
      <c r="E45"/>
    </row>
    <row r="46" spans="4:5" x14ac:dyDescent="0.25">
      <c r="D46"/>
      <c r="E46"/>
    </row>
    <row r="47" spans="4:5" x14ac:dyDescent="0.25">
      <c r="D47"/>
      <c r="E47"/>
    </row>
    <row r="48" spans="4:5" x14ac:dyDescent="0.25">
      <c r="D48"/>
      <c r="E48"/>
    </row>
    <row r="49" spans="4:5" x14ac:dyDescent="0.25">
      <c r="D49"/>
      <c r="E49"/>
    </row>
    <row r="50" spans="4:5" x14ac:dyDescent="0.25">
      <c r="D50"/>
      <c r="E50"/>
    </row>
    <row r="51" spans="4:5" x14ac:dyDescent="0.25">
      <c r="D51"/>
      <c r="E51"/>
    </row>
    <row r="52" spans="4:5" x14ac:dyDescent="0.25">
      <c r="D52"/>
      <c r="E52"/>
    </row>
    <row r="53" spans="4:5" x14ac:dyDescent="0.25">
      <c r="D53"/>
      <c r="E53"/>
    </row>
    <row r="54" spans="4:5" x14ac:dyDescent="0.25">
      <c r="D54"/>
      <c r="E54"/>
    </row>
    <row r="55" spans="4:5" x14ac:dyDescent="0.25">
      <c r="D55"/>
      <c r="E55"/>
    </row>
    <row r="56" spans="4:5" x14ac:dyDescent="0.25">
      <c r="D56"/>
      <c r="E56"/>
    </row>
    <row r="57" spans="4:5" x14ac:dyDescent="0.25">
      <c r="D57"/>
      <c r="E57"/>
    </row>
    <row r="58" spans="4:5" x14ac:dyDescent="0.25">
      <c r="D58"/>
      <c r="E58"/>
    </row>
    <row r="59" spans="4:5" x14ac:dyDescent="0.25">
      <c r="D59"/>
      <c r="E59"/>
    </row>
    <row r="60" spans="4:5" x14ac:dyDescent="0.25">
      <c r="D60"/>
      <c r="E60"/>
    </row>
    <row r="61" spans="4:5" x14ac:dyDescent="0.25">
      <c r="D61"/>
      <c r="E61"/>
    </row>
    <row r="62" spans="4:5" x14ac:dyDescent="0.25">
      <c r="D62"/>
      <c r="E62"/>
    </row>
    <row r="63" spans="4:5" x14ac:dyDescent="0.25">
      <c r="D63"/>
      <c r="E63"/>
    </row>
    <row r="64" spans="4:5" x14ac:dyDescent="0.25">
      <c r="D64"/>
      <c r="E64"/>
    </row>
    <row r="65" spans="4:5" x14ac:dyDescent="0.25">
      <c r="D65"/>
      <c r="E65"/>
    </row>
    <row r="66" spans="4:5" x14ac:dyDescent="0.25">
      <c r="D66"/>
      <c r="E66"/>
    </row>
    <row r="67" spans="4:5" x14ac:dyDescent="0.25">
      <c r="D67"/>
      <c r="E67"/>
    </row>
    <row r="68" spans="4:5" x14ac:dyDescent="0.25">
      <c r="D68"/>
      <c r="E68"/>
    </row>
    <row r="69" spans="4:5" x14ac:dyDescent="0.25">
      <c r="D69"/>
      <c r="E69"/>
    </row>
    <row r="70" spans="4:5" x14ac:dyDescent="0.25">
      <c r="D70"/>
      <c r="E70"/>
    </row>
    <row r="71" spans="4:5" x14ac:dyDescent="0.25">
      <c r="D71"/>
      <c r="E71"/>
    </row>
    <row r="72" spans="4:5" x14ac:dyDescent="0.25">
      <c r="D72"/>
      <c r="E72"/>
    </row>
    <row r="73" spans="4:5" x14ac:dyDescent="0.25">
      <c r="D73"/>
      <c r="E73"/>
    </row>
    <row r="74" spans="4:5" x14ac:dyDescent="0.25">
      <c r="D74"/>
      <c r="E74"/>
    </row>
    <row r="75" spans="4:5" x14ac:dyDescent="0.25">
      <c r="D75"/>
      <c r="E75"/>
    </row>
    <row r="76" spans="4:5" x14ac:dyDescent="0.25">
      <c r="D76"/>
      <c r="E76"/>
    </row>
    <row r="77" spans="4:5" x14ac:dyDescent="0.25">
      <c r="D77"/>
      <c r="E77"/>
    </row>
    <row r="78" spans="4:5" x14ac:dyDescent="0.25">
      <c r="D78"/>
      <c r="E78"/>
    </row>
    <row r="79" spans="4:5" x14ac:dyDescent="0.25">
      <c r="D79"/>
      <c r="E79"/>
    </row>
    <row r="80" spans="4:5" x14ac:dyDescent="0.25">
      <c r="D80"/>
      <c r="E80"/>
    </row>
    <row r="81" spans="4:5" x14ac:dyDescent="0.25">
      <c r="D81"/>
      <c r="E81"/>
    </row>
    <row r="82" spans="4:5" x14ac:dyDescent="0.25">
      <c r="D82"/>
      <c r="E82"/>
    </row>
    <row r="83" spans="4:5" x14ac:dyDescent="0.25">
      <c r="D83"/>
      <c r="E83"/>
    </row>
    <row r="84" spans="4:5" x14ac:dyDescent="0.25">
      <c r="D84"/>
      <c r="E84"/>
    </row>
    <row r="85" spans="4:5" x14ac:dyDescent="0.25">
      <c r="D85"/>
      <c r="E85"/>
    </row>
    <row r="86" spans="4:5" x14ac:dyDescent="0.25">
      <c r="D86"/>
      <c r="E86"/>
    </row>
    <row r="87" spans="4:5" x14ac:dyDescent="0.25">
      <c r="D87"/>
      <c r="E87"/>
    </row>
    <row r="88" spans="4:5" x14ac:dyDescent="0.25">
      <c r="D88"/>
      <c r="E88"/>
    </row>
    <row r="89" spans="4:5" x14ac:dyDescent="0.25">
      <c r="D89"/>
      <c r="E89"/>
    </row>
    <row r="90" spans="4:5" x14ac:dyDescent="0.25">
      <c r="D90"/>
      <c r="E90"/>
    </row>
    <row r="91" spans="4:5" x14ac:dyDescent="0.25">
      <c r="D91"/>
      <c r="E91"/>
    </row>
    <row r="92" spans="4:5" x14ac:dyDescent="0.25">
      <c r="D92"/>
      <c r="E92"/>
    </row>
    <row r="93" spans="4:5" x14ac:dyDescent="0.25">
      <c r="D93"/>
      <c r="E93"/>
    </row>
    <row r="94" spans="4:5" x14ac:dyDescent="0.25">
      <c r="D94"/>
      <c r="E94"/>
    </row>
    <row r="95" spans="4:5" x14ac:dyDescent="0.25">
      <c r="D95"/>
      <c r="E95"/>
    </row>
    <row r="96" spans="4:5" x14ac:dyDescent="0.25">
      <c r="D96"/>
      <c r="E96"/>
    </row>
    <row r="97" spans="4:5" x14ac:dyDescent="0.25">
      <c r="D97"/>
      <c r="E97"/>
    </row>
    <row r="98" spans="4:5" x14ac:dyDescent="0.25">
      <c r="D98"/>
      <c r="E98"/>
    </row>
    <row r="99" spans="4:5" x14ac:dyDescent="0.25">
      <c r="D99"/>
      <c r="E99"/>
    </row>
    <row r="100" spans="4:5" x14ac:dyDescent="0.25">
      <c r="D100"/>
      <c r="E100"/>
    </row>
    <row r="101" spans="4:5" x14ac:dyDescent="0.25">
      <c r="D101"/>
      <c r="E101"/>
    </row>
    <row r="102" spans="4:5" x14ac:dyDescent="0.25">
      <c r="D102"/>
      <c r="E102"/>
    </row>
    <row r="103" spans="4:5" x14ac:dyDescent="0.25">
      <c r="D103"/>
      <c r="E103"/>
    </row>
    <row r="104" spans="4:5" x14ac:dyDescent="0.25">
      <c r="D104"/>
      <c r="E104"/>
    </row>
    <row r="105" spans="4:5" x14ac:dyDescent="0.25">
      <c r="D105"/>
      <c r="E105"/>
    </row>
    <row r="106" spans="4:5" x14ac:dyDescent="0.25">
      <c r="D106"/>
      <c r="E106"/>
    </row>
    <row r="107" spans="4:5" x14ac:dyDescent="0.25">
      <c r="D107"/>
      <c r="E107"/>
    </row>
    <row r="108" spans="4:5" x14ac:dyDescent="0.25">
      <c r="D108"/>
      <c r="E108"/>
    </row>
    <row r="109" spans="4:5" x14ac:dyDescent="0.25">
      <c r="D109"/>
      <c r="E109"/>
    </row>
    <row r="110" spans="4:5" x14ac:dyDescent="0.25">
      <c r="D110"/>
      <c r="E110"/>
    </row>
    <row r="111" spans="4:5" x14ac:dyDescent="0.25">
      <c r="D111"/>
      <c r="E111"/>
    </row>
    <row r="112" spans="4:5" x14ac:dyDescent="0.25">
      <c r="D112"/>
      <c r="E112"/>
    </row>
    <row r="113" spans="4:5" x14ac:dyDescent="0.25">
      <c r="D113"/>
      <c r="E113"/>
    </row>
    <row r="114" spans="4:5" x14ac:dyDescent="0.25">
      <c r="D114"/>
      <c r="E114"/>
    </row>
    <row r="115" spans="4:5" x14ac:dyDescent="0.25">
      <c r="D115"/>
      <c r="E115"/>
    </row>
    <row r="116" spans="4:5" x14ac:dyDescent="0.25">
      <c r="D116"/>
      <c r="E116"/>
    </row>
    <row r="117" spans="4:5" x14ac:dyDescent="0.25">
      <c r="D117"/>
      <c r="E117"/>
    </row>
    <row r="118" spans="4:5" x14ac:dyDescent="0.25">
      <c r="D118"/>
      <c r="E118"/>
    </row>
    <row r="119" spans="4:5" x14ac:dyDescent="0.25">
      <c r="D119"/>
      <c r="E119"/>
    </row>
    <row r="120" spans="4:5" x14ac:dyDescent="0.25">
      <c r="D120"/>
      <c r="E120"/>
    </row>
    <row r="121" spans="4:5" x14ac:dyDescent="0.25">
      <c r="D121"/>
      <c r="E121"/>
    </row>
    <row r="122" spans="4:5" x14ac:dyDescent="0.25">
      <c r="D122"/>
      <c r="E122"/>
    </row>
    <row r="123" spans="4:5" x14ac:dyDescent="0.25">
      <c r="D123"/>
      <c r="E123"/>
    </row>
    <row r="124" spans="4:5" x14ac:dyDescent="0.25">
      <c r="D124"/>
      <c r="E124"/>
    </row>
    <row r="125" spans="4:5" x14ac:dyDescent="0.25">
      <c r="D125"/>
      <c r="E125"/>
    </row>
    <row r="126" spans="4:5" x14ac:dyDescent="0.25">
      <c r="D126"/>
      <c r="E126"/>
    </row>
    <row r="127" spans="4:5" x14ac:dyDescent="0.25">
      <c r="D127"/>
      <c r="E127"/>
    </row>
    <row r="128" spans="4:5" x14ac:dyDescent="0.25">
      <c r="D128"/>
      <c r="E128"/>
    </row>
    <row r="129" spans="4:5" x14ac:dyDescent="0.25">
      <c r="D129"/>
      <c r="E129"/>
    </row>
    <row r="130" spans="4:5" x14ac:dyDescent="0.25">
      <c r="D130"/>
      <c r="E130"/>
    </row>
    <row r="131" spans="4:5" x14ac:dyDescent="0.25">
      <c r="D131"/>
      <c r="E131"/>
    </row>
    <row r="132" spans="4:5" x14ac:dyDescent="0.25">
      <c r="D132"/>
      <c r="E132"/>
    </row>
    <row r="133" spans="4:5" x14ac:dyDescent="0.25">
      <c r="D133"/>
      <c r="E133"/>
    </row>
    <row r="134" spans="4:5" x14ac:dyDescent="0.25">
      <c r="D134"/>
      <c r="E134"/>
    </row>
    <row r="135" spans="4:5" x14ac:dyDescent="0.25">
      <c r="D135"/>
      <c r="E135"/>
    </row>
    <row r="136" spans="4:5" x14ac:dyDescent="0.25">
      <c r="D136"/>
      <c r="E136"/>
    </row>
    <row r="137" spans="4:5" x14ac:dyDescent="0.25">
      <c r="D137"/>
      <c r="E137"/>
    </row>
    <row r="138" spans="4:5" x14ac:dyDescent="0.25">
      <c r="D138"/>
      <c r="E138"/>
    </row>
    <row r="139" spans="4:5" x14ac:dyDescent="0.25">
      <c r="D139"/>
      <c r="E139"/>
    </row>
    <row r="140" spans="4:5" x14ac:dyDescent="0.25">
      <c r="D140"/>
      <c r="E140"/>
    </row>
    <row r="141" spans="4:5" x14ac:dyDescent="0.25">
      <c r="D141"/>
      <c r="E141"/>
    </row>
    <row r="142" spans="4:5" x14ac:dyDescent="0.25">
      <c r="D142"/>
      <c r="E142"/>
    </row>
    <row r="143" spans="4:5" x14ac:dyDescent="0.25">
      <c r="D143"/>
      <c r="E143"/>
    </row>
    <row r="144" spans="4:5" x14ac:dyDescent="0.25">
      <c r="D144"/>
      <c r="E144"/>
    </row>
    <row r="145" spans="4:5" x14ac:dyDescent="0.25">
      <c r="D145"/>
      <c r="E145"/>
    </row>
    <row r="146" spans="4:5" x14ac:dyDescent="0.25">
      <c r="D146"/>
      <c r="E146"/>
    </row>
    <row r="147" spans="4:5" x14ac:dyDescent="0.25">
      <c r="D147"/>
      <c r="E147"/>
    </row>
    <row r="148" spans="4:5" x14ac:dyDescent="0.25">
      <c r="D148"/>
      <c r="E148"/>
    </row>
    <row r="149" spans="4:5" x14ac:dyDescent="0.25">
      <c r="D149"/>
      <c r="E149"/>
    </row>
    <row r="150" spans="4:5" x14ac:dyDescent="0.25">
      <c r="D150"/>
      <c r="E150"/>
    </row>
    <row r="151" spans="4:5" x14ac:dyDescent="0.25">
      <c r="D151"/>
      <c r="E151"/>
    </row>
    <row r="152" spans="4:5" x14ac:dyDescent="0.25">
      <c r="D152"/>
      <c r="E152"/>
    </row>
    <row r="153" spans="4:5" x14ac:dyDescent="0.25">
      <c r="D153"/>
      <c r="E153"/>
    </row>
    <row r="154" spans="4:5" x14ac:dyDescent="0.25">
      <c r="D154"/>
      <c r="E154"/>
    </row>
    <row r="155" spans="4:5" x14ac:dyDescent="0.25">
      <c r="D155"/>
      <c r="E155"/>
    </row>
    <row r="156" spans="4:5" x14ac:dyDescent="0.25">
      <c r="D156"/>
      <c r="E156"/>
    </row>
    <row r="157" spans="4:5" x14ac:dyDescent="0.25">
      <c r="D157"/>
      <c r="E157"/>
    </row>
    <row r="158" spans="4:5" x14ac:dyDescent="0.25">
      <c r="D158"/>
      <c r="E158"/>
    </row>
    <row r="159" spans="4:5" x14ac:dyDescent="0.25">
      <c r="D159"/>
      <c r="E159"/>
    </row>
    <row r="160" spans="4:5" x14ac:dyDescent="0.25">
      <c r="D160"/>
      <c r="E160"/>
    </row>
    <row r="161" spans="4:5" x14ac:dyDescent="0.25">
      <c r="D161"/>
      <c r="E161"/>
    </row>
    <row r="162" spans="4:5" x14ac:dyDescent="0.25">
      <c r="D162"/>
      <c r="E162"/>
    </row>
    <row r="163" spans="4:5" x14ac:dyDescent="0.25">
      <c r="D163"/>
      <c r="E163"/>
    </row>
    <row r="164" spans="4:5" x14ac:dyDescent="0.25">
      <c r="D164"/>
      <c r="E164"/>
    </row>
    <row r="165" spans="4:5" x14ac:dyDescent="0.25">
      <c r="D165"/>
      <c r="E165"/>
    </row>
    <row r="166" spans="4:5" x14ac:dyDescent="0.25">
      <c r="D166"/>
      <c r="E166"/>
    </row>
    <row r="167" spans="4:5" x14ac:dyDescent="0.25">
      <c r="D167"/>
      <c r="E167"/>
    </row>
    <row r="168" spans="4:5" x14ac:dyDescent="0.25">
      <c r="D168"/>
      <c r="E168"/>
    </row>
    <row r="169" spans="4:5" x14ac:dyDescent="0.25">
      <c r="D169"/>
      <c r="E169"/>
    </row>
    <row r="170" spans="4:5" x14ac:dyDescent="0.25">
      <c r="D170"/>
      <c r="E170"/>
    </row>
    <row r="171" spans="4:5" x14ac:dyDescent="0.25">
      <c r="D171"/>
      <c r="E171"/>
    </row>
    <row r="172" spans="4:5" x14ac:dyDescent="0.25">
      <c r="D172"/>
      <c r="E172"/>
    </row>
    <row r="173" spans="4:5" x14ac:dyDescent="0.25">
      <c r="D173"/>
      <c r="E173"/>
    </row>
    <row r="174" spans="4:5" x14ac:dyDescent="0.25">
      <c r="D174"/>
      <c r="E174"/>
    </row>
    <row r="175" spans="4:5" x14ac:dyDescent="0.25">
      <c r="D175"/>
      <c r="E175"/>
    </row>
    <row r="176" spans="4:5" x14ac:dyDescent="0.25">
      <c r="D176"/>
      <c r="E176"/>
    </row>
    <row r="177" spans="4:5" x14ac:dyDescent="0.25">
      <c r="D177"/>
      <c r="E177"/>
    </row>
    <row r="178" spans="4:5" x14ac:dyDescent="0.25">
      <c r="D178"/>
      <c r="E178"/>
    </row>
    <row r="179" spans="4:5" x14ac:dyDescent="0.25">
      <c r="D179"/>
      <c r="E179"/>
    </row>
    <row r="180" spans="4:5" x14ac:dyDescent="0.25">
      <c r="D180"/>
      <c r="E180"/>
    </row>
    <row r="181" spans="4:5" x14ac:dyDescent="0.25">
      <c r="D181"/>
      <c r="E181"/>
    </row>
    <row r="182" spans="4:5" x14ac:dyDescent="0.25">
      <c r="D182"/>
      <c r="E182"/>
    </row>
    <row r="183" spans="4:5" x14ac:dyDescent="0.25">
      <c r="D183"/>
      <c r="E183"/>
    </row>
    <row r="184" spans="4:5" x14ac:dyDescent="0.25">
      <c r="D184"/>
      <c r="E184"/>
    </row>
    <row r="185" spans="4:5" x14ac:dyDescent="0.25">
      <c r="D185"/>
      <c r="E185"/>
    </row>
    <row r="186" spans="4:5" x14ac:dyDescent="0.25">
      <c r="D186"/>
      <c r="E186"/>
    </row>
    <row r="187" spans="4:5" x14ac:dyDescent="0.25">
      <c r="D187"/>
      <c r="E187"/>
    </row>
    <row r="188" spans="4:5" x14ac:dyDescent="0.25">
      <c r="D188"/>
      <c r="E188"/>
    </row>
    <row r="189" spans="4:5" x14ac:dyDescent="0.25">
      <c r="D189"/>
      <c r="E189"/>
    </row>
    <row r="190" spans="4:5" x14ac:dyDescent="0.25">
      <c r="D190"/>
      <c r="E190"/>
    </row>
    <row r="191" spans="4:5" x14ac:dyDescent="0.25">
      <c r="D191"/>
      <c r="E191"/>
    </row>
    <row r="192" spans="4:5" x14ac:dyDescent="0.25">
      <c r="D192"/>
      <c r="E192"/>
    </row>
    <row r="193" spans="4:5" x14ac:dyDescent="0.25">
      <c r="D193"/>
      <c r="E193"/>
    </row>
    <row r="194" spans="4:5" x14ac:dyDescent="0.25">
      <c r="D194"/>
      <c r="E194"/>
    </row>
    <row r="195" spans="4:5" x14ac:dyDescent="0.25">
      <c r="D195"/>
      <c r="E195"/>
    </row>
    <row r="196" spans="4:5" x14ac:dyDescent="0.25">
      <c r="D196"/>
      <c r="E196"/>
    </row>
    <row r="197" spans="4:5" x14ac:dyDescent="0.25">
      <c r="D197"/>
      <c r="E197"/>
    </row>
    <row r="198" spans="4:5" x14ac:dyDescent="0.25">
      <c r="D198"/>
      <c r="E198"/>
    </row>
    <row r="199" spans="4:5" x14ac:dyDescent="0.25">
      <c r="D199"/>
      <c r="E199"/>
    </row>
    <row r="200" spans="4:5" x14ac:dyDescent="0.25">
      <c r="D200"/>
      <c r="E200"/>
    </row>
    <row r="201" spans="4:5" x14ac:dyDescent="0.25">
      <c r="D201"/>
      <c r="E201"/>
    </row>
    <row r="202" spans="4:5" x14ac:dyDescent="0.25">
      <c r="D202"/>
      <c r="E202"/>
    </row>
    <row r="203" spans="4:5" x14ac:dyDescent="0.25">
      <c r="D203"/>
      <c r="E203"/>
    </row>
    <row r="204" spans="4:5" x14ac:dyDescent="0.25">
      <c r="D204"/>
      <c r="E204"/>
    </row>
    <row r="205" spans="4:5" x14ac:dyDescent="0.25">
      <c r="D205"/>
      <c r="E205"/>
    </row>
    <row r="206" spans="4:5" x14ac:dyDescent="0.25">
      <c r="D206"/>
      <c r="E206"/>
    </row>
    <row r="207" spans="4:5" x14ac:dyDescent="0.25">
      <c r="D207"/>
      <c r="E207"/>
    </row>
    <row r="208" spans="4:5" x14ac:dyDescent="0.25">
      <c r="D208"/>
      <c r="E208"/>
    </row>
    <row r="209" spans="4:5" x14ac:dyDescent="0.25">
      <c r="D209"/>
      <c r="E209"/>
    </row>
    <row r="210" spans="4:5" x14ac:dyDescent="0.25">
      <c r="D210"/>
      <c r="E210"/>
    </row>
    <row r="211" spans="4:5" x14ac:dyDescent="0.25">
      <c r="D211"/>
      <c r="E211"/>
    </row>
    <row r="212" spans="4:5" x14ac:dyDescent="0.25">
      <c r="D212"/>
      <c r="E212"/>
    </row>
    <row r="213" spans="4:5" x14ac:dyDescent="0.25">
      <c r="D213"/>
      <c r="E213"/>
    </row>
    <row r="214" spans="4:5" x14ac:dyDescent="0.25">
      <c r="D214"/>
      <c r="E214"/>
    </row>
    <row r="215" spans="4:5" x14ac:dyDescent="0.25">
      <c r="D215"/>
      <c r="E215"/>
    </row>
    <row r="216" spans="4:5" x14ac:dyDescent="0.25">
      <c r="D216"/>
      <c r="E216"/>
    </row>
    <row r="217" spans="4:5" x14ac:dyDescent="0.25">
      <c r="D217"/>
      <c r="E217"/>
    </row>
    <row r="218" spans="4:5" x14ac:dyDescent="0.25">
      <c r="D218"/>
      <c r="E218"/>
    </row>
    <row r="219" spans="4:5" x14ac:dyDescent="0.25">
      <c r="D219"/>
      <c r="E219"/>
    </row>
    <row r="220" spans="4:5" x14ac:dyDescent="0.25">
      <c r="D220"/>
      <c r="E220"/>
    </row>
    <row r="221" spans="4:5" x14ac:dyDescent="0.25">
      <c r="D221"/>
      <c r="E221"/>
    </row>
    <row r="222" spans="4:5" x14ac:dyDescent="0.25">
      <c r="D222"/>
      <c r="E222"/>
    </row>
    <row r="223" spans="4:5" x14ac:dyDescent="0.25">
      <c r="D223"/>
      <c r="E223"/>
    </row>
    <row r="224" spans="4:5" x14ac:dyDescent="0.25">
      <c r="D224"/>
      <c r="E224"/>
    </row>
    <row r="225" spans="4:5" x14ac:dyDescent="0.25">
      <c r="D225"/>
      <c r="E225"/>
    </row>
    <row r="226" spans="4:5" x14ac:dyDescent="0.25">
      <c r="D226"/>
      <c r="E226"/>
    </row>
    <row r="227" spans="4:5" x14ac:dyDescent="0.25">
      <c r="D227"/>
      <c r="E227"/>
    </row>
    <row r="228" spans="4:5" x14ac:dyDescent="0.25">
      <c r="D228"/>
      <c r="E228"/>
    </row>
    <row r="229" spans="4:5" x14ac:dyDescent="0.25">
      <c r="D229"/>
      <c r="E229"/>
    </row>
    <row r="230" spans="4:5" x14ac:dyDescent="0.25">
      <c r="D230"/>
      <c r="E230"/>
    </row>
    <row r="231" spans="4:5" x14ac:dyDescent="0.25">
      <c r="D231"/>
      <c r="E231"/>
    </row>
    <row r="232" spans="4:5" x14ac:dyDescent="0.25">
      <c r="D232"/>
      <c r="E232"/>
    </row>
    <row r="233" spans="4:5" x14ac:dyDescent="0.25">
      <c r="D233"/>
      <c r="E233"/>
    </row>
    <row r="234" spans="4:5" x14ac:dyDescent="0.25">
      <c r="D234"/>
      <c r="E234"/>
    </row>
    <row r="235" spans="4:5" x14ac:dyDescent="0.25">
      <c r="D235"/>
      <c r="E235"/>
    </row>
    <row r="236" spans="4:5" x14ac:dyDescent="0.25">
      <c r="D236"/>
      <c r="E236"/>
    </row>
    <row r="237" spans="4:5" x14ac:dyDescent="0.25">
      <c r="D237"/>
      <c r="E237"/>
    </row>
    <row r="238" spans="4:5" x14ac:dyDescent="0.25">
      <c r="D238"/>
      <c r="E238"/>
    </row>
    <row r="239" spans="4:5" x14ac:dyDescent="0.25">
      <c r="D239"/>
      <c r="E239"/>
    </row>
    <row r="240" spans="4:5" x14ac:dyDescent="0.25">
      <c r="D240"/>
      <c r="E240"/>
    </row>
    <row r="241" spans="4:5" x14ac:dyDescent="0.25">
      <c r="D241"/>
      <c r="E241"/>
    </row>
    <row r="242" spans="4:5" x14ac:dyDescent="0.25">
      <c r="D242"/>
      <c r="E242"/>
    </row>
    <row r="243" spans="4:5" x14ac:dyDescent="0.25">
      <c r="D243"/>
      <c r="E243"/>
    </row>
    <row r="244" spans="4:5" x14ac:dyDescent="0.25">
      <c r="D244"/>
      <c r="E244"/>
    </row>
    <row r="245" spans="4:5" x14ac:dyDescent="0.25">
      <c r="D245"/>
      <c r="E245"/>
    </row>
    <row r="246" spans="4:5" x14ac:dyDescent="0.25">
      <c r="D246"/>
      <c r="E246"/>
    </row>
    <row r="247" spans="4:5" x14ac:dyDescent="0.25">
      <c r="D247"/>
      <c r="E247"/>
    </row>
    <row r="248" spans="4:5" x14ac:dyDescent="0.25">
      <c r="D248"/>
      <c r="E248"/>
    </row>
    <row r="249" spans="4:5" x14ac:dyDescent="0.25">
      <c r="D249"/>
      <c r="E249"/>
    </row>
    <row r="250" spans="4:5" x14ac:dyDescent="0.25">
      <c r="D250"/>
      <c r="E250"/>
    </row>
    <row r="251" spans="4:5" x14ac:dyDescent="0.25">
      <c r="D251"/>
      <c r="E251"/>
    </row>
    <row r="252" spans="4:5" x14ac:dyDescent="0.25">
      <c r="D252"/>
      <c r="E252"/>
    </row>
    <row r="253" spans="4:5" x14ac:dyDescent="0.25">
      <c r="D253"/>
      <c r="E253"/>
    </row>
    <row r="254" spans="4:5" x14ac:dyDescent="0.25">
      <c r="D254"/>
      <c r="E254"/>
    </row>
    <row r="255" spans="4:5" x14ac:dyDescent="0.25">
      <c r="D255"/>
      <c r="E255"/>
    </row>
    <row r="256" spans="4:5" x14ac:dyDescent="0.25">
      <c r="D256"/>
      <c r="E256"/>
    </row>
    <row r="257" spans="4:5" x14ac:dyDescent="0.25">
      <c r="D257"/>
      <c r="E257"/>
    </row>
    <row r="258" spans="4:5" x14ac:dyDescent="0.25">
      <c r="D258"/>
      <c r="E258"/>
    </row>
    <row r="259" spans="4:5" x14ac:dyDescent="0.25">
      <c r="D259"/>
      <c r="E259"/>
    </row>
    <row r="260" spans="4:5" x14ac:dyDescent="0.25">
      <c r="D260"/>
      <c r="E260"/>
    </row>
    <row r="261" spans="4:5" x14ac:dyDescent="0.25">
      <c r="D261"/>
      <c r="E261"/>
    </row>
    <row r="262" spans="4:5" x14ac:dyDescent="0.25">
      <c r="D262"/>
      <c r="E262"/>
    </row>
    <row r="263" spans="4:5" x14ac:dyDescent="0.25">
      <c r="D263"/>
      <c r="E263"/>
    </row>
    <row r="264" spans="4:5" x14ac:dyDescent="0.25">
      <c r="D264"/>
      <c r="E264"/>
    </row>
    <row r="265" spans="4:5" x14ac:dyDescent="0.25">
      <c r="D265"/>
      <c r="E265"/>
    </row>
    <row r="266" spans="4:5" x14ac:dyDescent="0.25">
      <c r="D266"/>
      <c r="E266"/>
    </row>
    <row r="267" spans="4:5" x14ac:dyDescent="0.25">
      <c r="D267"/>
      <c r="E267"/>
    </row>
    <row r="268" spans="4:5" x14ac:dyDescent="0.25">
      <c r="D268"/>
      <c r="E268"/>
    </row>
    <row r="269" spans="4:5" x14ac:dyDescent="0.25">
      <c r="D269"/>
      <c r="E269"/>
    </row>
    <row r="270" spans="4:5" x14ac:dyDescent="0.25">
      <c r="D270"/>
      <c r="E270"/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</vt:lpstr>
      <vt:lpstr>Lançamentos- Credito Débito</vt:lpstr>
      <vt:lpstr>Tabela Por Mês e #-Contrato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2020-07-30T16:40:18Z</dcterms:created>
  <dcterms:modified xsi:type="dcterms:W3CDTF">2020-08-17T12:36:34Z</dcterms:modified>
</cp:coreProperties>
</file>