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defaultThemeVersion="166925"/>
  <xr:revisionPtr revIDLastSave="0" documentId="13_ncr:1_{088C9F12-531C-4E5D-9F19-D09EBC405BA5}" xr6:coauthVersionLast="47" xr6:coauthVersionMax="47" xr10:uidLastSave="{00000000-0000-0000-0000-000000000000}"/>
  <bookViews>
    <workbookView xWindow="-108" yWindow="-108" windowWidth="23256" windowHeight="12576" tabRatio="813" xr2:uid="{5925DD39-83C0-BD4D-A474-E433CDE26212}"/>
  </bookViews>
  <sheets>
    <sheet name="Contents" sheetId="74" r:id="rId1"/>
    <sheet name="Summary" sheetId="83" r:id="rId2"/>
    <sheet name="DT19" sheetId="78" r:id="rId3"/>
    <sheet name="DT20" sheetId="82" r:id="rId4"/>
    <sheet name="Appen1a. py 2020" sheetId="16" r:id="rId5"/>
    <sheet name="Append1b. py 2019" sheetId="48" r:id="rId6"/>
    <sheet name="Appen2a. Deaths 2020" sheetId="15" r:id="rId7"/>
    <sheet name="Appen2b. Deaths 2019" sheetId="49" r:id="rId8"/>
    <sheet name="Appen3a. 2020 LT_construct" sheetId="70" r:id="rId9"/>
    <sheet name="Appen3b. 2019 LT_construct" sheetId="66" r:id="rId10"/>
    <sheet name="Appen4a. 2020 LT CDC_abridged" sheetId="45" r:id="rId11"/>
    <sheet name="Appen4b. 2020 LT NCHS_raw" sheetId="57" r:id="rId12"/>
    <sheet name="Appen5a. 2019 LT NCHS_abridged" sheetId="77" r:id="rId13"/>
    <sheet name="Appen5b. LT 2019 NCHS_complete" sheetId="79"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7" i="83" l="1"/>
  <c r="I36" i="83"/>
  <c r="I35" i="83"/>
  <c r="I30" i="83"/>
  <c r="I29" i="83"/>
  <c r="I28" i="83"/>
  <c r="I10" i="83"/>
  <c r="I9" i="83"/>
  <c r="I8" i="83"/>
  <c r="Z38" i="78"/>
  <c r="Z39" i="78"/>
  <c r="Z40" i="78"/>
  <c r="Z41" i="78"/>
  <c r="Z42" i="78"/>
  <c r="Z43" i="78"/>
  <c r="Z44" i="78"/>
  <c r="Z45" i="78"/>
  <c r="Z46" i="78"/>
  <c r="Z37" i="78"/>
  <c r="Z22" i="78"/>
  <c r="Z23" i="78"/>
  <c r="Z24" i="78"/>
  <c r="Z25" i="78"/>
  <c r="Z26" i="78"/>
  <c r="Z27" i="78"/>
  <c r="Z28" i="78"/>
  <c r="Z29" i="78"/>
  <c r="Z30" i="78"/>
  <c r="Z21" i="78"/>
  <c r="Z6" i="78"/>
  <c r="Z7" i="78"/>
  <c r="Z8" i="78"/>
  <c r="Z9" i="78"/>
  <c r="Z10" i="78"/>
  <c r="Z11" i="78"/>
  <c r="Z12" i="78"/>
  <c r="Z13" i="78"/>
  <c r="Z14" i="78"/>
  <c r="Z5" i="78"/>
  <c r="O5" i="66"/>
  <c r="M5" i="77"/>
  <c r="C2" i="78" l="1"/>
  <c r="C36" i="82"/>
  <c r="C19" i="82"/>
  <c r="C2" i="82"/>
  <c r="K33" i="77" l="1"/>
  <c r="J33" i="77"/>
  <c r="K32" i="77"/>
  <c r="J32" i="77"/>
  <c r="K31" i="77"/>
  <c r="J31" i="77"/>
  <c r="K30" i="77"/>
  <c r="J30" i="77"/>
  <c r="K29" i="77"/>
  <c r="J29" i="77"/>
  <c r="K26" i="77"/>
  <c r="J26" i="77"/>
  <c r="I26" i="77" s="1"/>
  <c r="O26" i="77" s="1"/>
  <c r="K25" i="77"/>
  <c r="J25" i="77"/>
  <c r="K24" i="77"/>
  <c r="J24" i="77"/>
  <c r="K23" i="77"/>
  <c r="J23" i="77"/>
  <c r="K22" i="77"/>
  <c r="J22" i="77"/>
  <c r="K21" i="77"/>
  <c r="J21" i="77"/>
  <c r="K20" i="77"/>
  <c r="J20" i="77"/>
  <c r="K19" i="77"/>
  <c r="J19" i="77"/>
  <c r="K18" i="77"/>
  <c r="J18" i="77"/>
  <c r="K17" i="77"/>
  <c r="J17" i="77"/>
  <c r="K14" i="77"/>
  <c r="L14" i="77" s="1"/>
  <c r="J14" i="77"/>
  <c r="K13" i="77"/>
  <c r="J13" i="77"/>
  <c r="K12" i="77"/>
  <c r="J12" i="77"/>
  <c r="K11" i="77"/>
  <c r="J11" i="77"/>
  <c r="K10" i="77"/>
  <c r="J10" i="77"/>
  <c r="K9" i="77"/>
  <c r="J9" i="77"/>
  <c r="K8" i="77"/>
  <c r="J8" i="77"/>
  <c r="K7" i="77"/>
  <c r="J7" i="77"/>
  <c r="K6" i="77"/>
  <c r="J6" i="77"/>
  <c r="K5" i="77"/>
  <c r="J5" i="77"/>
  <c r="K38" i="77"/>
  <c r="J38" i="77"/>
  <c r="I38" i="77" s="1"/>
  <c r="O38" i="77" s="1"/>
  <c r="K37" i="77"/>
  <c r="J37" i="77"/>
  <c r="K36" i="77"/>
  <c r="J36" i="77"/>
  <c r="K35" i="77"/>
  <c r="J35" i="77"/>
  <c r="K34" i="77"/>
  <c r="J34" i="77"/>
  <c r="T48" i="82"/>
  <c r="F48" i="82"/>
  <c r="F47" i="82"/>
  <c r="F46" i="82"/>
  <c r="F45" i="82"/>
  <c r="F44" i="82"/>
  <c r="F43" i="82"/>
  <c r="F42" i="82"/>
  <c r="F41" i="82"/>
  <c r="F40" i="82"/>
  <c r="F39" i="82"/>
  <c r="T31" i="82"/>
  <c r="F31" i="82"/>
  <c r="F30" i="82"/>
  <c r="F29" i="82"/>
  <c r="F28" i="82"/>
  <c r="F27" i="82"/>
  <c r="F26" i="82"/>
  <c r="F25" i="82"/>
  <c r="F24" i="82"/>
  <c r="F23" i="82"/>
  <c r="F22" i="82"/>
  <c r="T14" i="82"/>
  <c r="F14" i="82"/>
  <c r="F13" i="82"/>
  <c r="F12" i="82"/>
  <c r="F11" i="82"/>
  <c r="F10" i="82"/>
  <c r="F9" i="82"/>
  <c r="F8" i="82"/>
  <c r="F7" i="82"/>
  <c r="F6" i="82"/>
  <c r="F5" i="82"/>
  <c r="L38" i="77"/>
  <c r="Q46" i="78"/>
  <c r="C46" i="78"/>
  <c r="F46" i="78" s="1"/>
  <c r="C45" i="78"/>
  <c r="F45" i="78" s="1"/>
  <c r="C44" i="78"/>
  <c r="F44" i="78" s="1"/>
  <c r="C43" i="78"/>
  <c r="F43" i="78" s="1"/>
  <c r="C42" i="78"/>
  <c r="F42" i="78" s="1"/>
  <c r="C41" i="78"/>
  <c r="F41" i="78" s="1"/>
  <c r="C40" i="78"/>
  <c r="F40" i="78" s="1"/>
  <c r="C39" i="78"/>
  <c r="C38" i="78"/>
  <c r="F38" i="78" s="1"/>
  <c r="F37" i="78"/>
  <c r="Q30" i="78"/>
  <c r="C30" i="78"/>
  <c r="F30" i="78" s="1"/>
  <c r="C29" i="78"/>
  <c r="F29" i="78" s="1"/>
  <c r="C28" i="78"/>
  <c r="F28" i="78" s="1"/>
  <c r="C27" i="78"/>
  <c r="F27" i="78" s="1"/>
  <c r="C26" i="78"/>
  <c r="F26" i="78" s="1"/>
  <c r="C25" i="78"/>
  <c r="F25" i="78" s="1"/>
  <c r="C24" i="78"/>
  <c r="F24" i="78" s="1"/>
  <c r="C23" i="78"/>
  <c r="F23" i="78" s="1"/>
  <c r="C22" i="78"/>
  <c r="F21" i="78"/>
  <c r="Q14" i="78"/>
  <c r="C14" i="78"/>
  <c r="B14" i="78"/>
  <c r="C13" i="78"/>
  <c r="B13" i="78"/>
  <c r="C12" i="78"/>
  <c r="B12" i="78"/>
  <c r="C11" i="78"/>
  <c r="B11" i="78"/>
  <c r="C10" i="78"/>
  <c r="B10" i="78"/>
  <c r="C9" i="78"/>
  <c r="B9" i="78"/>
  <c r="C8" i="78"/>
  <c r="B8" i="78"/>
  <c r="C7" i="78"/>
  <c r="B7" i="78"/>
  <c r="C6" i="78"/>
  <c r="B6" i="78"/>
  <c r="F5" i="78"/>
  <c r="F39" i="78" l="1"/>
  <c r="C34" i="78"/>
  <c r="F22" i="78"/>
  <c r="C18" i="78"/>
  <c r="F13" i="78"/>
  <c r="F12" i="78"/>
  <c r="F9" i="78"/>
  <c r="F7" i="78"/>
  <c r="F11" i="78"/>
  <c r="F14" i="78"/>
  <c r="H17" i="77"/>
  <c r="N17" i="77" s="1"/>
  <c r="H25" i="77"/>
  <c r="N25" i="77" s="1"/>
  <c r="F6" i="78"/>
  <c r="F8" i="78"/>
  <c r="H20" i="77"/>
  <c r="N20" i="77" s="1"/>
  <c r="H24" i="77"/>
  <c r="N24" i="77" s="1"/>
  <c r="H30" i="77"/>
  <c r="N30" i="77" s="1"/>
  <c r="H32" i="77"/>
  <c r="N32" i="77" s="1"/>
  <c r="H34" i="77"/>
  <c r="N34" i="77" s="1"/>
  <c r="H19" i="77"/>
  <c r="N19" i="77" s="1"/>
  <c r="I36" i="77"/>
  <c r="O36" i="77" s="1"/>
  <c r="H29" i="77"/>
  <c r="N29" i="77" s="1"/>
  <c r="I37" i="77"/>
  <c r="O37" i="77" s="1"/>
  <c r="H23" i="77"/>
  <c r="N23" i="77" s="1"/>
  <c r="H26" i="77"/>
  <c r="N26" i="77" s="1"/>
  <c r="H38" i="77"/>
  <c r="N38" i="77" s="1"/>
  <c r="H31" i="77"/>
  <c r="N31" i="77" s="1"/>
  <c r="I33" i="77"/>
  <c r="O33" i="77" s="1"/>
  <c r="H35" i="77"/>
  <c r="N35" i="77" s="1"/>
  <c r="H5" i="77"/>
  <c r="N5" i="77" s="1"/>
  <c r="I19" i="77"/>
  <c r="O19" i="77" s="1"/>
  <c r="I21" i="77"/>
  <c r="O21" i="77" s="1"/>
  <c r="I24" i="77"/>
  <c r="O24" i="77" s="1"/>
  <c r="H37" i="77"/>
  <c r="N37" i="77" s="1"/>
  <c r="M38" i="77"/>
  <c r="I8" i="77"/>
  <c r="O8" i="77" s="1"/>
  <c r="I10" i="77"/>
  <c r="O10" i="77" s="1"/>
  <c r="I17" i="77"/>
  <c r="O17" i="77" s="1"/>
  <c r="I20" i="77"/>
  <c r="O20" i="77" s="1"/>
  <c r="I23" i="77"/>
  <c r="O23" i="77" s="1"/>
  <c r="H33" i="77"/>
  <c r="N33" i="77" s="1"/>
  <c r="L37" i="77"/>
  <c r="M37" i="77" s="1"/>
  <c r="H21" i="77"/>
  <c r="N21" i="77" s="1"/>
  <c r="I29" i="77"/>
  <c r="O29" i="77" s="1"/>
  <c r="I30" i="77"/>
  <c r="O30" i="77" s="1"/>
  <c r="I31" i="77"/>
  <c r="O31" i="77" s="1"/>
  <c r="I34" i="77"/>
  <c r="O34" i="77" s="1"/>
  <c r="I9" i="77"/>
  <c r="I35" i="77"/>
  <c r="O35" i="77" s="1"/>
  <c r="H36" i="77"/>
  <c r="N36" i="77" s="1"/>
  <c r="M14" i="77"/>
  <c r="H18" i="77"/>
  <c r="N18" i="77" s="1"/>
  <c r="I18" i="77"/>
  <c r="O18" i="77" s="1"/>
  <c r="H22" i="77"/>
  <c r="N22" i="77" s="1"/>
  <c r="I22" i="77"/>
  <c r="O22" i="77" s="1"/>
  <c r="L26" i="77"/>
  <c r="M26" i="77" s="1"/>
  <c r="I32" i="77"/>
  <c r="O32" i="77" s="1"/>
  <c r="I25" i="77"/>
  <c r="O25" i="77" s="1"/>
  <c r="L13" i="77"/>
  <c r="H6" i="77"/>
  <c r="H7" i="77"/>
  <c r="H8" i="77"/>
  <c r="H9" i="77"/>
  <c r="H10" i="77"/>
  <c r="H11" i="77"/>
  <c r="H12" i="77"/>
  <c r="H13" i="77"/>
  <c r="H14" i="77"/>
  <c r="I5" i="77"/>
  <c r="I6" i="77"/>
  <c r="I7" i="77"/>
  <c r="I11" i="77"/>
  <c r="I12" i="77"/>
  <c r="I13" i="77"/>
  <c r="I14" i="77"/>
  <c r="F10" i="78"/>
  <c r="P14" i="77" l="1"/>
  <c r="P29" i="77"/>
  <c r="P22" i="77"/>
  <c r="P18" i="77"/>
  <c r="P31" i="77"/>
  <c r="P25" i="77"/>
  <c r="P30" i="77"/>
  <c r="P36" i="77"/>
  <c r="P32" i="77"/>
  <c r="P35" i="77"/>
  <c r="P23" i="77"/>
  <c r="P24" i="77"/>
  <c r="P26" i="77"/>
  <c r="P34" i="77"/>
  <c r="P20" i="77"/>
  <c r="P21" i="77"/>
  <c r="P33" i="77"/>
  <c r="P37" i="77"/>
  <c r="P17" i="77"/>
  <c r="P38" i="77"/>
  <c r="P19" i="77"/>
  <c r="L36" i="77"/>
  <c r="N8" i="77"/>
  <c r="P8" i="77" s="1"/>
  <c r="O7" i="77"/>
  <c r="N7" i="77"/>
  <c r="M13" i="77"/>
  <c r="O6" i="77"/>
  <c r="N14" i="77"/>
  <c r="N10" i="77"/>
  <c r="N6" i="77"/>
  <c r="L25" i="77"/>
  <c r="O14" i="77"/>
  <c r="N11" i="77"/>
  <c r="O12" i="77"/>
  <c r="O5" i="77"/>
  <c r="N13" i="77"/>
  <c r="O13" i="77"/>
  <c r="O11" i="77"/>
  <c r="N9" i="77"/>
  <c r="N12" i="77"/>
  <c r="L12" i="77"/>
  <c r="L11" i="77" s="1"/>
  <c r="O9" i="77"/>
  <c r="P13" i="77" l="1"/>
  <c r="M36" i="77"/>
  <c r="L35" i="77"/>
  <c r="P9" i="77"/>
  <c r="P5" i="77"/>
  <c r="L24" i="77"/>
  <c r="M25" i="77"/>
  <c r="P10" i="77"/>
  <c r="P7" i="77"/>
  <c r="M12" i="77"/>
  <c r="P11" i="77"/>
  <c r="P12" i="77"/>
  <c r="P6" i="77"/>
  <c r="M11" i="77"/>
  <c r="L10" i="77"/>
  <c r="M35" i="77" l="1"/>
  <c r="L34" i="77"/>
  <c r="M24" i="77"/>
  <c r="L23" i="77"/>
  <c r="M10" i="77"/>
  <c r="L9" i="77"/>
  <c r="M34" i="77" l="1"/>
  <c r="L33" i="77"/>
  <c r="M23" i="77"/>
  <c r="L22" i="77"/>
  <c r="M9" i="77"/>
  <c r="L8" i="77"/>
  <c r="M33" i="77" l="1"/>
  <c r="L32" i="77"/>
  <c r="L21" i="77"/>
  <c r="M22" i="77"/>
  <c r="M8" i="77"/>
  <c r="L7" i="77"/>
  <c r="L31" i="77" l="1"/>
  <c r="M32" i="77"/>
  <c r="M21" i="77"/>
  <c r="L20" i="77"/>
  <c r="M7" i="77"/>
  <c r="L6" i="77"/>
  <c r="M31" i="77" l="1"/>
  <c r="L30" i="77"/>
  <c r="L19" i="77"/>
  <c r="M20" i="77"/>
  <c r="M6" i="77"/>
  <c r="L5" i="77"/>
  <c r="M30" i="77" l="1"/>
  <c r="L29" i="77"/>
  <c r="M29" i="77" s="1"/>
  <c r="L18" i="77"/>
  <c r="M19" i="77"/>
  <c r="L17" i="77" l="1"/>
  <c r="M17" i="77" s="1"/>
  <c r="M18" i="77"/>
  <c r="E38" i="77" l="1"/>
  <c r="E37" i="77"/>
  <c r="E36" i="77"/>
  <c r="E35" i="77"/>
  <c r="E34" i="77"/>
  <c r="E33" i="77"/>
  <c r="E32" i="77"/>
  <c r="E31" i="77"/>
  <c r="E30" i="77"/>
  <c r="E29" i="77"/>
  <c r="E26" i="77"/>
  <c r="E25" i="77"/>
  <c r="E24" i="77"/>
  <c r="E23" i="77"/>
  <c r="E22" i="77"/>
  <c r="E21" i="77"/>
  <c r="E20" i="77"/>
  <c r="E19" i="77"/>
  <c r="E18" i="77"/>
  <c r="E17" i="77"/>
  <c r="E6" i="77"/>
  <c r="E7" i="77"/>
  <c r="E8" i="77"/>
  <c r="E9" i="77"/>
  <c r="E10" i="77"/>
  <c r="E11" i="77"/>
  <c r="E12" i="77"/>
  <c r="E13" i="77"/>
  <c r="E14" i="77"/>
  <c r="E5" i="77"/>
  <c r="R41" i="78" l="1"/>
  <c r="R28" i="78"/>
  <c r="R46" i="78"/>
  <c r="R44" i="78"/>
  <c r="R25" i="78"/>
  <c r="R21" i="78"/>
  <c r="R40" i="78"/>
  <c r="R29" i="78"/>
  <c r="R38" i="78"/>
  <c r="R45" i="78"/>
  <c r="R24" i="78"/>
  <c r="R37" i="78"/>
  <c r="R5" i="78"/>
  <c r="R43" i="78"/>
  <c r="R27" i="78"/>
  <c r="R23" i="78"/>
  <c r="R42" i="78"/>
  <c r="R30" i="78"/>
  <c r="R39" i="78"/>
  <c r="R26" i="78"/>
  <c r="R22" i="78"/>
  <c r="R12" i="78"/>
  <c r="R13" i="78"/>
  <c r="R8" i="78"/>
  <c r="R14" i="78"/>
  <c r="R6" i="78"/>
  <c r="R10" i="78"/>
  <c r="R11" i="78"/>
  <c r="R9" i="78"/>
  <c r="R7" i="78"/>
  <c r="O23" i="78"/>
  <c r="O29" i="78"/>
  <c r="O42" i="78"/>
  <c r="O43" i="78"/>
  <c r="O28" i="78"/>
  <c r="O5" i="78"/>
  <c r="H21" i="78"/>
  <c r="O39" i="78"/>
  <c r="O25" i="78"/>
  <c r="O40" i="78"/>
  <c r="O38" i="78"/>
  <c r="O21" i="78"/>
  <c r="O46" i="78"/>
  <c r="O44" i="78"/>
  <c r="O37" i="78"/>
  <c r="O26" i="78"/>
  <c r="O22" i="78"/>
  <c r="O41" i="78"/>
  <c r="O24" i="78"/>
  <c r="O27" i="78"/>
  <c r="O30" i="78"/>
  <c r="O45" i="78"/>
  <c r="O14" i="78"/>
  <c r="O12" i="78"/>
  <c r="H23" i="78"/>
  <c r="O13" i="78"/>
  <c r="O10" i="78"/>
  <c r="O6" i="78"/>
  <c r="O8" i="78"/>
  <c r="H38" i="78"/>
  <c r="O7" i="78"/>
  <c r="O9" i="78"/>
  <c r="H42" i="78"/>
  <c r="H8" i="78"/>
  <c r="O11" i="78"/>
  <c r="H14" i="78"/>
  <c r="H46" i="78"/>
  <c r="H24" i="78"/>
  <c r="H45" i="78"/>
  <c r="H37" i="78"/>
  <c r="H26" i="78"/>
  <c r="H39" i="78"/>
  <c r="H40" i="78"/>
  <c r="H28" i="78"/>
  <c r="H29" i="78"/>
  <c r="H43" i="78"/>
  <c r="H22" i="78"/>
  <c r="H25" i="78"/>
  <c r="H27" i="78"/>
  <c r="H41" i="78"/>
  <c r="H30" i="78"/>
  <c r="H44" i="78"/>
  <c r="H5" i="78"/>
  <c r="H7" i="78"/>
  <c r="H10" i="78"/>
  <c r="H12" i="78"/>
  <c r="H9" i="78"/>
  <c r="H13" i="78"/>
  <c r="H11" i="78"/>
  <c r="H6" i="78"/>
  <c r="M36" i="70" l="1"/>
  <c r="G36" i="70"/>
  <c r="G35" i="70"/>
  <c r="G34" i="70"/>
  <c r="G33" i="70"/>
  <c r="G32" i="70"/>
  <c r="G31" i="70"/>
  <c r="G30" i="70"/>
  <c r="G29" i="70"/>
  <c r="G28" i="70"/>
  <c r="G27" i="70"/>
  <c r="M25" i="70"/>
  <c r="G25" i="70"/>
  <c r="G24" i="70"/>
  <c r="G23" i="70"/>
  <c r="G22" i="70"/>
  <c r="G21" i="70"/>
  <c r="G20" i="70"/>
  <c r="G19" i="70"/>
  <c r="G18" i="70"/>
  <c r="G17" i="70"/>
  <c r="G16" i="70"/>
  <c r="M14" i="70"/>
  <c r="G14" i="70"/>
  <c r="G13" i="70"/>
  <c r="G12" i="70"/>
  <c r="G11" i="70"/>
  <c r="G10" i="70"/>
  <c r="G9" i="70"/>
  <c r="G8" i="70"/>
  <c r="G7" i="70"/>
  <c r="G6" i="70"/>
  <c r="G5" i="70"/>
  <c r="G5" i="66" l="1"/>
  <c r="G6" i="66"/>
  <c r="G7" i="66"/>
  <c r="G8" i="66"/>
  <c r="G9" i="66"/>
  <c r="G10" i="66"/>
  <c r="G11" i="66"/>
  <c r="G12" i="66"/>
  <c r="G13" i="66"/>
  <c r="G14" i="66"/>
  <c r="M14" i="66"/>
  <c r="G16" i="66"/>
  <c r="G17" i="66"/>
  <c r="G18" i="66"/>
  <c r="G19" i="66"/>
  <c r="G20" i="66"/>
  <c r="G21" i="66"/>
  <c r="G22" i="66"/>
  <c r="G23" i="66"/>
  <c r="G24" i="66"/>
  <c r="G25" i="66"/>
  <c r="M25" i="66"/>
  <c r="G27" i="66"/>
  <c r="R27" i="66" s="1"/>
  <c r="G28" i="66"/>
  <c r="R28" i="66" s="1"/>
  <c r="G29" i="66"/>
  <c r="R29" i="66" s="1"/>
  <c r="G30" i="66"/>
  <c r="R30" i="66" s="1"/>
  <c r="G31" i="66"/>
  <c r="R31" i="66" s="1"/>
  <c r="G32" i="66"/>
  <c r="R32" i="66" s="1"/>
  <c r="G33" i="66"/>
  <c r="R33" i="66" s="1"/>
  <c r="G34" i="66"/>
  <c r="R34" i="66" s="1"/>
  <c r="G35" i="66"/>
  <c r="R35" i="66" s="1"/>
  <c r="G36" i="66"/>
  <c r="M36" i="66"/>
  <c r="R23" i="66" l="1"/>
  <c r="R11" i="66"/>
  <c r="R36" i="66"/>
  <c r="R24" i="66"/>
  <c r="R20" i="66"/>
  <c r="R16" i="66"/>
  <c r="R12" i="66"/>
  <c r="R8" i="66"/>
  <c r="R19" i="66"/>
  <c r="R22" i="66"/>
  <c r="R18" i="66"/>
  <c r="R14" i="66"/>
  <c r="R10" i="66"/>
  <c r="R6" i="66"/>
  <c r="R7" i="66"/>
  <c r="R25" i="66"/>
  <c r="Q25" i="66" s="1"/>
  <c r="R21" i="66"/>
  <c r="R17" i="66"/>
  <c r="R13" i="66"/>
  <c r="R9" i="66"/>
  <c r="R5" i="66"/>
  <c r="F33" i="49" l="1"/>
  <c r="F32" i="49"/>
  <c r="F31" i="49"/>
  <c r="F30" i="49"/>
  <c r="F29" i="49"/>
  <c r="F28" i="49"/>
  <c r="F27" i="49"/>
  <c r="F26" i="49"/>
  <c r="F25" i="49"/>
  <c r="F24" i="49"/>
  <c r="F23" i="49"/>
  <c r="F22" i="49"/>
  <c r="F21" i="49"/>
  <c r="F20" i="49"/>
  <c r="F19" i="49"/>
  <c r="F18" i="49"/>
  <c r="F17" i="49"/>
  <c r="F16" i="49"/>
  <c r="F15" i="49"/>
  <c r="F14" i="49"/>
  <c r="F13" i="49"/>
  <c r="F12" i="49"/>
  <c r="F11" i="49"/>
  <c r="F10" i="49"/>
  <c r="F9" i="49"/>
  <c r="F8" i="49"/>
  <c r="F7" i="49"/>
  <c r="F6" i="49"/>
  <c r="F5" i="49"/>
  <c r="F4" i="49"/>
  <c r="F33" i="15"/>
  <c r="F32" i="15"/>
  <c r="F31" i="15"/>
  <c r="F30" i="15"/>
  <c r="F29" i="15"/>
  <c r="F28" i="15"/>
  <c r="F27" i="15"/>
  <c r="F26" i="15"/>
  <c r="F25" i="15"/>
  <c r="F24" i="15"/>
  <c r="F23" i="15"/>
  <c r="F22" i="15"/>
  <c r="F21" i="15"/>
  <c r="F20" i="15"/>
  <c r="F19" i="15"/>
  <c r="F18" i="15"/>
  <c r="F17" i="15"/>
  <c r="F16" i="15"/>
  <c r="F15" i="15"/>
  <c r="F14" i="15"/>
  <c r="F13" i="15"/>
  <c r="F12" i="15"/>
  <c r="F11" i="15"/>
  <c r="F10" i="15"/>
  <c r="F9" i="15"/>
  <c r="F8" i="15"/>
  <c r="F7" i="15"/>
  <c r="F6" i="15"/>
  <c r="F5" i="15"/>
  <c r="F4" i="15"/>
  <c r="F33" i="48"/>
  <c r="F32" i="48"/>
  <c r="F31" i="48"/>
  <c r="F30" i="48"/>
  <c r="F29" i="48"/>
  <c r="F28" i="48"/>
  <c r="F27" i="48"/>
  <c r="F26" i="48"/>
  <c r="F25" i="48"/>
  <c r="F24" i="48"/>
  <c r="F23" i="48"/>
  <c r="F22" i="48"/>
  <c r="F21" i="48"/>
  <c r="F20" i="48"/>
  <c r="F19" i="48"/>
  <c r="F18" i="48"/>
  <c r="F17" i="48"/>
  <c r="F16" i="48"/>
  <c r="F15" i="48"/>
  <c r="F14" i="48"/>
  <c r="F13" i="48"/>
  <c r="F12" i="48"/>
  <c r="F11" i="48"/>
  <c r="F10" i="48"/>
  <c r="F9" i="48"/>
  <c r="F8" i="48"/>
  <c r="F7" i="48"/>
  <c r="F6" i="48"/>
  <c r="F5" i="48"/>
  <c r="F4" i="48"/>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4" i="16"/>
  <c r="F72" i="57"/>
  <c r="F71" i="57"/>
  <c r="F70" i="57"/>
  <c r="F69" i="57"/>
  <c r="F68" i="57"/>
  <c r="F67" i="57"/>
  <c r="F66" i="57"/>
  <c r="F65" i="57"/>
  <c r="F64" i="57"/>
  <c r="F63" i="57"/>
  <c r="F62" i="57"/>
  <c r="F61" i="57"/>
  <c r="F60" i="57"/>
  <c r="F59" i="57"/>
  <c r="F58" i="57"/>
  <c r="F57" i="57"/>
  <c r="F56" i="57"/>
  <c r="F55" i="57"/>
  <c r="F54" i="57"/>
  <c r="F48" i="57"/>
  <c r="F47" i="57"/>
  <c r="F46" i="57"/>
  <c r="F45" i="57"/>
  <c r="F44" i="57"/>
  <c r="F43" i="57"/>
  <c r="F42" i="57"/>
  <c r="F41" i="57"/>
  <c r="F40" i="57"/>
  <c r="F39" i="57"/>
  <c r="F38" i="57"/>
  <c r="F37" i="57"/>
  <c r="F36" i="57"/>
  <c r="F35" i="57"/>
  <c r="F34" i="57"/>
  <c r="F33" i="57"/>
  <c r="F32" i="57"/>
  <c r="F31" i="57"/>
  <c r="F30" i="57"/>
  <c r="F7" i="57"/>
  <c r="F8" i="57"/>
  <c r="F9" i="57"/>
  <c r="F10" i="57"/>
  <c r="F11" i="57"/>
  <c r="F12" i="57"/>
  <c r="F13" i="57"/>
  <c r="F14" i="57"/>
  <c r="F15" i="57"/>
  <c r="F16" i="57"/>
  <c r="F17" i="57"/>
  <c r="F18" i="57"/>
  <c r="F19" i="57"/>
  <c r="F20" i="57"/>
  <c r="F21" i="57"/>
  <c r="F22" i="57"/>
  <c r="F23" i="57"/>
  <c r="F24" i="57"/>
  <c r="F6" i="57"/>
  <c r="G40" i="45"/>
  <c r="G39" i="45"/>
  <c r="G38" i="45"/>
  <c r="G37" i="45"/>
  <c r="G36" i="45"/>
  <c r="G35" i="45"/>
  <c r="G34" i="45"/>
  <c r="G33" i="45"/>
  <c r="G32" i="45"/>
  <c r="G31" i="45"/>
  <c r="G28" i="45"/>
  <c r="G27" i="45"/>
  <c r="G26" i="45"/>
  <c r="G25" i="45"/>
  <c r="G24" i="45"/>
  <c r="G23" i="45"/>
  <c r="G22" i="45"/>
  <c r="G21" i="45"/>
  <c r="G20" i="45"/>
  <c r="G19" i="45"/>
  <c r="G8" i="45"/>
  <c r="G9" i="45"/>
  <c r="G10" i="45"/>
  <c r="G11" i="45"/>
  <c r="G12" i="45"/>
  <c r="G13" i="45"/>
  <c r="G14" i="45"/>
  <c r="G15" i="45"/>
  <c r="G16" i="45"/>
  <c r="G7" i="45"/>
  <c r="O40" i="45"/>
  <c r="P40" i="45" s="1"/>
  <c r="O39" i="45"/>
  <c r="O38" i="45"/>
  <c r="O37" i="45"/>
  <c r="O36" i="45"/>
  <c r="O35" i="45"/>
  <c r="O34" i="45"/>
  <c r="O33" i="45"/>
  <c r="O32" i="45"/>
  <c r="O31" i="45"/>
  <c r="O28" i="45"/>
  <c r="P28" i="45" s="1"/>
  <c r="O27" i="45"/>
  <c r="O26" i="45"/>
  <c r="O25" i="45"/>
  <c r="O24" i="45"/>
  <c r="O23" i="45"/>
  <c r="O22" i="45"/>
  <c r="O21" i="45"/>
  <c r="O20" i="45"/>
  <c r="O19" i="45"/>
  <c r="O16" i="45"/>
  <c r="O15" i="45"/>
  <c r="O14" i="45"/>
  <c r="O13" i="45"/>
  <c r="O12" i="45"/>
  <c r="O11" i="45"/>
  <c r="O10" i="45"/>
  <c r="O9" i="45"/>
  <c r="O8" i="45"/>
  <c r="O7" i="45"/>
  <c r="K23" i="66" l="1"/>
  <c r="K20" i="66"/>
  <c r="K19" i="66"/>
  <c r="K21" i="66"/>
  <c r="K29" i="66"/>
  <c r="K14" i="66"/>
  <c r="K10" i="66"/>
  <c r="K5" i="66"/>
  <c r="K32" i="66"/>
  <c r="K28" i="66"/>
  <c r="K18" i="66"/>
  <c r="K33" i="66"/>
  <c r="K16" i="66"/>
  <c r="K22" i="66"/>
  <c r="K17" i="66"/>
  <c r="K35" i="66"/>
  <c r="K31" i="66"/>
  <c r="K34" i="66"/>
  <c r="K11" i="66"/>
  <c r="K6" i="66"/>
  <c r="K27" i="66"/>
  <c r="K36" i="66"/>
  <c r="K25" i="66"/>
  <c r="K9" i="66"/>
  <c r="K12" i="66"/>
  <c r="K7" i="66"/>
  <c r="K13" i="66"/>
  <c r="K30" i="66"/>
  <c r="K24" i="66"/>
  <c r="K8" i="66"/>
  <c r="H8" i="66"/>
  <c r="H10" i="66"/>
  <c r="H6" i="66"/>
  <c r="H12" i="66"/>
  <c r="H14" i="66"/>
  <c r="H5" i="66"/>
  <c r="H11" i="66"/>
  <c r="H7" i="66"/>
  <c r="I7" i="66" s="1"/>
  <c r="H9" i="66"/>
  <c r="H13" i="66"/>
  <c r="I13" i="66" s="1"/>
  <c r="G41" i="82"/>
  <c r="G39" i="82"/>
  <c r="G6" i="82"/>
  <c r="G13" i="82"/>
  <c r="G14" i="82"/>
  <c r="G25" i="82"/>
  <c r="G45" i="82"/>
  <c r="G30" i="82"/>
  <c r="G28" i="82"/>
  <c r="G10" i="82"/>
  <c r="I5" i="78"/>
  <c r="K5" i="78" s="1"/>
  <c r="G5" i="82"/>
  <c r="G23" i="82"/>
  <c r="G7" i="82"/>
  <c r="G31" i="82"/>
  <c r="G47" i="82"/>
  <c r="I13" i="78"/>
  <c r="K13" i="78" s="1"/>
  <c r="I14" i="78"/>
  <c r="K14" i="78" s="1"/>
  <c r="I41" i="78"/>
  <c r="K41" i="78" s="1"/>
  <c r="G40" i="82"/>
  <c r="I23" i="78"/>
  <c r="K23" i="78" s="1"/>
  <c r="I12" i="78"/>
  <c r="K12" i="78" s="1"/>
  <c r="I44" i="78"/>
  <c r="K44" i="78" s="1"/>
  <c r="I43" i="78"/>
  <c r="K43" i="78" s="1"/>
  <c r="G24" i="82"/>
  <c r="G8" i="82"/>
  <c r="G12" i="82"/>
  <c r="G26" i="82"/>
  <c r="G43" i="82"/>
  <c r="G42" i="82"/>
  <c r="I45" i="78"/>
  <c r="K45" i="78" s="1"/>
  <c r="I27" i="78"/>
  <c r="K27" i="78" s="1"/>
  <c r="I22" i="78"/>
  <c r="K22" i="78" s="1"/>
  <c r="I38" i="78"/>
  <c r="K38" i="78" s="1"/>
  <c r="I25" i="78"/>
  <c r="K25" i="78" s="1"/>
  <c r="I28" i="78"/>
  <c r="K28" i="78" s="1"/>
  <c r="I37" i="78"/>
  <c r="K37" i="78" s="1"/>
  <c r="G9" i="82"/>
  <c r="G44" i="82"/>
  <c r="G27" i="82"/>
  <c r="G46" i="82"/>
  <c r="I26" i="78"/>
  <c r="K26" i="78" s="1"/>
  <c r="I24" i="78"/>
  <c r="K24" i="78" s="1"/>
  <c r="I40" i="78"/>
  <c r="K40" i="78" s="1"/>
  <c r="I39" i="78"/>
  <c r="K39" i="78" s="1"/>
  <c r="I46" i="78"/>
  <c r="K46" i="78" s="1"/>
  <c r="G22" i="82"/>
  <c r="G29" i="82"/>
  <c r="I21" i="78"/>
  <c r="K21" i="78" s="1"/>
  <c r="I30" i="78"/>
  <c r="K30" i="78" s="1"/>
  <c r="I11" i="78"/>
  <c r="K11" i="78" s="1"/>
  <c r="I42" i="78"/>
  <c r="K42" i="78" s="1"/>
  <c r="G11" i="82"/>
  <c r="G48" i="82"/>
  <c r="I29" i="78"/>
  <c r="K29" i="78" s="1"/>
  <c r="I7" i="78"/>
  <c r="K7" i="78" s="1"/>
  <c r="I8" i="78"/>
  <c r="K8" i="78" s="1"/>
  <c r="I9" i="78"/>
  <c r="K9" i="78" s="1"/>
  <c r="I6" i="78"/>
  <c r="K6" i="78" s="1"/>
  <c r="I10" i="78"/>
  <c r="K10" i="78" s="1"/>
  <c r="H36" i="70"/>
  <c r="H32" i="70"/>
  <c r="H28" i="70"/>
  <c r="H23" i="70"/>
  <c r="H19" i="70"/>
  <c r="H6" i="70"/>
  <c r="H10" i="70"/>
  <c r="H14" i="70"/>
  <c r="H34" i="70"/>
  <c r="H25" i="70"/>
  <c r="H8" i="70"/>
  <c r="H35" i="70"/>
  <c r="H31" i="70"/>
  <c r="H27" i="70"/>
  <c r="H22" i="70"/>
  <c r="H18" i="70"/>
  <c r="H7" i="70"/>
  <c r="H11" i="70"/>
  <c r="H5" i="70"/>
  <c r="H30" i="70"/>
  <c r="H21" i="70"/>
  <c r="H12" i="70"/>
  <c r="H33" i="70"/>
  <c r="H29" i="70"/>
  <c r="H24" i="70"/>
  <c r="H20" i="70"/>
  <c r="H16" i="70"/>
  <c r="H9" i="70"/>
  <c r="H13" i="70"/>
  <c r="H17" i="70"/>
  <c r="I41" i="82"/>
  <c r="H31" i="82"/>
  <c r="H30" i="82"/>
  <c r="I27" i="82"/>
  <c r="I14" i="82"/>
  <c r="I11" i="82"/>
  <c r="I10" i="82"/>
  <c r="H7" i="82"/>
  <c r="H6" i="82"/>
  <c r="H46" i="82"/>
  <c r="H39" i="82"/>
  <c r="H25" i="82"/>
  <c r="I7" i="82"/>
  <c r="I47" i="82"/>
  <c r="H42" i="82"/>
  <c r="H41" i="82"/>
  <c r="I28" i="82"/>
  <c r="H14" i="82"/>
  <c r="H11" i="82"/>
  <c r="H10" i="82"/>
  <c r="I8" i="82"/>
  <c r="I6" i="82"/>
  <c r="I45" i="82"/>
  <c r="I39" i="82"/>
  <c r="I26" i="82"/>
  <c r="I25" i="82"/>
  <c r="I43" i="82"/>
  <c r="H45" i="82"/>
  <c r="I30" i="82"/>
  <c r="H26" i="82"/>
  <c r="I23" i="82"/>
  <c r="H5" i="82"/>
  <c r="H23" i="82"/>
  <c r="I9" i="82"/>
  <c r="H29" i="82"/>
  <c r="H12" i="82"/>
  <c r="I42" i="82"/>
  <c r="H48" i="82"/>
  <c r="J40" i="78"/>
  <c r="J7" i="78"/>
  <c r="J5" i="78"/>
  <c r="L5" i="78" s="1"/>
  <c r="H43" i="82"/>
  <c r="H9" i="82"/>
  <c r="H8" i="82"/>
  <c r="I13" i="82"/>
  <c r="I5" i="82"/>
  <c r="I31" i="82"/>
  <c r="I46" i="82"/>
  <c r="J30" i="78"/>
  <c r="L30" i="78" s="1"/>
  <c r="J12" i="78"/>
  <c r="J11" i="78"/>
  <c r="J22" i="78"/>
  <c r="J29" i="78"/>
  <c r="L29" i="78" s="1"/>
  <c r="J28" i="78"/>
  <c r="L28" i="78" s="1"/>
  <c r="J26" i="78"/>
  <c r="J43" i="78"/>
  <c r="J27" i="78"/>
  <c r="H47" i="82"/>
  <c r="I48" i="82"/>
  <c r="I22" i="82"/>
  <c r="I24" i="82"/>
  <c r="H13" i="82"/>
  <c r="I12" i="82"/>
  <c r="I40" i="82"/>
  <c r="I44" i="82"/>
  <c r="H27" i="82"/>
  <c r="J23" i="78"/>
  <c r="L23" i="78" s="1"/>
  <c r="J38" i="78"/>
  <c r="J46" i="78"/>
  <c r="J37" i="78"/>
  <c r="J14" i="78"/>
  <c r="J45" i="78"/>
  <c r="J13" i="78"/>
  <c r="L13" i="78" s="1"/>
  <c r="H28" i="82"/>
  <c r="H22" i="82"/>
  <c r="H24" i="82"/>
  <c r="I29" i="82"/>
  <c r="H40" i="82"/>
  <c r="H44" i="82"/>
  <c r="J21" i="78"/>
  <c r="J25" i="78"/>
  <c r="L25" i="78" s="1"/>
  <c r="J44" i="78"/>
  <c r="J42" i="78"/>
  <c r="J24" i="78"/>
  <c r="J39" i="78"/>
  <c r="J41" i="78"/>
  <c r="J9" i="78"/>
  <c r="J6" i="78"/>
  <c r="J10" i="78"/>
  <c r="J8" i="78"/>
  <c r="K34" i="70"/>
  <c r="K30" i="70"/>
  <c r="K25" i="70"/>
  <c r="I25" i="70" s="1"/>
  <c r="Q25" i="70" s="1"/>
  <c r="R31" i="82" s="1"/>
  <c r="K21" i="70"/>
  <c r="K17" i="70"/>
  <c r="K8" i="70"/>
  <c r="I8" i="70" s="1"/>
  <c r="K12" i="70"/>
  <c r="I12" i="70" s="1"/>
  <c r="K33" i="70"/>
  <c r="K29" i="70"/>
  <c r="K24" i="70"/>
  <c r="K20" i="70"/>
  <c r="K16" i="70"/>
  <c r="K9" i="70"/>
  <c r="K13" i="70"/>
  <c r="I13" i="70" s="1"/>
  <c r="K36" i="70"/>
  <c r="K32" i="70"/>
  <c r="K28" i="70"/>
  <c r="K23" i="70"/>
  <c r="K19" i="70"/>
  <c r="I19" i="70" s="1"/>
  <c r="K6" i="70"/>
  <c r="K10" i="70"/>
  <c r="K14" i="70"/>
  <c r="I14" i="70" s="1"/>
  <c r="Q14" i="70" s="1"/>
  <c r="R14" i="82" s="1"/>
  <c r="K35" i="70"/>
  <c r="K31" i="70"/>
  <c r="K27" i="70"/>
  <c r="K22" i="70"/>
  <c r="K18" i="70"/>
  <c r="K7" i="70"/>
  <c r="K11" i="70"/>
  <c r="K5" i="70"/>
  <c r="I5" i="70" s="1"/>
  <c r="H36" i="66"/>
  <c r="H32" i="66"/>
  <c r="H28" i="66"/>
  <c r="H23" i="66"/>
  <c r="I23" i="66" s="1"/>
  <c r="H19" i="66"/>
  <c r="I19" i="66" s="1"/>
  <c r="H35" i="66"/>
  <c r="H31" i="66"/>
  <c r="H27" i="66"/>
  <c r="H22" i="66"/>
  <c r="H18" i="66"/>
  <c r="I18" i="66" s="1"/>
  <c r="H34" i="66"/>
  <c r="H30" i="66"/>
  <c r="H25" i="66"/>
  <c r="H21" i="66"/>
  <c r="I21" i="66" s="1"/>
  <c r="H17" i="66"/>
  <c r="I11" i="66"/>
  <c r="H33" i="66"/>
  <c r="H29" i="66"/>
  <c r="H24" i="66"/>
  <c r="H20" i="66"/>
  <c r="H16" i="66"/>
  <c r="I16" i="66" s="1"/>
  <c r="H15" i="45"/>
  <c r="K15" i="45"/>
  <c r="H11" i="45"/>
  <c r="K11" i="45"/>
  <c r="H19" i="45"/>
  <c r="K19" i="45"/>
  <c r="H23" i="45"/>
  <c r="K23" i="45"/>
  <c r="H27" i="45"/>
  <c r="K27" i="45"/>
  <c r="H33" i="45"/>
  <c r="K33" i="45"/>
  <c r="H37" i="45"/>
  <c r="K37" i="45"/>
  <c r="H14" i="45"/>
  <c r="K14" i="45"/>
  <c r="H10" i="45"/>
  <c r="K10" i="45"/>
  <c r="H20" i="45"/>
  <c r="K20" i="45"/>
  <c r="H24" i="45"/>
  <c r="K24" i="45"/>
  <c r="H28" i="45"/>
  <c r="K28" i="45"/>
  <c r="H34" i="45"/>
  <c r="K34" i="45"/>
  <c r="H38" i="45"/>
  <c r="K38" i="45"/>
  <c r="H7" i="45"/>
  <c r="K7" i="45"/>
  <c r="H13" i="45"/>
  <c r="K13" i="45"/>
  <c r="H9" i="45"/>
  <c r="K9" i="45"/>
  <c r="H21" i="45"/>
  <c r="K21" i="45"/>
  <c r="H25" i="45"/>
  <c r="K25" i="45"/>
  <c r="H31" i="45"/>
  <c r="K31" i="45"/>
  <c r="H35" i="45"/>
  <c r="K35" i="45"/>
  <c r="H39" i="45"/>
  <c r="K39" i="45"/>
  <c r="H16" i="45"/>
  <c r="K16" i="45"/>
  <c r="H12" i="45"/>
  <c r="K12" i="45"/>
  <c r="H8" i="45"/>
  <c r="K8" i="45"/>
  <c r="H22" i="45"/>
  <c r="K22" i="45"/>
  <c r="H26" i="45"/>
  <c r="K26" i="45"/>
  <c r="H32" i="45"/>
  <c r="K32" i="45"/>
  <c r="H36" i="45"/>
  <c r="K36" i="45"/>
  <c r="H40" i="45"/>
  <c r="K40" i="45"/>
  <c r="P39" i="45"/>
  <c r="P27" i="45"/>
  <c r="P16" i="45"/>
  <c r="L9" i="78" l="1"/>
  <c r="L14" i="78"/>
  <c r="L26" i="78"/>
  <c r="I7" i="70"/>
  <c r="I21" i="70"/>
  <c r="L41" i="78"/>
  <c r="M41" i="78" s="1"/>
  <c r="P41" i="78" s="1"/>
  <c r="L24" i="78"/>
  <c r="M24" i="78" s="1"/>
  <c r="P24" i="78" s="1"/>
  <c r="L38" i="78"/>
  <c r="N38" i="78" s="1"/>
  <c r="L22" i="78"/>
  <c r="I31" i="70"/>
  <c r="M5" i="78"/>
  <c r="P5" i="78" s="1"/>
  <c r="I8" i="66"/>
  <c r="I14" i="66"/>
  <c r="I6" i="66"/>
  <c r="I23" i="70"/>
  <c r="I30" i="70"/>
  <c r="I6" i="70"/>
  <c r="I16" i="70"/>
  <c r="I22" i="70"/>
  <c r="I27" i="70"/>
  <c r="I28" i="70"/>
  <c r="I33" i="70"/>
  <c r="I10" i="70"/>
  <c r="I17" i="70"/>
  <c r="I12" i="66"/>
  <c r="I20" i="66"/>
  <c r="I9" i="66"/>
  <c r="I34" i="66"/>
  <c r="I33" i="66"/>
  <c r="I28" i="66"/>
  <c r="I5" i="66"/>
  <c r="I10" i="66"/>
  <c r="I22" i="66"/>
  <c r="J22" i="66" s="1"/>
  <c r="I32" i="66"/>
  <c r="I31" i="66"/>
  <c r="I30" i="66"/>
  <c r="L11" i="78"/>
  <c r="M11" i="78" s="1"/>
  <c r="P11" i="78" s="1"/>
  <c r="L8" i="78"/>
  <c r="M8" i="78" s="1"/>
  <c r="P8" i="78" s="1"/>
  <c r="L6" i="78"/>
  <c r="N6" i="78" s="1"/>
  <c r="L21" i="78"/>
  <c r="N21" i="78" s="1"/>
  <c r="L44" i="78"/>
  <c r="M44" i="78" s="1"/>
  <c r="P44" i="78" s="1"/>
  <c r="L45" i="78"/>
  <c r="M45" i="78" s="1"/>
  <c r="P45" i="78" s="1"/>
  <c r="J31" i="82"/>
  <c r="I27" i="66"/>
  <c r="I17" i="66"/>
  <c r="J17" i="66" s="1"/>
  <c r="I36" i="66"/>
  <c r="I29" i="66"/>
  <c r="I24" i="66"/>
  <c r="J24" i="66" s="1"/>
  <c r="I25" i="66"/>
  <c r="I35" i="66"/>
  <c r="I20" i="70"/>
  <c r="L12" i="78"/>
  <c r="N12" i="78" s="1"/>
  <c r="I34" i="70"/>
  <c r="I24" i="70"/>
  <c r="I32" i="70"/>
  <c r="J42" i="82"/>
  <c r="I36" i="70"/>
  <c r="Q36" i="70" s="1"/>
  <c r="R48" i="82" s="1"/>
  <c r="L37" i="78"/>
  <c r="N37" i="78" s="1"/>
  <c r="I11" i="70"/>
  <c r="L39" i="78"/>
  <c r="M39" i="78" s="1"/>
  <c r="P39" i="78" s="1"/>
  <c r="L46" i="78"/>
  <c r="N46" i="78" s="1"/>
  <c r="J46" i="82"/>
  <c r="G15" i="82"/>
  <c r="I9" i="70"/>
  <c r="I29" i="70"/>
  <c r="L10" i="78"/>
  <c r="N10" i="78" s="1"/>
  <c r="L27" i="78"/>
  <c r="M27" i="78" s="1"/>
  <c r="P27" i="78" s="1"/>
  <c r="G32" i="82"/>
  <c r="I40" i="45"/>
  <c r="I32" i="45"/>
  <c r="I22" i="45"/>
  <c r="I12" i="45"/>
  <c r="I38" i="45"/>
  <c r="I28" i="45"/>
  <c r="I20" i="45"/>
  <c r="I14" i="45"/>
  <c r="L43" i="78"/>
  <c r="M43" i="78" s="1"/>
  <c r="P43" i="78" s="1"/>
  <c r="L7" i="78"/>
  <c r="M7" i="78" s="1"/>
  <c r="P7" i="78" s="1"/>
  <c r="G49" i="82"/>
  <c r="I18" i="70"/>
  <c r="I35" i="70"/>
  <c r="L42" i="78"/>
  <c r="N42" i="78" s="1"/>
  <c r="L40" i="78"/>
  <c r="M40" i="78" s="1"/>
  <c r="P40" i="78" s="1"/>
  <c r="I36" i="45"/>
  <c r="I26" i="45"/>
  <c r="I8" i="45"/>
  <c r="I16" i="45"/>
  <c r="I35" i="45"/>
  <c r="I25" i="45"/>
  <c r="I9" i="45"/>
  <c r="I34" i="45"/>
  <c r="I24" i="45"/>
  <c r="I10" i="45"/>
  <c r="I15" i="45"/>
  <c r="S42" i="82"/>
  <c r="S46" i="82"/>
  <c r="S31" i="82"/>
  <c r="J24" i="82"/>
  <c r="S24" i="82"/>
  <c r="I32" i="82"/>
  <c r="N22" i="78"/>
  <c r="M22" i="78"/>
  <c r="P22" i="78" s="1"/>
  <c r="S8" i="82"/>
  <c r="J8" i="82"/>
  <c r="S12" i="82"/>
  <c r="J12" i="82"/>
  <c r="H15" i="82"/>
  <c r="S5" i="82"/>
  <c r="J5" i="82"/>
  <c r="J45" i="82"/>
  <c r="S45" i="82"/>
  <c r="I49" i="82"/>
  <c r="S10" i="82"/>
  <c r="J10" i="82"/>
  <c r="J41" i="82"/>
  <c r="S41" i="82"/>
  <c r="J25" i="82"/>
  <c r="S25" i="82"/>
  <c r="S7" i="82"/>
  <c r="J7" i="82"/>
  <c r="M9" i="78"/>
  <c r="P9" i="78" s="1"/>
  <c r="N9" i="78"/>
  <c r="S44" i="82"/>
  <c r="J44" i="82"/>
  <c r="H32" i="82"/>
  <c r="S22" i="82"/>
  <c r="J22" i="82"/>
  <c r="N14" i="78"/>
  <c r="M14" i="78"/>
  <c r="S14" i="78" s="1"/>
  <c r="N23" i="78"/>
  <c r="M23" i="78"/>
  <c r="P23" i="78" s="1"/>
  <c r="N26" i="78"/>
  <c r="M26" i="78"/>
  <c r="P26" i="78" s="1"/>
  <c r="S9" i="82"/>
  <c r="J9" i="82"/>
  <c r="J29" i="82"/>
  <c r="S29" i="82"/>
  <c r="S11" i="82"/>
  <c r="J11" i="82"/>
  <c r="J39" i="82"/>
  <c r="S39" i="82"/>
  <c r="S30" i="82"/>
  <c r="J30" i="82"/>
  <c r="J40" i="82"/>
  <c r="S40" i="82"/>
  <c r="S28" i="82"/>
  <c r="J28" i="82"/>
  <c r="S27" i="82"/>
  <c r="J27" i="82"/>
  <c r="S13" i="82"/>
  <c r="J13" i="82"/>
  <c r="S47" i="82"/>
  <c r="J47" i="82"/>
  <c r="M28" i="78"/>
  <c r="P28" i="78" s="1"/>
  <c r="N28" i="78"/>
  <c r="I15" i="82"/>
  <c r="S43" i="82"/>
  <c r="J43" i="82"/>
  <c r="H49" i="82"/>
  <c r="S48" i="82"/>
  <c r="J48" i="82"/>
  <c r="S26" i="82"/>
  <c r="J26" i="82"/>
  <c r="S14" i="82"/>
  <c r="J14" i="82"/>
  <c r="N25" i="78"/>
  <c r="M25" i="78"/>
  <c r="P25" i="78" s="1"/>
  <c r="N13" i="78"/>
  <c r="M13" i="78"/>
  <c r="P13" i="78" s="1"/>
  <c r="N29" i="78"/>
  <c r="M29" i="78"/>
  <c r="P29" i="78" s="1"/>
  <c r="M30" i="78"/>
  <c r="S30" i="78" s="1"/>
  <c r="N30" i="78"/>
  <c r="N5" i="78"/>
  <c r="S23" i="82"/>
  <c r="J23" i="82"/>
  <c r="S6" i="82"/>
  <c r="J6" i="82"/>
  <c r="I7" i="45"/>
  <c r="I37" i="45"/>
  <c r="I27" i="45"/>
  <c r="I19" i="45"/>
  <c r="I39" i="45"/>
  <c r="I31" i="45"/>
  <c r="I21" i="45"/>
  <c r="I13" i="45"/>
  <c r="I23" i="45"/>
  <c r="I33" i="45"/>
  <c r="I11" i="45"/>
  <c r="J23" i="66"/>
  <c r="J16" i="66"/>
  <c r="J20" i="66"/>
  <c r="J21" i="66"/>
  <c r="J18" i="66"/>
  <c r="J19" i="66"/>
  <c r="P26" i="45"/>
  <c r="P38" i="45"/>
  <c r="P15" i="45"/>
  <c r="M38" i="78" l="1"/>
  <c r="P38" i="78" s="1"/>
  <c r="N41" i="78"/>
  <c r="N24" i="78"/>
  <c r="N44" i="78"/>
  <c r="N11" i="78"/>
  <c r="N8" i="78"/>
  <c r="N45" i="78"/>
  <c r="M21" i="78"/>
  <c r="P21" i="78" s="1"/>
  <c r="N7" i="78"/>
  <c r="M6" i="78"/>
  <c r="P6" i="78" s="1"/>
  <c r="N27" i="78"/>
  <c r="M46" i="78"/>
  <c r="S46" i="78" s="1"/>
  <c r="M12" i="78"/>
  <c r="P12" i="78" s="1"/>
  <c r="N39" i="78"/>
  <c r="U31" i="82"/>
  <c r="M10" i="78"/>
  <c r="P10" i="78" s="1"/>
  <c r="N40" i="78"/>
  <c r="M37" i="78"/>
  <c r="P37" i="78" s="1"/>
  <c r="M42" i="78"/>
  <c r="P42" i="78" s="1"/>
  <c r="N43" i="78"/>
  <c r="U14" i="82"/>
  <c r="U48" i="82"/>
  <c r="M19" i="66"/>
  <c r="M18" i="66"/>
  <c r="M21" i="66"/>
  <c r="M20" i="66"/>
  <c r="M17" i="66"/>
  <c r="M16" i="66"/>
  <c r="L16" i="66"/>
  <c r="N17" i="66" s="1"/>
  <c r="M23" i="66"/>
  <c r="M22" i="66"/>
  <c r="M24" i="66"/>
  <c r="P14" i="45"/>
  <c r="P37" i="45"/>
  <c r="P25" i="45"/>
  <c r="O16" i="66" l="1"/>
  <c r="L17" i="66"/>
  <c r="N18" i="66" s="1"/>
  <c r="P36" i="45"/>
  <c r="P24" i="45"/>
  <c r="P13" i="45"/>
  <c r="Q25" i="78" l="1"/>
  <c r="Q29" i="78"/>
  <c r="Q22" i="78"/>
  <c r="Q28" i="78"/>
  <c r="Q23" i="78"/>
  <c r="Q27" i="78"/>
  <c r="Q26" i="78"/>
  <c r="Q21" i="78"/>
  <c r="U21" i="78" s="1"/>
  <c r="T22" i="78" s="1"/>
  <c r="Q24" i="78"/>
  <c r="L18" i="66"/>
  <c r="N19" i="66" s="1"/>
  <c r="O17" i="66"/>
  <c r="P23" i="45"/>
  <c r="P12" i="45"/>
  <c r="P35" i="45"/>
  <c r="S21" i="78" l="1"/>
  <c r="W21" i="78" s="1"/>
  <c r="V21" i="78" s="1"/>
  <c r="S27" i="78"/>
  <c r="S28" i="78"/>
  <c r="S29" i="78"/>
  <c r="S24" i="78"/>
  <c r="S26" i="78"/>
  <c r="S23" i="78"/>
  <c r="S22" i="78"/>
  <c r="S25" i="78"/>
  <c r="U22" i="78"/>
  <c r="T23" i="78" s="1"/>
  <c r="L19" i="66"/>
  <c r="N20" i="66" s="1"/>
  <c r="O18" i="66"/>
  <c r="P11" i="45"/>
  <c r="P34" i="45"/>
  <c r="P22" i="45"/>
  <c r="W22" i="78" l="1"/>
  <c r="V22" i="78" s="1"/>
  <c r="U23" i="78"/>
  <c r="T24" i="78" s="1"/>
  <c r="L20" i="66"/>
  <c r="N21" i="66" s="1"/>
  <c r="O19" i="66"/>
  <c r="P33" i="45"/>
  <c r="P21" i="45"/>
  <c r="P10" i="45"/>
  <c r="W23" i="78" l="1"/>
  <c r="V23" i="78" s="1"/>
  <c r="U24" i="78"/>
  <c r="T25" i="78" s="1"/>
  <c r="O20" i="66"/>
  <c r="L21" i="66"/>
  <c r="N22" i="66" s="1"/>
  <c r="P20" i="45"/>
  <c r="P9" i="45"/>
  <c r="P32" i="45"/>
  <c r="W24" i="78" l="1"/>
  <c r="V24" i="78" s="1"/>
  <c r="U25" i="78"/>
  <c r="T26" i="78" s="1"/>
  <c r="O21" i="66"/>
  <c r="L22" i="66"/>
  <c r="N23" i="66" s="1"/>
  <c r="P8" i="45"/>
  <c r="P31" i="45"/>
  <c r="P19" i="45"/>
  <c r="W25" i="78" l="1"/>
  <c r="V25" i="78" s="1"/>
  <c r="U26" i="78"/>
  <c r="O22" i="66"/>
  <c r="L23" i="66"/>
  <c r="N24" i="66" s="1"/>
  <c r="P7" i="45"/>
  <c r="T27" i="78" l="1"/>
  <c r="O23" i="66"/>
  <c r="L24" i="66"/>
  <c r="N25" i="66" s="1"/>
  <c r="W26" i="78" l="1"/>
  <c r="V26" i="78" s="1"/>
  <c r="U27" i="78"/>
  <c r="T28" i="78" s="1"/>
  <c r="O25" i="66"/>
  <c r="P25" i="66" s="1"/>
  <c r="L25" i="66"/>
  <c r="O24" i="66"/>
  <c r="N31" i="45"/>
  <c r="N9" i="45"/>
  <c r="N36" i="45"/>
  <c r="N26" i="45"/>
  <c r="N8" i="45"/>
  <c r="N16" i="45"/>
  <c r="N19" i="45"/>
  <c r="N20" i="45"/>
  <c r="N27" i="45"/>
  <c r="N13" i="45"/>
  <c r="N34" i="45"/>
  <c r="N24" i="45"/>
  <c r="N10" i="45"/>
  <c r="N38" i="45"/>
  <c r="N14" i="45"/>
  <c r="N39" i="45"/>
  <c r="N23" i="45"/>
  <c r="N40" i="45"/>
  <c r="N32" i="45"/>
  <c r="N22" i="45"/>
  <c r="N12" i="45"/>
  <c r="N35" i="45"/>
  <c r="N28" i="45"/>
  <c r="N37" i="45"/>
  <c r="N11" i="45"/>
  <c r="N15" i="45"/>
  <c r="N33" i="45"/>
  <c r="N7" i="45"/>
  <c r="N21" i="45"/>
  <c r="N25" i="45"/>
  <c r="M7" i="45" l="1"/>
  <c r="W27" i="78"/>
  <c r="V27" i="78" s="1"/>
  <c r="U28" i="78"/>
  <c r="T29" i="78" s="1"/>
  <c r="P24" i="66"/>
  <c r="L7" i="45"/>
  <c r="J7" i="45" s="1"/>
  <c r="Q7" i="45"/>
  <c r="M38" i="45"/>
  <c r="L39" i="45"/>
  <c r="Q39" i="45"/>
  <c r="M19" i="45"/>
  <c r="L20" i="45"/>
  <c r="Q20" i="45"/>
  <c r="M32" i="45"/>
  <c r="L33" i="45"/>
  <c r="Q33" i="45"/>
  <c r="L28" i="45"/>
  <c r="M27" i="45"/>
  <c r="Q28" i="45"/>
  <c r="M28" i="45"/>
  <c r="L34" i="45"/>
  <c r="M33" i="45"/>
  <c r="Q34" i="45"/>
  <c r="L36" i="45"/>
  <c r="M35" i="45"/>
  <c r="Q36" i="45"/>
  <c r="M24" i="45"/>
  <c r="L25" i="45"/>
  <c r="Q25" i="45"/>
  <c r="M14" i="45"/>
  <c r="L15" i="45"/>
  <c r="Q15" i="45"/>
  <c r="M34" i="45"/>
  <c r="L35" i="45"/>
  <c r="Q35" i="45"/>
  <c r="M40" i="45"/>
  <c r="L40" i="45"/>
  <c r="Q40" i="45"/>
  <c r="M39" i="45"/>
  <c r="L38" i="45"/>
  <c r="M37" i="45"/>
  <c r="Q38" i="45"/>
  <c r="M12" i="45"/>
  <c r="L13" i="45"/>
  <c r="Q13" i="45"/>
  <c r="M15" i="45"/>
  <c r="M16" i="45"/>
  <c r="L16" i="45"/>
  <c r="Q16" i="45"/>
  <c r="M8" i="45"/>
  <c r="L9" i="45"/>
  <c r="R9" i="45" s="1"/>
  <c r="Q9" i="45"/>
  <c r="L37" i="45"/>
  <c r="M36" i="45"/>
  <c r="Q37" i="45"/>
  <c r="L22" i="45"/>
  <c r="M21" i="45"/>
  <c r="Q22" i="45"/>
  <c r="L24" i="45"/>
  <c r="M23" i="45"/>
  <c r="Q24" i="45"/>
  <c r="L26" i="45"/>
  <c r="M25" i="45"/>
  <c r="Q26" i="45"/>
  <c r="L32" i="45"/>
  <c r="M31" i="45"/>
  <c r="Q32" i="45"/>
  <c r="M13" i="45"/>
  <c r="L14" i="45"/>
  <c r="R14" i="45" s="1"/>
  <c r="Q14" i="45"/>
  <c r="L19" i="45"/>
  <c r="Q19" i="45"/>
  <c r="M20" i="45"/>
  <c r="L21" i="45"/>
  <c r="Q21" i="45"/>
  <c r="L11" i="45"/>
  <c r="M10" i="45"/>
  <c r="Q11" i="45"/>
  <c r="M11" i="45"/>
  <c r="L12" i="45"/>
  <c r="Q12" i="45"/>
  <c r="L23" i="45"/>
  <c r="M22" i="45"/>
  <c r="Q23" i="45"/>
  <c r="L10" i="45"/>
  <c r="M9" i="45"/>
  <c r="Q10" i="45"/>
  <c r="L27" i="45"/>
  <c r="M26" i="45"/>
  <c r="Q27" i="45"/>
  <c r="L8" i="45"/>
  <c r="Q8" i="45"/>
  <c r="L31" i="45"/>
  <c r="Q31" i="45"/>
  <c r="R7" i="45" l="1"/>
  <c r="R5" i="70" s="1"/>
  <c r="J5" i="70" s="1"/>
  <c r="M5" i="82" s="1"/>
  <c r="L7" i="82"/>
  <c r="R7" i="70"/>
  <c r="J7" i="70" s="1"/>
  <c r="Y31" i="82"/>
  <c r="Y48" i="82"/>
  <c r="L5" i="82"/>
  <c r="L12" i="82"/>
  <c r="R12" i="70"/>
  <c r="J12" i="70" s="1"/>
  <c r="W28" i="78"/>
  <c r="V28" i="78" s="1"/>
  <c r="U29" i="78"/>
  <c r="T30" i="78" s="1"/>
  <c r="Q24" i="66"/>
  <c r="P23" i="66"/>
  <c r="R26" i="45"/>
  <c r="R37" i="45"/>
  <c r="R34" i="45"/>
  <c r="R25" i="45"/>
  <c r="R36" i="45"/>
  <c r="R20" i="45"/>
  <c r="R19" i="45"/>
  <c r="R16" i="45"/>
  <c r="R14" i="70" s="1"/>
  <c r="J16" i="45"/>
  <c r="J25" i="45"/>
  <c r="R23" i="45"/>
  <c r="J23" i="45"/>
  <c r="J11" i="45"/>
  <c r="J14" i="45"/>
  <c r="R22" i="45"/>
  <c r="J22" i="45"/>
  <c r="J13" i="45"/>
  <c r="R40" i="45"/>
  <c r="R36" i="70" s="1"/>
  <c r="J40" i="45"/>
  <c r="J15" i="45"/>
  <c r="J36" i="45"/>
  <c r="R31" i="45"/>
  <c r="J31" i="45"/>
  <c r="J8" i="45"/>
  <c r="J27" i="45"/>
  <c r="J10" i="45"/>
  <c r="R13" i="45"/>
  <c r="R32" i="45"/>
  <c r="J32" i="45"/>
  <c r="J26" i="45"/>
  <c r="R15" i="45"/>
  <c r="J38" i="45"/>
  <c r="R28" i="45"/>
  <c r="R25" i="70" s="1"/>
  <c r="J28" i="45"/>
  <c r="R38" i="45"/>
  <c r="J12" i="45"/>
  <c r="J21" i="45"/>
  <c r="J9" i="45"/>
  <c r="R12" i="45"/>
  <c r="J35" i="45"/>
  <c r="R35" i="45"/>
  <c r="J33" i="45"/>
  <c r="R39" i="45"/>
  <c r="J39" i="45"/>
  <c r="R24" i="45"/>
  <c r="J24" i="45"/>
  <c r="J37" i="45"/>
  <c r="J34" i="45"/>
  <c r="R11" i="45"/>
  <c r="R10" i="45"/>
  <c r="J19" i="45"/>
  <c r="R21" i="45"/>
  <c r="R8" i="45"/>
  <c r="R33" i="45"/>
  <c r="R27" i="45"/>
  <c r="J20" i="45"/>
  <c r="M12" i="70" l="1"/>
  <c r="M12" i="82"/>
  <c r="M7" i="70"/>
  <c r="M7" i="82"/>
  <c r="Y14" i="82"/>
  <c r="T7" i="82"/>
  <c r="U7" i="82" s="1"/>
  <c r="T12" i="82"/>
  <c r="U12" i="82" s="1"/>
  <c r="L10" i="82"/>
  <c r="R10" i="70"/>
  <c r="J10" i="70" s="1"/>
  <c r="R13" i="70"/>
  <c r="J13" i="70" s="1"/>
  <c r="L13" i="82"/>
  <c r="L22" i="82"/>
  <c r="R16" i="70"/>
  <c r="J16" i="70" s="1"/>
  <c r="M22" i="82" s="1"/>
  <c r="T22" i="82" s="1"/>
  <c r="U22" i="82" s="1"/>
  <c r="W22" i="82" s="1"/>
  <c r="R31" i="70"/>
  <c r="J31" i="70" s="1"/>
  <c r="L43" i="82"/>
  <c r="R19" i="70"/>
  <c r="J19" i="70" s="1"/>
  <c r="L25" i="82"/>
  <c r="R29" i="70"/>
  <c r="J29" i="70" s="1"/>
  <c r="L41" i="82"/>
  <c r="L39" i="82"/>
  <c r="R27" i="70"/>
  <c r="J27" i="70" s="1"/>
  <c r="M39" i="82" s="1"/>
  <c r="T39" i="82" s="1"/>
  <c r="U39" i="82" s="1"/>
  <c r="W39" i="82" s="1"/>
  <c r="L23" i="82"/>
  <c r="R17" i="70"/>
  <c r="J17" i="70" s="1"/>
  <c r="R32" i="70"/>
  <c r="J32" i="70" s="1"/>
  <c r="L44" i="82"/>
  <c r="L30" i="82"/>
  <c r="R24" i="70"/>
  <c r="J24" i="70" s="1"/>
  <c r="R6" i="70"/>
  <c r="J6" i="70" s="1"/>
  <c r="L6" i="82"/>
  <c r="L27" i="82"/>
  <c r="R21" i="70"/>
  <c r="J21" i="70" s="1"/>
  <c r="R18" i="70"/>
  <c r="J18" i="70" s="1"/>
  <c r="L24" i="82"/>
  <c r="L40" i="82"/>
  <c r="R28" i="70"/>
  <c r="J28" i="70" s="1"/>
  <c r="L28" i="82"/>
  <c r="R22" i="70"/>
  <c r="J22" i="70" s="1"/>
  <c r="R9" i="70"/>
  <c r="J9" i="70" s="1"/>
  <c r="L9" i="82"/>
  <c r="R35" i="70"/>
  <c r="J35" i="70" s="1"/>
  <c r="L47" i="82"/>
  <c r="L46" i="82"/>
  <c r="R34" i="70"/>
  <c r="J34" i="70" s="1"/>
  <c r="R11" i="70"/>
  <c r="J11" i="70" s="1"/>
  <c r="L11" i="82"/>
  <c r="R20" i="70"/>
  <c r="J20" i="70" s="1"/>
  <c r="L26" i="82"/>
  <c r="R30" i="70"/>
  <c r="J30" i="70" s="1"/>
  <c r="L42" i="82"/>
  <c r="T5" i="82"/>
  <c r="U5" i="82" s="1"/>
  <c r="W5" i="82" s="1"/>
  <c r="O5" i="82"/>
  <c r="N6" i="82" s="1"/>
  <c r="R8" i="70"/>
  <c r="J8" i="70" s="1"/>
  <c r="L8" i="82"/>
  <c r="L45" i="82"/>
  <c r="R33" i="70"/>
  <c r="J33" i="70" s="1"/>
  <c r="M5" i="70"/>
  <c r="L5" i="70"/>
  <c r="N6" i="70" s="1"/>
  <c r="L29" i="82"/>
  <c r="R23" i="70"/>
  <c r="J23" i="70" s="1"/>
  <c r="W29" i="78"/>
  <c r="V29" i="78" s="1"/>
  <c r="U30" i="78"/>
  <c r="Q23" i="66"/>
  <c r="P22" i="66"/>
  <c r="M18" i="70" l="1"/>
  <c r="M24" i="82"/>
  <c r="T24" i="82" s="1"/>
  <c r="U24" i="82" s="1"/>
  <c r="M20" i="70"/>
  <c r="M26" i="82"/>
  <c r="T26" i="82" s="1"/>
  <c r="U26" i="82" s="1"/>
  <c r="M33" i="70"/>
  <c r="M45" i="82"/>
  <c r="T45" i="82" s="1"/>
  <c r="U45" i="82" s="1"/>
  <c r="O22" i="82"/>
  <c r="N23" i="82" s="1"/>
  <c r="P22" i="82" s="1"/>
  <c r="M29" i="70"/>
  <c r="M41" i="82"/>
  <c r="T41" i="82" s="1"/>
  <c r="U41" i="82" s="1"/>
  <c r="M31" i="70"/>
  <c r="M43" i="82"/>
  <c r="T43" i="82" s="1"/>
  <c r="U43" i="82" s="1"/>
  <c r="M10" i="70"/>
  <c r="M10" i="82"/>
  <c r="T10" i="82" s="1"/>
  <c r="U10" i="82" s="1"/>
  <c r="M30" i="70"/>
  <c r="M42" i="82"/>
  <c r="T42" i="82" s="1"/>
  <c r="U42" i="82" s="1"/>
  <c r="M17" i="70"/>
  <c r="M23" i="82"/>
  <c r="T23" i="82" s="1"/>
  <c r="U23" i="82" s="1"/>
  <c r="M24" i="70"/>
  <c r="M30" i="82"/>
  <c r="T30" i="82" s="1"/>
  <c r="U30" i="82" s="1"/>
  <c r="M19" i="70"/>
  <c r="M25" i="82"/>
  <c r="T25" i="82" s="1"/>
  <c r="U25" i="82" s="1"/>
  <c r="M35" i="70"/>
  <c r="M47" i="82"/>
  <c r="T47" i="82" s="1"/>
  <c r="U47" i="82" s="1"/>
  <c r="M21" i="70"/>
  <c r="M27" i="82"/>
  <c r="T27" i="82" s="1"/>
  <c r="U27" i="82" s="1"/>
  <c r="O39" i="82"/>
  <c r="N40" i="82" s="1"/>
  <c r="M34" i="70"/>
  <c r="M46" i="82"/>
  <c r="T46" i="82" s="1"/>
  <c r="U46" i="82" s="1"/>
  <c r="M6" i="70"/>
  <c r="M6" i="82"/>
  <c r="T6" i="82" s="1"/>
  <c r="U6" i="82" s="1"/>
  <c r="M9" i="70"/>
  <c r="M9" i="82"/>
  <c r="T9" i="82" s="1"/>
  <c r="U9" i="82" s="1"/>
  <c r="M23" i="70"/>
  <c r="M29" i="82"/>
  <c r="T29" i="82" s="1"/>
  <c r="U29" i="82" s="1"/>
  <c r="M8" i="70"/>
  <c r="M8" i="82"/>
  <c r="T8" i="82" s="1"/>
  <c r="U8" i="82" s="1"/>
  <c r="M22" i="70"/>
  <c r="M28" i="82"/>
  <c r="T28" i="82" s="1"/>
  <c r="U28" i="82" s="1"/>
  <c r="M13" i="70"/>
  <c r="M13" i="82"/>
  <c r="T13" i="82" s="1"/>
  <c r="U13" i="82" s="1"/>
  <c r="M11" i="70"/>
  <c r="M11" i="82"/>
  <c r="T11" i="82" s="1"/>
  <c r="U11" i="82" s="1"/>
  <c r="M28" i="70"/>
  <c r="M40" i="82"/>
  <c r="T40" i="82" s="1"/>
  <c r="U40" i="82" s="1"/>
  <c r="M32" i="70"/>
  <c r="M44" i="82"/>
  <c r="T44" i="82" s="1"/>
  <c r="U44" i="82" s="1"/>
  <c r="O23" i="82"/>
  <c r="N24" i="82" s="1"/>
  <c r="X22" i="82"/>
  <c r="Y22" i="82" s="1"/>
  <c r="V23" i="82"/>
  <c r="P39" i="82"/>
  <c r="O40" i="82"/>
  <c r="N41" i="82" s="1"/>
  <c r="L6" i="70"/>
  <c r="N7" i="70" s="1"/>
  <c r="O5" i="70"/>
  <c r="O6" i="82"/>
  <c r="N7" i="82" s="1"/>
  <c r="P5" i="82"/>
  <c r="M16" i="70"/>
  <c r="L16" i="70"/>
  <c r="N17" i="70" s="1"/>
  <c r="V40" i="82"/>
  <c r="X39" i="82"/>
  <c r="Y39" i="82" s="1"/>
  <c r="X5" i="82"/>
  <c r="V6" i="82"/>
  <c r="W6" i="82" s="1"/>
  <c r="M27" i="70"/>
  <c r="L27" i="70"/>
  <c r="N28" i="70" s="1"/>
  <c r="W30" i="78"/>
  <c r="X30" i="78" s="1"/>
  <c r="Q22" i="66"/>
  <c r="P21" i="66"/>
  <c r="Y5" i="82" l="1"/>
  <c r="L7" i="70"/>
  <c r="N8" i="70" s="1"/>
  <c r="O6" i="70"/>
  <c r="Z39" i="82"/>
  <c r="W40" i="82"/>
  <c r="O41" i="82"/>
  <c r="N42" i="82" s="1"/>
  <c r="P40" i="82"/>
  <c r="O16" i="70"/>
  <c r="L17" i="70"/>
  <c r="N18" i="70" s="1"/>
  <c r="W23" i="82"/>
  <c r="Z22" i="82"/>
  <c r="L28" i="70"/>
  <c r="N29" i="70" s="1"/>
  <c r="O27" i="70"/>
  <c r="O7" i="82"/>
  <c r="N8" i="82" s="1"/>
  <c r="P6" i="82"/>
  <c r="X6" i="82"/>
  <c r="Z5" i="82"/>
  <c r="P23" i="82"/>
  <c r="O24" i="82"/>
  <c r="N25" i="82" s="1"/>
  <c r="V30" i="78"/>
  <c r="Y30" i="78"/>
  <c r="AA30" i="78" s="1"/>
  <c r="X29" i="78"/>
  <c r="Q21" i="66"/>
  <c r="P20" i="66"/>
  <c r="X40" i="82" l="1"/>
  <c r="Y40" i="82" s="1"/>
  <c r="X23" i="82"/>
  <c r="Y23" i="82" s="1"/>
  <c r="Y6" i="82"/>
  <c r="V24" i="82"/>
  <c r="V7" i="82"/>
  <c r="W7" i="82" s="1"/>
  <c r="V8" i="82" s="1"/>
  <c r="V41" i="82"/>
  <c r="P7" i="82"/>
  <c r="O8" i="82"/>
  <c r="N9" i="82" s="1"/>
  <c r="O25" i="82"/>
  <c r="N26" i="82" s="1"/>
  <c r="P24" i="82"/>
  <c r="O42" i="82"/>
  <c r="N43" i="82" s="1"/>
  <c r="P41" i="82"/>
  <c r="L29" i="70"/>
  <c r="N30" i="70" s="1"/>
  <c r="O28" i="70"/>
  <c r="L18" i="70"/>
  <c r="N19" i="70" s="1"/>
  <c r="O17" i="70"/>
  <c r="L8" i="70"/>
  <c r="N9" i="70" s="1"/>
  <c r="O7" i="70"/>
  <c r="Y29" i="78"/>
  <c r="AA29" i="78" s="1"/>
  <c r="X28" i="78"/>
  <c r="Q20" i="66"/>
  <c r="P19" i="66"/>
  <c r="Z40" i="82" l="1"/>
  <c r="W24" i="82"/>
  <c r="X24" i="82" s="1"/>
  <c r="Y24" i="82" s="1"/>
  <c r="W41" i="82"/>
  <c r="X41" i="82" s="1"/>
  <c r="Y41" i="82" s="1"/>
  <c r="Z23" i="82"/>
  <c r="Z6" i="82"/>
  <c r="O29" i="70"/>
  <c r="L30" i="70"/>
  <c r="N31" i="70" s="1"/>
  <c r="P42" i="82"/>
  <c r="O43" i="82"/>
  <c r="N44" i="82" s="1"/>
  <c r="X7" i="82"/>
  <c r="L19" i="70"/>
  <c r="N20" i="70" s="1"/>
  <c r="O18" i="70"/>
  <c r="O26" i="82"/>
  <c r="N27" i="82" s="1"/>
  <c r="P25" i="82"/>
  <c r="W8" i="82"/>
  <c r="P8" i="82"/>
  <c r="O9" i="82"/>
  <c r="N10" i="82" s="1"/>
  <c r="L9" i="70"/>
  <c r="N10" i="70" s="1"/>
  <c r="O8" i="70"/>
  <c r="Y28" i="78"/>
  <c r="AA28" i="78" s="1"/>
  <c r="E36" i="83" s="1"/>
  <c r="X27" i="78"/>
  <c r="Q19" i="66"/>
  <c r="P18" i="66"/>
  <c r="V25" i="82" l="1"/>
  <c r="Y7" i="82"/>
  <c r="Z7" i="82" s="1"/>
  <c r="V42" i="82"/>
  <c r="P43" i="82"/>
  <c r="O44" i="82"/>
  <c r="N45" i="82" s="1"/>
  <c r="O10" i="82"/>
  <c r="N11" i="82" s="1"/>
  <c r="P9" i="82"/>
  <c r="W25" i="82"/>
  <c r="Z24" i="82"/>
  <c r="O30" i="70"/>
  <c r="L31" i="70"/>
  <c r="N32" i="70" s="1"/>
  <c r="L20" i="70"/>
  <c r="N21" i="70" s="1"/>
  <c r="O19" i="70"/>
  <c r="L10" i="70"/>
  <c r="N11" i="70" s="1"/>
  <c r="O9" i="70"/>
  <c r="P26" i="82"/>
  <c r="O27" i="82"/>
  <c r="N28" i="82" s="1"/>
  <c r="V9" i="82"/>
  <c r="X8" i="82"/>
  <c r="Y27" i="78"/>
  <c r="AA27" i="78" s="1"/>
  <c r="X26" i="78"/>
  <c r="Q18" i="66"/>
  <c r="P17" i="66"/>
  <c r="W42" i="82" l="1"/>
  <c r="X42" i="82" s="1"/>
  <c r="Z41" i="82"/>
  <c r="V43" i="82"/>
  <c r="W9" i="82"/>
  <c r="V10" i="82" s="1"/>
  <c r="L21" i="70"/>
  <c r="N22" i="70" s="1"/>
  <c r="O20" i="70"/>
  <c r="O11" i="82"/>
  <c r="N12" i="82" s="1"/>
  <c r="P10" i="82"/>
  <c r="P27" i="82"/>
  <c r="O28" i="82"/>
  <c r="N29" i="82" s="1"/>
  <c r="L32" i="70"/>
  <c r="N33" i="70" s="1"/>
  <c r="O31" i="70"/>
  <c r="O45" i="82"/>
  <c r="N46" i="82" s="1"/>
  <c r="P44" i="82"/>
  <c r="X25" i="82"/>
  <c r="O10" i="70"/>
  <c r="L11" i="70"/>
  <c r="N12" i="70" s="1"/>
  <c r="V26" i="82"/>
  <c r="Y26" i="78"/>
  <c r="AA26" i="78" s="1"/>
  <c r="X25" i="78"/>
  <c r="Q17" i="66"/>
  <c r="P16" i="66"/>
  <c r="Q16" i="66" s="1"/>
  <c r="W43" i="82" l="1"/>
  <c r="O12" i="82"/>
  <c r="N13" i="82" s="1"/>
  <c r="P11" i="82"/>
  <c r="W26" i="82"/>
  <c r="V27" i="82" s="1"/>
  <c r="O11" i="70"/>
  <c r="L12" i="70"/>
  <c r="N13" i="70" s="1"/>
  <c r="O46" i="82"/>
  <c r="N47" i="82" s="1"/>
  <c r="P45" i="82"/>
  <c r="O21" i="70"/>
  <c r="L22" i="70"/>
  <c r="N23" i="70" s="1"/>
  <c r="W10" i="82"/>
  <c r="V11" i="82" s="1"/>
  <c r="L33" i="70"/>
  <c r="N34" i="70" s="1"/>
  <c r="O32" i="70"/>
  <c r="X9" i="82"/>
  <c r="Y8" i="82"/>
  <c r="Z8" i="82" s="1"/>
  <c r="O29" i="82"/>
  <c r="N30" i="82" s="1"/>
  <c r="P28" i="82"/>
  <c r="Y25" i="78"/>
  <c r="AA25" i="78" s="1"/>
  <c r="X24" i="78"/>
  <c r="Y42" i="82" l="1"/>
  <c r="Z42" i="82" s="1"/>
  <c r="X43" i="82"/>
  <c r="W27" i="82"/>
  <c r="Y26" i="82" s="1"/>
  <c r="Z26" i="82" s="1"/>
  <c r="V44" i="82"/>
  <c r="P46" i="82"/>
  <c r="O47" i="82"/>
  <c r="N48" i="82" s="1"/>
  <c r="X10" i="82"/>
  <c r="L13" i="70"/>
  <c r="N14" i="70" s="1"/>
  <c r="O12" i="70"/>
  <c r="O22" i="70"/>
  <c r="L23" i="70"/>
  <c r="N24" i="70" s="1"/>
  <c r="X26" i="82"/>
  <c r="Y25" i="82"/>
  <c r="Z25" i="82" s="1"/>
  <c r="W11" i="82"/>
  <c r="V12" i="82" s="1"/>
  <c r="Y9" i="82"/>
  <c r="Z9" i="82" s="1"/>
  <c r="L34" i="70"/>
  <c r="N35" i="70" s="1"/>
  <c r="O33" i="70"/>
  <c r="O30" i="82"/>
  <c r="N31" i="82" s="1"/>
  <c r="P29" i="82"/>
  <c r="P12" i="82"/>
  <c r="O13" i="82"/>
  <c r="N14" i="82" s="1"/>
  <c r="Y24" i="78"/>
  <c r="AA24" i="78" s="1"/>
  <c r="X23" i="78"/>
  <c r="X27" i="82" l="1"/>
  <c r="V28" i="82"/>
  <c r="W28" i="82" s="1"/>
  <c r="W44" i="82"/>
  <c r="Y10" i="82"/>
  <c r="Z10" i="82" s="1"/>
  <c r="O14" i="70"/>
  <c r="P14" i="70" s="1"/>
  <c r="O13" i="70"/>
  <c r="L14" i="70"/>
  <c r="P30" i="82"/>
  <c r="O31" i="82"/>
  <c r="P31" i="82" s="1"/>
  <c r="Q31" i="82" s="1"/>
  <c r="X11" i="82"/>
  <c r="O14" i="82"/>
  <c r="P14" i="82" s="1"/>
  <c r="Q14" i="82" s="1"/>
  <c r="P13" i="82"/>
  <c r="O48" i="82"/>
  <c r="P48" i="82" s="1"/>
  <c r="Q48" i="82" s="1"/>
  <c r="P47" i="82"/>
  <c r="W12" i="82"/>
  <c r="X12" i="82" s="1"/>
  <c r="L35" i="70"/>
  <c r="N36" i="70" s="1"/>
  <c r="O34" i="70"/>
  <c r="L24" i="70"/>
  <c r="N25" i="70" s="1"/>
  <c r="O23" i="70"/>
  <c r="Y23" i="78"/>
  <c r="AA23" i="78" s="1"/>
  <c r="E29" i="83" s="1"/>
  <c r="X22" i="78"/>
  <c r="V45" i="82" l="1"/>
  <c r="X44" i="82"/>
  <c r="Y43" i="82"/>
  <c r="Z43" i="82" s="1"/>
  <c r="Q47" i="82"/>
  <c r="Q46" i="82" s="1"/>
  <c r="Q45" i="82" s="1"/>
  <c r="Q44" i="82" s="1"/>
  <c r="Q43" i="82" s="1"/>
  <c r="Q42" i="82" s="1"/>
  <c r="Q41" i="82" s="1"/>
  <c r="Q40" i="82" s="1"/>
  <c r="Q39" i="82" s="1"/>
  <c r="P13" i="70"/>
  <c r="Q13" i="70" s="1"/>
  <c r="R13" i="82" s="1"/>
  <c r="Y11" i="82"/>
  <c r="Z11" i="82" s="1"/>
  <c r="Q13" i="82"/>
  <c r="Q12" i="82" s="1"/>
  <c r="Q11" i="82" s="1"/>
  <c r="Q10" i="82" s="1"/>
  <c r="Q9" i="82" s="1"/>
  <c r="Q8" i="82" s="1"/>
  <c r="Q7" i="82" s="1"/>
  <c r="Q6" i="82" s="1"/>
  <c r="Q5" i="82" s="1"/>
  <c r="V13" i="82"/>
  <c r="W13" i="82" s="1"/>
  <c r="Y12" i="82" s="1"/>
  <c r="Z12" i="82" s="1"/>
  <c r="Q30" i="82"/>
  <c r="Q29" i="82" s="1"/>
  <c r="Q28" i="82" s="1"/>
  <c r="Q27" i="82" s="1"/>
  <c r="Q26" i="82" s="1"/>
  <c r="Q25" i="82" s="1"/>
  <c r="Q24" i="82" s="1"/>
  <c r="Q23" i="82" s="1"/>
  <c r="Q22" i="82" s="1"/>
  <c r="X28" i="82"/>
  <c r="Y27" i="82"/>
  <c r="Z27" i="82" s="1"/>
  <c r="O36" i="70"/>
  <c r="P36" i="70" s="1"/>
  <c r="O35" i="70"/>
  <c r="L36" i="70"/>
  <c r="L25" i="70"/>
  <c r="O25" i="70"/>
  <c r="P25" i="70" s="1"/>
  <c r="O24" i="70"/>
  <c r="V29" i="82"/>
  <c r="Y22" i="78"/>
  <c r="AA22" i="78" s="1"/>
  <c r="X21" i="78"/>
  <c r="Y21" i="78" s="1"/>
  <c r="AA21" i="78" s="1"/>
  <c r="E9" i="83" s="1"/>
  <c r="W29" i="82" l="1"/>
  <c r="V30" i="82" s="1"/>
  <c r="W45" i="82"/>
  <c r="X13" i="82"/>
  <c r="V14" i="82"/>
  <c r="W14" i="82" s="1"/>
  <c r="Z14" i="82" s="1"/>
  <c r="AA14" i="82" s="1"/>
  <c r="P35" i="70"/>
  <c r="Q35" i="70" s="1"/>
  <c r="R47" i="82" s="1"/>
  <c r="P24" i="70"/>
  <c r="Q24" i="70" s="1"/>
  <c r="R30" i="82" s="1"/>
  <c r="P12" i="70"/>
  <c r="Y28" i="82" l="1"/>
  <c r="Z28" i="82" s="1"/>
  <c r="X29" i="82"/>
  <c r="V46" i="82"/>
  <c r="X45" i="82"/>
  <c r="Y44" i="82"/>
  <c r="Z44" i="82" s="1"/>
  <c r="Y13" i="82"/>
  <c r="Z13" i="82" s="1"/>
  <c r="AA13" i="82" s="1"/>
  <c r="P34" i="70"/>
  <c r="P33" i="70" s="1"/>
  <c r="X14" i="82"/>
  <c r="P23" i="70"/>
  <c r="Q23" i="70" s="1"/>
  <c r="P11" i="70"/>
  <c r="Q12" i="70"/>
  <c r="AB14" i="82"/>
  <c r="AG14" i="82" s="1"/>
  <c r="W30" i="82"/>
  <c r="Q34" i="70" l="1"/>
  <c r="J35" i="83"/>
  <c r="D35" i="83" s="1"/>
  <c r="R12" i="82"/>
  <c r="R29" i="82"/>
  <c r="J36" i="83"/>
  <c r="D36" i="83" s="1"/>
  <c r="V31" i="82"/>
  <c r="W31" i="82" s="1"/>
  <c r="W46" i="82"/>
  <c r="P22" i="70"/>
  <c r="Q22" i="70" s="1"/>
  <c r="R28" i="82" s="1"/>
  <c r="P10" i="70"/>
  <c r="Q11" i="70"/>
  <c r="R11" i="82" s="1"/>
  <c r="X30" i="82"/>
  <c r="Y30" i="82" s="1"/>
  <c r="Y29" i="82"/>
  <c r="Z29" i="82" s="1"/>
  <c r="Q33" i="70"/>
  <c r="R45" i="82" s="1"/>
  <c r="P32" i="70"/>
  <c r="AA12" i="82"/>
  <c r="AB13" i="82"/>
  <c r="AG13" i="82" s="1"/>
  <c r="R46" i="82" l="1"/>
  <c r="J37" i="83"/>
  <c r="D37" i="83" s="1"/>
  <c r="Z30" i="82"/>
  <c r="V47" i="82"/>
  <c r="X46" i="82"/>
  <c r="Y45" i="82"/>
  <c r="Z45" i="82" s="1"/>
  <c r="P21" i="70"/>
  <c r="Q21" i="70" s="1"/>
  <c r="R27" i="82" s="1"/>
  <c r="Q10" i="70"/>
  <c r="R10" i="82" s="1"/>
  <c r="P9" i="70"/>
  <c r="Q32" i="70"/>
  <c r="R44" i="82" s="1"/>
  <c r="P31" i="70"/>
  <c r="AB12" i="82"/>
  <c r="AG12" i="82" s="1"/>
  <c r="F35" i="83" s="1"/>
  <c r="AA11" i="82"/>
  <c r="X31" i="82"/>
  <c r="Z31" i="82"/>
  <c r="AA31" i="82" s="1"/>
  <c r="P20" i="70" l="1"/>
  <c r="P19" i="70" s="1"/>
  <c r="W47" i="82"/>
  <c r="V48" i="82" s="1"/>
  <c r="Q9" i="70"/>
  <c r="R9" i="82" s="1"/>
  <c r="P8" i="70"/>
  <c r="AB31" i="82"/>
  <c r="AG31" i="82" s="1"/>
  <c r="AA30" i="82"/>
  <c r="Q31" i="70"/>
  <c r="R43" i="82" s="1"/>
  <c r="P30" i="70"/>
  <c r="AB11" i="82"/>
  <c r="AG11" i="82" s="1"/>
  <c r="AA10" i="82"/>
  <c r="Q20" i="70"/>
  <c r="R26" i="82" s="1"/>
  <c r="W48" i="82" l="1"/>
  <c r="Y46" i="82"/>
  <c r="Z46" i="82" s="1"/>
  <c r="X47" i="82"/>
  <c r="Y47" i="82" s="1"/>
  <c r="Z47" i="82" s="1"/>
  <c r="P7" i="70"/>
  <c r="Q8" i="70"/>
  <c r="R8" i="82" s="1"/>
  <c r="Q30" i="70"/>
  <c r="R42" i="82" s="1"/>
  <c r="P29" i="70"/>
  <c r="AA29" i="82"/>
  <c r="AB30" i="82"/>
  <c r="AG30" i="82" s="1"/>
  <c r="AB10" i="82"/>
  <c r="AG10" i="82" s="1"/>
  <c r="AA9" i="82"/>
  <c r="Q19" i="70"/>
  <c r="R25" i="82" s="1"/>
  <c r="P18" i="70"/>
  <c r="Z48" i="82" l="1"/>
  <c r="AA48" i="82" s="1"/>
  <c r="X48" i="82"/>
  <c r="P6" i="70"/>
  <c r="Q7" i="70"/>
  <c r="AA28" i="82"/>
  <c r="AB29" i="82"/>
  <c r="AG29" i="82" s="1"/>
  <c r="F36" i="83" s="1"/>
  <c r="P17" i="70"/>
  <c r="Q18" i="70"/>
  <c r="AA8" i="82"/>
  <c r="AB9" i="82"/>
  <c r="AG9" i="82" s="1"/>
  <c r="Q29" i="70"/>
  <c r="P28" i="70"/>
  <c r="R7" i="82" l="1"/>
  <c r="J28" i="83"/>
  <c r="D28" i="83" s="1"/>
  <c r="J29" i="83"/>
  <c r="D29" i="83" s="1"/>
  <c r="R24" i="82"/>
  <c r="J30" i="83"/>
  <c r="D30" i="83" s="1"/>
  <c r="R41" i="82"/>
  <c r="AB48" i="82"/>
  <c r="AG48" i="82" s="1"/>
  <c r="AA47" i="82"/>
  <c r="P5" i="70"/>
  <c r="Q5" i="70" s="1"/>
  <c r="Q6" i="70"/>
  <c r="R6" i="82" s="1"/>
  <c r="Q28" i="70"/>
  <c r="R40" i="82" s="1"/>
  <c r="P27" i="70"/>
  <c r="Q27" i="70" s="1"/>
  <c r="AB8" i="82"/>
  <c r="AG8" i="82" s="1"/>
  <c r="AA7" i="82"/>
  <c r="Q17" i="70"/>
  <c r="R23" i="82" s="1"/>
  <c r="P16" i="70"/>
  <c r="Q16" i="70" s="1"/>
  <c r="AA27" i="82"/>
  <c r="AB28" i="82"/>
  <c r="AG28" i="82" s="1"/>
  <c r="R5" i="82" l="1"/>
  <c r="J8" i="83"/>
  <c r="D8" i="83" s="1"/>
  <c r="J9" i="83"/>
  <c r="D9" i="83" s="1"/>
  <c r="R22" i="82"/>
  <c r="J10" i="83"/>
  <c r="D10" i="83" s="1"/>
  <c r="R39" i="82"/>
  <c r="AB47" i="82"/>
  <c r="AG47" i="82" s="1"/>
  <c r="AA46" i="82"/>
  <c r="AA26" i="82"/>
  <c r="AB27" i="82"/>
  <c r="AG27" i="82" s="1"/>
  <c r="AA6" i="82"/>
  <c r="AB7" i="82"/>
  <c r="AG7" i="82" s="1"/>
  <c r="F28" i="83" s="1"/>
  <c r="AB46" i="82" l="1"/>
  <c r="AG46" i="82" s="1"/>
  <c r="F37" i="83" s="1"/>
  <c r="AA45" i="82"/>
  <c r="AA5" i="82"/>
  <c r="AB5" i="82" s="1"/>
  <c r="AG5" i="82" s="1"/>
  <c r="AB6" i="82"/>
  <c r="AG6" i="82" s="1"/>
  <c r="AB26" i="82"/>
  <c r="AG26" i="82" s="1"/>
  <c r="AA25" i="82"/>
  <c r="AB45" i="82" l="1"/>
  <c r="AG45" i="82" s="1"/>
  <c r="AA44" i="82"/>
  <c r="F8" i="83"/>
  <c r="AB25" i="82"/>
  <c r="AG25" i="82" s="1"/>
  <c r="AA24" i="82"/>
  <c r="AB44" i="82" l="1"/>
  <c r="AG44" i="82" s="1"/>
  <c r="AA43" i="82"/>
  <c r="AB24" i="82"/>
  <c r="AG24" i="82" s="1"/>
  <c r="F29" i="83" s="1"/>
  <c r="AA23" i="82"/>
  <c r="AA42" i="82" l="1"/>
  <c r="AB43" i="82"/>
  <c r="AG43" i="82" s="1"/>
  <c r="AB23" i="82"/>
  <c r="AG23" i="82" s="1"/>
  <c r="AA22" i="82"/>
  <c r="AB22" i="82" s="1"/>
  <c r="AG22" i="82" s="1"/>
  <c r="AA41" i="82" l="1"/>
  <c r="AB42" i="82"/>
  <c r="AG42" i="82" s="1"/>
  <c r="F9" i="83"/>
  <c r="AB41" i="82" l="1"/>
  <c r="AG41" i="82" s="1"/>
  <c r="F30" i="83" s="1"/>
  <c r="AA40" i="82"/>
  <c r="AB40" i="82" l="1"/>
  <c r="AG40" i="82" s="1"/>
  <c r="AA39" i="82"/>
  <c r="AB39" i="82" s="1"/>
  <c r="AG39" i="82" s="1"/>
  <c r="F10" i="83" l="1"/>
  <c r="J8" i="66" l="1"/>
  <c r="J6" i="66"/>
  <c r="J13" i="66"/>
  <c r="M13" i="66" s="1"/>
  <c r="J11" i="66"/>
  <c r="M11" i="66" s="1"/>
  <c r="J12" i="66"/>
  <c r="J10" i="66"/>
  <c r="M10" i="66" s="1"/>
  <c r="J7" i="66"/>
  <c r="M7" i="66" s="1"/>
  <c r="J5" i="66"/>
  <c r="M5" i="66" s="1"/>
  <c r="J9" i="66"/>
  <c r="L5" i="66" l="1"/>
  <c r="N6" i="66" s="1"/>
  <c r="M8" i="66"/>
  <c r="M9" i="66"/>
  <c r="M12" i="66"/>
  <c r="M6" i="66"/>
  <c r="L6" i="66" l="1"/>
  <c r="N7" i="66" s="1"/>
  <c r="L7" i="66" s="1"/>
  <c r="N8" i="66" s="1"/>
  <c r="Q5" i="78"/>
  <c r="U5" i="78" s="1"/>
  <c r="T6" i="78" s="1"/>
  <c r="Q13" i="78"/>
  <c r="Q10" i="78"/>
  <c r="Q7" i="78"/>
  <c r="Q11" i="78"/>
  <c r="S11" i="78" l="1"/>
  <c r="O6" i="66"/>
  <c r="S5" i="78"/>
  <c r="W5" i="78" s="1"/>
  <c r="V5" i="78" s="1"/>
  <c r="S10" i="78"/>
  <c r="Q8" i="78"/>
  <c r="Q6" i="78"/>
  <c r="U6" i="78" s="1"/>
  <c r="T7" i="78" s="1"/>
  <c r="S7" i="78"/>
  <c r="Q12" i="78"/>
  <c r="S13" i="78"/>
  <c r="Q9" i="78"/>
  <c r="O7" i="66"/>
  <c r="L8" i="66"/>
  <c r="N9" i="66" s="1"/>
  <c r="S12" i="78" l="1"/>
  <c r="S8" i="78"/>
  <c r="U7" i="78"/>
  <c r="T8" i="78" s="1"/>
  <c r="U8" i="78" s="1"/>
  <c r="S9" i="78"/>
  <c r="S6" i="78"/>
  <c r="W6" i="78" s="1"/>
  <c r="V6" i="78" s="1"/>
  <c r="L9" i="66"/>
  <c r="N10" i="66" s="1"/>
  <c r="O8" i="66"/>
  <c r="W7" i="78" l="1"/>
  <c r="V7" i="78" s="1"/>
  <c r="T9" i="78"/>
  <c r="O9" i="66"/>
  <c r="L10" i="66"/>
  <c r="N11" i="66" s="1"/>
  <c r="W8" i="78" l="1"/>
  <c r="V8" i="78" s="1"/>
  <c r="U9" i="78"/>
  <c r="T10" i="78" s="1"/>
  <c r="L11" i="66"/>
  <c r="N12" i="66" s="1"/>
  <c r="O10" i="66"/>
  <c r="W9" i="78" l="1"/>
  <c r="V9" i="78" s="1"/>
  <c r="U10" i="78"/>
  <c r="L12" i="66"/>
  <c r="N13" i="66" s="1"/>
  <c r="O11" i="66"/>
  <c r="T11" i="78" l="1"/>
  <c r="O12" i="66"/>
  <c r="L13" i="66"/>
  <c r="N14" i="66" s="1"/>
  <c r="W10" i="78" l="1"/>
  <c r="V10" i="78" s="1"/>
  <c r="U11" i="78"/>
  <c r="T12" i="78" s="1"/>
  <c r="L14" i="66"/>
  <c r="O13" i="66"/>
  <c r="W11" i="78" l="1"/>
  <c r="V11" i="78" s="1"/>
  <c r="U12" i="78"/>
  <c r="T13" i="78" l="1"/>
  <c r="W12" i="78" l="1"/>
  <c r="V12" i="78" s="1"/>
  <c r="U13" i="78"/>
  <c r="T14" i="78" s="1"/>
  <c r="W13" i="78" l="1"/>
  <c r="V13" i="78" s="1"/>
  <c r="U14" i="78"/>
  <c r="W14" i="78" l="1"/>
  <c r="X14" i="78" s="1"/>
  <c r="V14" i="78" l="1"/>
  <c r="X13" i="78"/>
  <c r="Y14" i="78"/>
  <c r="AA14" i="78" s="1"/>
  <c r="X12" i="78" l="1"/>
  <c r="Y13" i="78"/>
  <c r="AA13" i="78" s="1"/>
  <c r="J33" i="66"/>
  <c r="J31" i="66"/>
  <c r="J35" i="66"/>
  <c r="J30" i="66"/>
  <c r="J29" i="66"/>
  <c r="J28" i="66"/>
  <c r="M28" i="66" s="1"/>
  <c r="J34" i="66"/>
  <c r="M34" i="66" s="1"/>
  <c r="J32" i="66"/>
  <c r="M32" i="66" s="1"/>
  <c r="J27" i="66"/>
  <c r="M27" i="66" s="1"/>
  <c r="Q36" i="66"/>
  <c r="Y12" i="78" l="1"/>
  <c r="AA12" i="78" s="1"/>
  <c r="E35" i="83" s="1"/>
  <c r="X11" i="78"/>
  <c r="L27" i="66"/>
  <c r="N28" i="66" s="1"/>
  <c r="O27" i="66" s="1"/>
  <c r="M35" i="66"/>
  <c r="M29" i="66"/>
  <c r="M33" i="66"/>
  <c r="M30" i="66"/>
  <c r="M31" i="66"/>
  <c r="Q44" i="78" l="1"/>
  <c r="Y11" i="78"/>
  <c r="AA11" i="78" s="1"/>
  <c r="X10" i="78"/>
  <c r="Q38" i="78"/>
  <c r="Q42" i="78"/>
  <c r="Q37" i="78"/>
  <c r="U37" i="78" s="1"/>
  <c r="T38" i="78" s="1"/>
  <c r="L28" i="66"/>
  <c r="N29" i="66" s="1"/>
  <c r="O28" i="66" s="1"/>
  <c r="S38" i="78" l="1"/>
  <c r="S37" i="78"/>
  <c r="W37" i="78" s="1"/>
  <c r="V37" i="78" s="1"/>
  <c r="S42" i="78"/>
  <c r="S44" i="78"/>
  <c r="Q41" i="78"/>
  <c r="Q45" i="78"/>
  <c r="Q43" i="78"/>
  <c r="X9" i="78"/>
  <c r="Y10" i="78"/>
  <c r="AA10" i="78" s="1"/>
  <c r="U38" i="78"/>
  <c r="T39" i="78" s="1"/>
  <c r="Q39" i="78"/>
  <c r="Q40" i="78"/>
  <c r="L29" i="66"/>
  <c r="N30" i="66" s="1"/>
  <c r="O29" i="66" s="1"/>
  <c r="S45" i="78" l="1"/>
  <c r="X8" i="78"/>
  <c r="Y9" i="78"/>
  <c r="AA9" i="78" s="1"/>
  <c r="S39" i="78"/>
  <c r="S43" i="78"/>
  <c r="W38" i="78"/>
  <c r="V38" i="78" s="1"/>
  <c r="U39" i="78"/>
  <c r="T40" i="78" s="1"/>
  <c r="U40" i="78" s="1"/>
  <c r="S40" i="78"/>
  <c r="S41" i="78"/>
  <c r="L30" i="66"/>
  <c r="N31" i="66" s="1"/>
  <c r="L31" i="66" s="1"/>
  <c r="N32" i="66" s="1"/>
  <c r="W39" i="78" l="1"/>
  <c r="V39" i="78" s="1"/>
  <c r="T41" i="78"/>
  <c r="X7" i="78"/>
  <c r="Y8" i="78"/>
  <c r="AA8" i="78" s="1"/>
  <c r="O30" i="66"/>
  <c r="L32" i="66"/>
  <c r="N33" i="66" s="1"/>
  <c r="O31" i="66"/>
  <c r="W40" i="78" l="1"/>
  <c r="V40" i="78" s="1"/>
  <c r="U41" i="78"/>
  <c r="T42" i="78" s="1"/>
  <c r="X6" i="78"/>
  <c r="Y7" i="78"/>
  <c r="AA7" i="78" s="1"/>
  <c r="E28" i="83" s="1"/>
  <c r="L33" i="66"/>
  <c r="N34" i="66" s="1"/>
  <c r="O32" i="66"/>
  <c r="Y6" i="78" l="1"/>
  <c r="AA6" i="78" s="1"/>
  <c r="X5" i="78"/>
  <c r="Y5" i="78" s="1"/>
  <c r="AA5" i="78" s="1"/>
  <c r="E8" i="83" s="1"/>
  <c r="W41" i="78"/>
  <c r="V41" i="78" s="1"/>
  <c r="U42" i="78"/>
  <c r="T43" i="78" s="1"/>
  <c r="L34" i="66"/>
  <c r="N35" i="66" s="1"/>
  <c r="O33" i="66"/>
  <c r="W42" i="78" l="1"/>
  <c r="V42" i="78" s="1"/>
  <c r="U43" i="78"/>
  <c r="T44" i="78" s="1"/>
  <c r="L35" i="66"/>
  <c r="N36" i="66" s="1"/>
  <c r="O34" i="66"/>
  <c r="W43" i="78" l="1"/>
  <c r="V43" i="78" s="1"/>
  <c r="U44" i="78"/>
  <c r="T45" i="78" s="1"/>
  <c r="L36" i="66"/>
  <c r="O36" i="66"/>
  <c r="P36" i="66" s="1"/>
  <c r="O35" i="66"/>
  <c r="W44" i="78" l="1"/>
  <c r="V44" i="78" s="1"/>
  <c r="U45" i="78"/>
  <c r="T46" i="78" s="1"/>
  <c r="P35" i="66"/>
  <c r="Q35" i="66" s="1"/>
  <c r="W45" i="78" l="1"/>
  <c r="V45" i="78" s="1"/>
  <c r="U46" i="78"/>
  <c r="P34" i="66"/>
  <c r="Q34" i="66" s="1"/>
  <c r="W46" i="78" l="1"/>
  <c r="X46" i="78" s="1"/>
  <c r="P33" i="66"/>
  <c r="Q33" i="66" s="1"/>
  <c r="Y46" i="78" l="1"/>
  <c r="AA46" i="78" s="1"/>
  <c r="X45" i="78"/>
  <c r="V46" i="78"/>
  <c r="P32" i="66"/>
  <c r="Q32" i="66" s="1"/>
  <c r="P31" i="66" l="1"/>
  <c r="Q31" i="66" s="1"/>
  <c r="X44" i="78"/>
  <c r="Y45" i="78"/>
  <c r="AA45" i="78" s="1"/>
  <c r="P30" i="66" l="1"/>
  <c r="P29" i="66" s="1"/>
  <c r="Y44" i="78"/>
  <c r="AA44" i="78" s="1"/>
  <c r="E37" i="83" s="1"/>
  <c r="X43" i="78"/>
  <c r="Q30" i="66" l="1"/>
  <c r="Y43" i="78"/>
  <c r="AA43" i="78" s="1"/>
  <c r="X42" i="78"/>
  <c r="Q29" i="66"/>
  <c r="P28" i="66"/>
  <c r="Y42" i="78" l="1"/>
  <c r="AA42" i="78" s="1"/>
  <c r="X41" i="78"/>
  <c r="Q28" i="66"/>
  <c r="P27" i="66"/>
  <c r="Q27" i="66" s="1"/>
  <c r="X40" i="78" l="1"/>
  <c r="Y41" i="78"/>
  <c r="AA41" i="78" s="1"/>
  <c r="Y40" i="78" l="1"/>
  <c r="AA40" i="78" s="1"/>
  <c r="X39" i="78"/>
  <c r="Y39" i="78" l="1"/>
  <c r="AA39" i="78" s="1"/>
  <c r="E30" i="83" s="1"/>
  <c r="X38" i="78"/>
  <c r="Y38" i="78" l="1"/>
  <c r="AA38" i="78" s="1"/>
  <c r="X37" i="78"/>
  <c r="Y37" i="78" s="1"/>
  <c r="AA37" i="78" s="1"/>
  <c r="E10" i="83" s="1"/>
  <c r="Q14" i="66" l="1"/>
  <c r="O14" i="66" l="1"/>
  <c r="P14" i="66" s="1"/>
  <c r="P13" i="66" s="1"/>
  <c r="Q13" i="66" l="1"/>
  <c r="P12" i="66"/>
  <c r="P11" i="66" l="1"/>
  <c r="Q12" i="66"/>
  <c r="Q11" i="66" l="1"/>
  <c r="P10" i="66"/>
  <c r="P9" i="66" l="1"/>
  <c r="Q10" i="66"/>
  <c r="Q9" i="66" l="1"/>
  <c r="P8" i="66"/>
  <c r="P7" i="66" l="1"/>
  <c r="Q8" i="66"/>
  <c r="P6" i="66" l="1"/>
  <c r="Q7" i="66"/>
  <c r="P5" i="66" l="1"/>
  <c r="Q5" i="66" s="1"/>
  <c r="Q6" i="66"/>
</calcChain>
</file>

<file path=xl/sharedStrings.xml><?xml version="1.0" encoding="utf-8"?>
<sst xmlns="http://schemas.openxmlformats.org/spreadsheetml/2006/main" count="2227" uniqueCount="382">
  <si>
    <t>Sex</t>
  </si>
  <si>
    <t>State</t>
  </si>
  <si>
    <t>Idade</t>
  </si>
  <si>
    <t>Total</t>
  </si>
  <si>
    <t>Brazil</t>
  </si>
  <si>
    <t>n</t>
  </si>
  <si>
    <r>
      <t>n</t>
    </r>
    <r>
      <rPr>
        <b/>
        <i/>
        <sz val="12"/>
        <rFont val="Times New Roman"/>
        <family val="1"/>
      </rPr>
      <t>a</t>
    </r>
    <r>
      <rPr>
        <b/>
        <i/>
        <vertAlign val="subscript"/>
        <sz val="12"/>
        <rFont val="Times New Roman"/>
        <family val="1"/>
      </rPr>
      <t>x</t>
    </r>
  </si>
  <si>
    <r>
      <t>n</t>
    </r>
    <r>
      <rPr>
        <b/>
        <i/>
        <sz val="12"/>
        <rFont val="Times New Roman"/>
        <family val="1"/>
      </rPr>
      <t>d</t>
    </r>
    <r>
      <rPr>
        <b/>
        <i/>
        <vertAlign val="subscript"/>
        <sz val="12"/>
        <rFont val="Times New Roman"/>
        <family val="1"/>
      </rPr>
      <t>x</t>
    </r>
  </si>
  <si>
    <t>x</t>
  </si>
  <si>
    <r>
      <t>n</t>
    </r>
    <r>
      <rPr>
        <b/>
        <i/>
        <sz val="12"/>
        <rFont val="Times New Roman"/>
        <family val="1"/>
      </rPr>
      <t>P</t>
    </r>
    <r>
      <rPr>
        <b/>
        <i/>
        <vertAlign val="subscript"/>
        <sz val="12"/>
        <rFont val="Times New Roman"/>
        <family val="1"/>
      </rPr>
      <t>x</t>
    </r>
  </si>
  <si>
    <r>
      <t>n</t>
    </r>
    <r>
      <rPr>
        <b/>
        <i/>
        <sz val="12"/>
        <rFont val="Times New Roman"/>
        <family val="1"/>
      </rPr>
      <t>D</t>
    </r>
    <r>
      <rPr>
        <b/>
        <i/>
        <vertAlign val="subscript"/>
        <sz val="12"/>
        <rFont val="Times New Roman"/>
        <family val="1"/>
      </rPr>
      <t>x</t>
    </r>
  </si>
  <si>
    <r>
      <t>n</t>
    </r>
    <r>
      <rPr>
        <b/>
        <i/>
        <sz val="12"/>
        <rFont val="Times New Roman"/>
        <family val="1"/>
      </rPr>
      <t>M</t>
    </r>
    <r>
      <rPr>
        <b/>
        <i/>
        <vertAlign val="subscript"/>
        <sz val="12"/>
        <rFont val="Times New Roman"/>
        <family val="1"/>
      </rPr>
      <t>x</t>
    </r>
  </si>
  <si>
    <r>
      <t>n</t>
    </r>
    <r>
      <rPr>
        <b/>
        <i/>
        <sz val="12"/>
        <rFont val="Times New Roman"/>
        <family val="1"/>
      </rPr>
      <t>q</t>
    </r>
    <r>
      <rPr>
        <b/>
        <i/>
        <vertAlign val="subscript"/>
        <sz val="12"/>
        <rFont val="Times New Roman"/>
        <family val="1"/>
      </rPr>
      <t>x</t>
    </r>
  </si>
  <si>
    <r>
      <t>l</t>
    </r>
    <r>
      <rPr>
        <b/>
        <i/>
        <vertAlign val="subscript"/>
        <sz val="12"/>
        <rFont val="Times New Roman"/>
        <family val="1"/>
      </rPr>
      <t>x</t>
    </r>
  </si>
  <si>
    <r>
      <t>n</t>
    </r>
    <r>
      <rPr>
        <b/>
        <i/>
        <sz val="12"/>
        <rFont val="Times New Roman"/>
        <family val="1"/>
      </rPr>
      <t>L</t>
    </r>
    <r>
      <rPr>
        <b/>
        <i/>
        <vertAlign val="subscript"/>
        <sz val="12"/>
        <rFont val="Times New Roman"/>
        <family val="1"/>
      </rPr>
      <t>x</t>
    </r>
  </si>
  <si>
    <r>
      <t>T</t>
    </r>
    <r>
      <rPr>
        <b/>
        <i/>
        <vertAlign val="subscript"/>
        <sz val="12"/>
        <rFont val="Times New Roman"/>
        <family val="1"/>
      </rPr>
      <t>x</t>
    </r>
  </si>
  <si>
    <r>
      <t>e</t>
    </r>
    <r>
      <rPr>
        <b/>
        <i/>
        <vertAlign val="subscript"/>
        <sz val="12"/>
        <rFont val="Times New Roman"/>
        <family val="1"/>
      </rPr>
      <t>x</t>
    </r>
  </si>
  <si>
    <r>
      <t>n</t>
    </r>
    <r>
      <rPr>
        <b/>
        <i/>
        <sz val="12"/>
        <rFont val="Times New Roman"/>
        <family val="1"/>
      </rPr>
      <t>D</t>
    </r>
    <r>
      <rPr>
        <b/>
        <i/>
        <vertAlign val="subscript"/>
        <sz val="12"/>
        <rFont val="Times New Roman"/>
        <family val="1"/>
      </rPr>
      <t>x,</t>
    </r>
    <r>
      <rPr>
        <b/>
        <vertAlign val="subscript"/>
        <sz val="12"/>
        <rFont val="Arial"/>
        <family val="2"/>
      </rPr>
      <t>α</t>
    </r>
  </si>
  <si>
    <t>R</t>
  </si>
  <si>
    <r>
      <t>n</t>
    </r>
    <r>
      <rPr>
        <b/>
        <i/>
        <sz val="12"/>
        <rFont val="Times New Roman"/>
        <family val="1"/>
      </rPr>
      <t>p</t>
    </r>
    <r>
      <rPr>
        <b/>
        <i/>
        <vertAlign val="subscript"/>
        <sz val="12"/>
        <rFont val="Times New Roman"/>
        <family val="1"/>
      </rPr>
      <t>x</t>
    </r>
  </si>
  <si>
    <r>
      <t>n</t>
    </r>
    <r>
      <rPr>
        <b/>
        <i/>
        <sz val="12"/>
        <rFont val="Times New Roman"/>
        <family val="1"/>
      </rPr>
      <t>p</t>
    </r>
    <r>
      <rPr>
        <b/>
        <i/>
        <vertAlign val="subscript"/>
        <sz val="12"/>
        <rFont val="Times New Roman"/>
        <family val="1"/>
      </rPr>
      <t>x,</t>
    </r>
    <r>
      <rPr>
        <b/>
        <vertAlign val="subscript"/>
        <sz val="12"/>
        <rFont val="Times New Roman"/>
        <family val="1"/>
      </rPr>
      <t>(</t>
    </r>
    <r>
      <rPr>
        <b/>
        <i/>
        <vertAlign val="subscript"/>
        <sz val="12"/>
        <rFont val="Times New Roman"/>
        <family val="1"/>
      </rPr>
      <t>-</t>
    </r>
    <r>
      <rPr>
        <b/>
        <vertAlign val="subscript"/>
        <sz val="12"/>
        <rFont val="Arial"/>
        <family val="2"/>
      </rPr>
      <t>α</t>
    </r>
    <r>
      <rPr>
        <b/>
        <vertAlign val="subscript"/>
        <sz val="12"/>
        <rFont val="Times New Roman"/>
        <family val="1"/>
      </rPr>
      <t>)</t>
    </r>
  </si>
  <si>
    <r>
      <t>l</t>
    </r>
    <r>
      <rPr>
        <b/>
        <i/>
        <vertAlign val="subscript"/>
        <sz val="12"/>
        <rFont val="Times New Roman"/>
        <family val="1"/>
      </rPr>
      <t>x,(-</t>
    </r>
    <r>
      <rPr>
        <b/>
        <vertAlign val="subscript"/>
        <sz val="12"/>
        <rFont val="Arial"/>
        <family val="2"/>
      </rPr>
      <t>α)</t>
    </r>
  </si>
  <si>
    <r>
      <t>n</t>
    </r>
    <r>
      <rPr>
        <b/>
        <i/>
        <sz val="12"/>
        <rFont val="Times New Roman"/>
        <family val="1"/>
      </rPr>
      <t>d</t>
    </r>
    <r>
      <rPr>
        <b/>
        <i/>
        <vertAlign val="subscript"/>
        <sz val="12"/>
        <rFont val="Times New Roman"/>
        <family val="1"/>
      </rPr>
      <t>x,(-α)</t>
    </r>
  </si>
  <si>
    <r>
      <t>n</t>
    </r>
    <r>
      <rPr>
        <b/>
        <i/>
        <sz val="12"/>
        <rFont val="Times New Roman"/>
        <family val="1"/>
      </rPr>
      <t>q</t>
    </r>
    <r>
      <rPr>
        <b/>
        <i/>
        <vertAlign val="subscript"/>
        <sz val="12"/>
        <rFont val="Times New Roman"/>
        <family val="1"/>
      </rPr>
      <t>x,(-α)</t>
    </r>
  </si>
  <si>
    <r>
      <t>n</t>
    </r>
    <r>
      <rPr>
        <b/>
        <i/>
        <sz val="12"/>
        <rFont val="Times New Roman"/>
        <family val="1"/>
      </rPr>
      <t>a</t>
    </r>
    <r>
      <rPr>
        <b/>
        <i/>
        <vertAlign val="subscript"/>
        <sz val="12"/>
        <rFont val="Times New Roman"/>
        <family val="1"/>
      </rPr>
      <t>x,(-α)</t>
    </r>
  </si>
  <si>
    <r>
      <t>n</t>
    </r>
    <r>
      <rPr>
        <b/>
        <i/>
        <sz val="12"/>
        <rFont val="Times New Roman"/>
        <family val="1"/>
      </rPr>
      <t>L</t>
    </r>
    <r>
      <rPr>
        <b/>
        <i/>
        <vertAlign val="subscript"/>
        <sz val="12"/>
        <rFont val="Times New Roman"/>
        <family val="1"/>
      </rPr>
      <t>x,(-α)</t>
    </r>
  </si>
  <si>
    <r>
      <t>T</t>
    </r>
    <r>
      <rPr>
        <b/>
        <i/>
        <vertAlign val="subscript"/>
        <sz val="12"/>
        <rFont val="Times New Roman"/>
        <family val="1"/>
      </rPr>
      <t>x,(-α)</t>
    </r>
  </si>
  <si>
    <r>
      <t>e</t>
    </r>
    <r>
      <rPr>
        <b/>
        <i/>
        <vertAlign val="subscript"/>
        <sz val="12"/>
        <rFont val="Times New Roman"/>
        <family val="1"/>
      </rPr>
      <t>x,(-α)</t>
    </r>
  </si>
  <si>
    <r>
      <t>Δ</t>
    </r>
    <r>
      <rPr>
        <b/>
        <i/>
        <vertAlign val="subscript"/>
        <sz val="12"/>
        <rFont val="Times"/>
        <family val="1"/>
      </rPr>
      <t>ndx</t>
    </r>
  </si>
  <si>
    <r>
      <t>Δ</t>
    </r>
    <r>
      <rPr>
        <b/>
        <i/>
        <vertAlign val="subscript"/>
        <sz val="12"/>
        <rFont val="Times"/>
        <family val="1"/>
      </rPr>
      <t>nqx</t>
    </r>
  </si>
  <si>
    <r>
      <t>Δ</t>
    </r>
    <r>
      <rPr>
        <b/>
        <i/>
        <vertAlign val="subscript"/>
        <sz val="12"/>
        <rFont val="Times"/>
        <family val="1"/>
      </rPr>
      <t>L</t>
    </r>
  </si>
  <si>
    <r>
      <t>Δ</t>
    </r>
    <r>
      <rPr>
        <b/>
        <i/>
        <vertAlign val="subscript"/>
        <sz val="12"/>
        <rFont val="Times"/>
        <family val="1"/>
      </rPr>
      <t>e</t>
    </r>
  </si>
  <si>
    <t>∆e</t>
  </si>
  <si>
    <t>Cause of deaths: COVID-19</t>
  </si>
  <si>
    <t>Male</t>
  </si>
  <si>
    <t>Female</t>
  </si>
  <si>
    <t>concat</t>
  </si>
  <si>
    <t>inf</t>
  </si>
  <si>
    <t>ex</t>
  </si>
  <si>
    <t>2020 Person Years</t>
  </si>
  <si>
    <t>All Deaths</t>
  </si>
  <si>
    <t>Age Group</t>
  </si>
  <si>
    <t>United States</t>
  </si>
  <si>
    <t>Appendix 1a. Person-years in 2020 by Sex and Age Group</t>
  </si>
  <si>
    <t>Appendix 1b. Person-years in 2019 by Sex and Age Group</t>
  </si>
  <si>
    <t>Appendix 2a. All-cause and COVID-19 Deaths in 2020 by Sex and Age Group</t>
  </si>
  <si>
    <t>0 005374</t>
  </si>
  <si>
    <t>0 000902</t>
  </si>
  <si>
    <t>0 000545</t>
  </si>
  <si>
    <t>0 000821</t>
  </si>
  <si>
    <t>0 002916</t>
  </si>
  <si>
    <t>0 005417</t>
  </si>
  <si>
    <t>0 006989</t>
  </si>
  <si>
    <t>0 008873</t>
  </si>
  <si>
    <t>0 010924</t>
  </si>
  <si>
    <t>0 013748</t>
  </si>
  <si>
    <t>0 018897</t>
  </si>
  <si>
    <t>0 027641</t>
  </si>
  <si>
    <t>0 041406</t>
  </si>
  <si>
    <t>0 059786</t>
  </si>
  <si>
    <t>0 081876</t>
  </si>
  <si>
    <t>0 117621</t>
  </si>
  <si>
    <t>0 180559</t>
  </si>
  <si>
    <t>0 280174</t>
  </si>
  <si>
    <t>1 000000</t>
  </si>
  <si>
    <t>NOTES: Estimates are based on provisional data for 2020 Provisional data are subject to change as additional data are received </t>
  </si>
  <si>
    <t>SOURCE: National Center for Health Statistics, National Vital Statistics System, Mortality, 2020 </t>
  </si>
  <si>
    <t>cdc.gov/nchs/data/vsrr/vsrr015-508.pdf</t>
  </si>
  <si>
    <t>Vital Statistics Rapid Release 015. Provisional Life Expectancy Estimates for 2020</t>
  </si>
  <si>
    <t>Table I–2. Provisional life table for males: United States, 2020</t>
  </si>
  <si>
    <t>Age group</t>
  </si>
  <si>
    <t>0 005824</t>
  </si>
  <si>
    <t>0 001014</t>
  </si>
  <si>
    <t>0 000600</t>
  </si>
  <si>
    <t>0 000996</t>
  </si>
  <si>
    <t>0 004165</t>
  </si>
  <si>
    <t>0 007887</t>
  </si>
  <si>
    <t>0 009835</t>
  </si>
  <si>
    <t>0 012124</t>
  </si>
  <si>
    <t>0 014513</t>
  </si>
  <si>
    <t>0 017797</t>
  </si>
  <si>
    <t>0 024025</t>
  </si>
  <si>
    <t>0 034911</t>
  </si>
  <si>
    <t>0 052473</t>
  </si>
  <si>
    <t>0 075632</t>
  </si>
  <si>
    <t>0 102809</t>
  </si>
  <si>
    <t>0 142463</t>
  </si>
  <si>
    <t>0 214254</t>
  </si>
  <si>
    <t>0 322712</t>
  </si>
  <si>
    <t>Table I–3. Provisional life table for females: United States, 2020</t>
  </si>
  <si>
    <t>0 004902</t>
  </si>
  <si>
    <t>0 000785</t>
  </si>
  <si>
    <t>0 000487</t>
  </si>
  <si>
    <t>0 000638</t>
  </si>
  <si>
    <t>0 001613</t>
  </si>
  <si>
    <t>0 002829</t>
  </si>
  <si>
    <t>0 004004</t>
  </si>
  <si>
    <t>0 005525</t>
  </si>
  <si>
    <t>0 007305</t>
  </si>
  <si>
    <t>0 009718</t>
  </si>
  <si>
    <t>0 013859</t>
  </si>
  <si>
    <t>0 020522</t>
  </si>
  <si>
    <t>0 030797</t>
  </si>
  <si>
    <t>0 044940</t>
  </si>
  <si>
    <t>0 062939</t>
  </si>
  <si>
    <t>0 095654</t>
  </si>
  <si>
    <t>0 152244</t>
  </si>
  <si>
    <t>0 247225</t>
  </si>
  <si>
    <t>0-4</t>
  </si>
  <si>
    <t>5-14</t>
  </si>
  <si>
    <t>15-24</t>
  </si>
  <si>
    <t>25-34</t>
  </si>
  <si>
    <t>35-44</t>
  </si>
  <si>
    <t>45-54</t>
  </si>
  <si>
    <t>55-64</t>
  </si>
  <si>
    <t>85+</t>
  </si>
  <si>
    <t>75-84</t>
  </si>
  <si>
    <t>65-74</t>
  </si>
  <si>
    <t>Age</t>
  </si>
  <si>
    <t>Exact Age</t>
  </si>
  <si>
    <t>nqx</t>
  </si>
  <si>
    <t>diff</t>
  </si>
  <si>
    <t>Country</t>
  </si>
  <si>
    <t>Difference between 2020 ex with and without COVID-19</t>
  </si>
  <si>
    <t>ex without COVID-19</t>
  </si>
  <si>
    <t>nqx with COVID-19</t>
  </si>
  <si>
    <t>npx with COVID-19</t>
  </si>
  <si>
    <t>Expected COVID-19 deaths in 2020</t>
  </si>
  <si>
    <t>Person years 2020</t>
  </si>
  <si>
    <t>Mortality Rate from projected life table</t>
  </si>
  <si>
    <t>US</t>
  </si>
  <si>
    <t>SOURCE: NCHS, National Vital Statistics System, Mortality.</t>
  </si>
  <si>
    <t>Age (years)</t>
  </si>
  <si>
    <t>Tab</t>
  </si>
  <si>
    <t>Description</t>
  </si>
  <si>
    <t>Summary of change in life expectancy for by DT20 and DT19 methods</t>
  </si>
  <si>
    <t>Analysis sheet for DT20 Method</t>
  </si>
  <si>
    <t>Analysis sheet for DT19 Method</t>
  </si>
  <si>
    <t>Appendix 1a. Person-years 2020</t>
  </si>
  <si>
    <t>Person-years for 2020 by age-group and sex</t>
  </si>
  <si>
    <t>Appendix 1b. Person-years 2019</t>
  </si>
  <si>
    <t>Person-years for 2019 by age-group and sex</t>
  </si>
  <si>
    <t>Appendix 2a. Deaths 2020</t>
  </si>
  <si>
    <t>Deaths (all-cause and Covid-19) by age-group and sex in 2020</t>
  </si>
  <si>
    <t>Deaths (all-cause) by age-group and sex in 2019</t>
  </si>
  <si>
    <t>Appendix 2b. Deaths 2019</t>
  </si>
  <si>
    <t>Appendix 3a. 2020 LT_construct</t>
  </si>
  <si>
    <t>2019 Life Tables, Constructed from CDC Deaths and calculated person-years</t>
  </si>
  <si>
    <t>2020 Life Tables, Constructed from CDC Deaths and calculated person-years</t>
  </si>
  <si>
    <t>Project</t>
  </si>
  <si>
    <t>Spreadsheet</t>
  </si>
  <si>
    <t>Spreadsheet Purpose</t>
  </si>
  <si>
    <t>ndx</t>
  </si>
  <si>
    <t>lx</t>
  </si>
  <si>
    <t>nLx</t>
  </si>
  <si>
    <t>Tx</t>
  </si>
  <si>
    <t>DT20</t>
  </si>
  <si>
    <t>exact age</t>
  </si>
  <si>
    <t>age_group</t>
  </si>
  <si>
    <t>Table 1. Life table for the total population: United States, 2019</t>
  </si>
  <si>
    <t>0-1</t>
  </si>
  <si>
    <t>1-2</t>
  </si>
  <si>
    <t>2-3</t>
  </si>
  <si>
    <t>3-4</t>
  </si>
  <si>
    <t>4-5</t>
  </si>
  <si>
    <t>5-6</t>
  </si>
  <si>
    <t>6-7</t>
  </si>
  <si>
    <t>7-8</t>
  </si>
  <si>
    <t>8-9</t>
  </si>
  <si>
    <t>9-10</t>
  </si>
  <si>
    <t>10-11</t>
  </si>
  <si>
    <t>11-12</t>
  </si>
  <si>
    <t>12-13</t>
  </si>
  <si>
    <t>13-14</t>
  </si>
  <si>
    <t>14-15</t>
  </si>
  <si>
    <t>15-16</t>
  </si>
  <si>
    <t>16-17</t>
  </si>
  <si>
    <t>17-18</t>
  </si>
  <si>
    <t>18-19</t>
  </si>
  <si>
    <t>19-20</t>
  </si>
  <si>
    <t>20-21</t>
  </si>
  <si>
    <t>21-22</t>
  </si>
  <si>
    <t>22-23</t>
  </si>
  <si>
    <t>23-24</t>
  </si>
  <si>
    <t>24-25</t>
  </si>
  <si>
    <t>25-26</t>
  </si>
  <si>
    <t>26-27</t>
  </si>
  <si>
    <t>27-28</t>
  </si>
  <si>
    <t>28-29</t>
  </si>
  <si>
    <t>29-30</t>
  </si>
  <si>
    <t>30-31</t>
  </si>
  <si>
    <t>31-32</t>
  </si>
  <si>
    <t>32-33</t>
  </si>
  <si>
    <t>33-34</t>
  </si>
  <si>
    <t>34-35</t>
  </si>
  <si>
    <t>35-36</t>
  </si>
  <si>
    <t>36-37</t>
  </si>
  <si>
    <t>37-38</t>
  </si>
  <si>
    <t>38-39</t>
  </si>
  <si>
    <t>39-40</t>
  </si>
  <si>
    <t>40-41</t>
  </si>
  <si>
    <t>41-42</t>
  </si>
  <si>
    <t>42-43</t>
  </si>
  <si>
    <t>43-44</t>
  </si>
  <si>
    <t>44-45</t>
  </si>
  <si>
    <t>45-46</t>
  </si>
  <si>
    <t>46-47</t>
  </si>
  <si>
    <t>47-48</t>
  </si>
  <si>
    <t>48-49</t>
  </si>
  <si>
    <t>49-50</t>
  </si>
  <si>
    <t>50-51</t>
  </si>
  <si>
    <t>51-52</t>
  </si>
  <si>
    <t>52-53</t>
  </si>
  <si>
    <t>53-54</t>
  </si>
  <si>
    <t>54-55</t>
  </si>
  <si>
    <t>55-56</t>
  </si>
  <si>
    <t>56-57</t>
  </si>
  <si>
    <t>57-58</t>
  </si>
  <si>
    <t>58-59</t>
  </si>
  <si>
    <t>59-60</t>
  </si>
  <si>
    <t>60-61</t>
  </si>
  <si>
    <t>61-62</t>
  </si>
  <si>
    <t>62-63</t>
  </si>
  <si>
    <t>63-64</t>
  </si>
  <si>
    <t>64-65</t>
  </si>
  <si>
    <t>65-66</t>
  </si>
  <si>
    <t>66-67</t>
  </si>
  <si>
    <t>67-68</t>
  </si>
  <si>
    <t>68-69</t>
  </si>
  <si>
    <t>69-70</t>
  </si>
  <si>
    <t>70-71</t>
  </si>
  <si>
    <t>71-72</t>
  </si>
  <si>
    <t>72-73</t>
  </si>
  <si>
    <t>73-74</t>
  </si>
  <si>
    <t>74-75</t>
  </si>
  <si>
    <t>75-76</t>
  </si>
  <si>
    <t>76-77</t>
  </si>
  <si>
    <t>77-78</t>
  </si>
  <si>
    <t>78-79</t>
  </si>
  <si>
    <t>79-80</t>
  </si>
  <si>
    <t>80-81</t>
  </si>
  <si>
    <t>81-82</t>
  </si>
  <si>
    <t>82-83</t>
  </si>
  <si>
    <t>83-84</t>
  </si>
  <si>
    <t>84-85</t>
  </si>
  <si>
    <t>85-86</t>
  </si>
  <si>
    <t>86-87</t>
  </si>
  <si>
    <t>87-88</t>
  </si>
  <si>
    <t>88-89</t>
  </si>
  <si>
    <t>89-90</t>
  </si>
  <si>
    <t>90-91</t>
  </si>
  <si>
    <t>91-92</t>
  </si>
  <si>
    <t>92-93</t>
  </si>
  <si>
    <t>93-94</t>
  </si>
  <si>
    <t>94-95</t>
  </si>
  <si>
    <t>95-96</t>
  </si>
  <si>
    <t>96-97</t>
  </si>
  <si>
    <t>97-98</t>
  </si>
  <si>
    <t>98-99</t>
  </si>
  <si>
    <t>99-100</t>
  </si>
  <si>
    <t>100 and over</t>
  </si>
  <si>
    <t>Table 2. Life table for males: United States, 2019</t>
  </si>
  <si>
    <t>Table 3. Life table for females: United States, 2019</t>
  </si>
  <si>
    <t>Method</t>
  </si>
  <si>
    <t>LT19-LT20</t>
  </si>
  <si>
    <t>DT19</t>
  </si>
  <si>
    <t>Table</t>
  </si>
  <si>
    <t>Covid-19 (Underlying COD)</t>
  </si>
  <si>
    <t>Data Source CDC Wonder</t>
  </si>
  <si>
    <t>Data Downloaded 1/22/22.</t>
  </si>
  <si>
    <t>2019 Person Years</t>
  </si>
  <si>
    <t>Appendix 2b. All-cause Deaths in 2019 by Sex and Age Group</t>
  </si>
  <si>
    <t>Expected #Deaths without COVID-19</t>
  </si>
  <si>
    <t>Expected #Deaths in 2020 including COVID-19</t>
  </si>
  <si>
    <t>County</t>
  </si>
  <si>
    <r>
      <t>n</t>
    </r>
    <r>
      <rPr>
        <b/>
        <i/>
        <sz val="12"/>
        <color theme="1"/>
        <rFont val="Times New Roman"/>
        <family val="1"/>
      </rPr>
      <t>*M</t>
    </r>
    <r>
      <rPr>
        <b/>
        <i/>
        <vertAlign val="subscript"/>
        <sz val="12"/>
        <color theme="1"/>
        <rFont val="Times New Roman"/>
        <family val="1"/>
      </rPr>
      <t>x</t>
    </r>
  </si>
  <si>
    <r>
      <t>n</t>
    </r>
    <r>
      <rPr>
        <b/>
        <i/>
        <sz val="12"/>
        <color theme="1"/>
        <rFont val="Times New Roman"/>
        <family val="1"/>
      </rPr>
      <t>D</t>
    </r>
    <r>
      <rPr>
        <b/>
        <i/>
        <vertAlign val="subscript"/>
        <sz val="12"/>
        <color theme="1"/>
        <rFont val="Times New Roman"/>
        <family val="1"/>
      </rPr>
      <t>x</t>
    </r>
    <r>
      <rPr>
        <b/>
        <i/>
        <vertAlign val="superscript"/>
        <sz val="12"/>
        <color theme="1"/>
        <rFont val="Times New Roman"/>
        <family val="1"/>
      </rPr>
      <t>cov</t>
    </r>
  </si>
  <si>
    <r>
      <t>n</t>
    </r>
    <r>
      <rPr>
        <b/>
        <i/>
        <sz val="12"/>
        <color theme="1"/>
        <rFont val="Times New Roman"/>
        <family val="1"/>
      </rPr>
      <t>D</t>
    </r>
    <r>
      <rPr>
        <b/>
        <i/>
        <vertAlign val="subscript"/>
        <sz val="12"/>
        <color theme="1"/>
        <rFont val="Times New Roman"/>
        <family val="1"/>
      </rPr>
      <t>x</t>
    </r>
  </si>
  <si>
    <r>
      <t>n</t>
    </r>
    <r>
      <rPr>
        <b/>
        <i/>
        <sz val="12"/>
        <color theme="1"/>
        <rFont val="Times New Roman"/>
        <family val="1"/>
      </rPr>
      <t>R</t>
    </r>
    <r>
      <rPr>
        <b/>
        <i/>
        <vertAlign val="subscript"/>
        <sz val="12"/>
        <color theme="1"/>
        <rFont val="Times New Roman"/>
        <family val="1"/>
      </rPr>
      <t>x</t>
    </r>
  </si>
  <si>
    <r>
      <t>n</t>
    </r>
    <r>
      <rPr>
        <b/>
        <i/>
        <sz val="12"/>
        <color theme="1"/>
        <rFont val="Times New Roman"/>
        <family val="1"/>
      </rPr>
      <t>R</t>
    </r>
    <r>
      <rPr>
        <b/>
        <i/>
        <vertAlign val="subscript"/>
        <sz val="12"/>
        <color theme="1"/>
        <rFont val="Times New Roman"/>
        <family val="1"/>
      </rPr>
      <t>x_inverted</t>
    </r>
  </si>
  <si>
    <r>
      <rPr>
        <b/>
        <i/>
        <vertAlign val="subscript"/>
        <sz val="12"/>
        <color theme="1"/>
        <rFont val="Times New Roman"/>
        <family val="1"/>
      </rPr>
      <t>n</t>
    </r>
    <r>
      <rPr>
        <b/>
        <i/>
        <sz val="12"/>
        <color theme="1"/>
        <rFont val="Times New Roman"/>
        <family val="1"/>
      </rPr>
      <t>*p</t>
    </r>
    <r>
      <rPr>
        <b/>
        <i/>
        <vertAlign val="subscript"/>
        <sz val="12"/>
        <color theme="1"/>
        <rFont val="Times New Roman"/>
        <family val="1"/>
      </rPr>
      <t>x</t>
    </r>
    <r>
      <rPr>
        <b/>
        <i/>
        <vertAlign val="superscript"/>
        <sz val="12"/>
        <color theme="1"/>
        <rFont val="Times New Roman"/>
        <family val="1"/>
      </rPr>
      <t>2019</t>
    </r>
  </si>
  <si>
    <r>
      <t>n</t>
    </r>
    <r>
      <rPr>
        <b/>
        <i/>
        <sz val="12"/>
        <color theme="1"/>
        <rFont val="Times New Roman"/>
        <family val="1"/>
      </rPr>
      <t>p</t>
    </r>
    <r>
      <rPr>
        <b/>
        <i/>
        <vertAlign val="subscript"/>
        <sz val="12"/>
        <color theme="1"/>
        <rFont val="Times New Roman"/>
        <family val="1"/>
      </rPr>
      <t>x</t>
    </r>
    <r>
      <rPr>
        <b/>
        <i/>
        <vertAlign val="superscript"/>
        <sz val="12"/>
        <color theme="1"/>
        <rFont val="Times New Roman"/>
        <family val="1"/>
      </rPr>
      <t>cov</t>
    </r>
  </si>
  <si>
    <r>
      <t>n</t>
    </r>
    <r>
      <rPr>
        <b/>
        <i/>
        <sz val="12"/>
        <color theme="1"/>
        <rFont val="Times New Roman"/>
        <family val="1"/>
      </rPr>
      <t>q</t>
    </r>
    <r>
      <rPr>
        <b/>
        <i/>
        <vertAlign val="subscript"/>
        <sz val="12"/>
        <color theme="1"/>
        <rFont val="Times New Roman"/>
        <family val="1"/>
      </rPr>
      <t>x</t>
    </r>
    <r>
      <rPr>
        <b/>
        <i/>
        <vertAlign val="superscript"/>
        <sz val="12"/>
        <color theme="1"/>
        <rFont val="Times New Roman"/>
        <family val="1"/>
      </rPr>
      <t>cov</t>
    </r>
  </si>
  <si>
    <r>
      <t>n</t>
    </r>
    <r>
      <rPr>
        <b/>
        <i/>
        <sz val="12"/>
        <color theme="1"/>
        <rFont val="Times New Roman"/>
        <family val="1"/>
      </rPr>
      <t>*a</t>
    </r>
    <r>
      <rPr>
        <b/>
        <i/>
        <vertAlign val="subscript"/>
        <sz val="12"/>
        <color theme="1"/>
        <rFont val="Times New Roman"/>
        <family val="1"/>
      </rPr>
      <t>x</t>
    </r>
    <r>
      <rPr>
        <b/>
        <i/>
        <vertAlign val="superscript"/>
        <sz val="12"/>
        <color theme="1"/>
        <rFont val="Times New Roman"/>
        <family val="1"/>
      </rPr>
      <t>2019</t>
    </r>
  </si>
  <si>
    <r>
      <t>n</t>
    </r>
    <r>
      <rPr>
        <b/>
        <i/>
        <sz val="12"/>
        <color theme="1"/>
        <rFont val="Times New Roman"/>
        <family val="1"/>
      </rPr>
      <t>a</t>
    </r>
    <r>
      <rPr>
        <b/>
        <i/>
        <vertAlign val="subscript"/>
        <sz val="12"/>
        <color theme="1"/>
        <rFont val="Times New Roman"/>
        <family val="1"/>
      </rPr>
      <t>x</t>
    </r>
    <r>
      <rPr>
        <b/>
        <i/>
        <vertAlign val="superscript"/>
        <sz val="12"/>
        <color theme="1"/>
        <rFont val="Times New Roman"/>
        <family val="1"/>
      </rPr>
      <t>cov</t>
    </r>
  </si>
  <si>
    <r>
      <t>lx</t>
    </r>
    <r>
      <rPr>
        <b/>
        <i/>
        <vertAlign val="superscript"/>
        <sz val="12"/>
        <color theme="1"/>
        <rFont val="Times New Roman"/>
        <family val="1"/>
      </rPr>
      <t>cov</t>
    </r>
  </si>
  <si>
    <r>
      <t>dx</t>
    </r>
    <r>
      <rPr>
        <b/>
        <i/>
        <vertAlign val="superscript"/>
        <sz val="12"/>
        <color theme="1"/>
        <rFont val="Times New Roman"/>
        <family val="1"/>
      </rPr>
      <t>cov</t>
    </r>
  </si>
  <si>
    <r>
      <t>n</t>
    </r>
    <r>
      <rPr>
        <b/>
        <i/>
        <sz val="12"/>
        <color theme="1"/>
        <rFont val="Times New Roman"/>
        <family val="1"/>
      </rPr>
      <t>m</t>
    </r>
    <r>
      <rPr>
        <b/>
        <i/>
        <vertAlign val="subscript"/>
        <sz val="12"/>
        <color theme="1"/>
        <rFont val="Times New Roman"/>
        <family val="1"/>
      </rPr>
      <t>x</t>
    </r>
    <r>
      <rPr>
        <b/>
        <i/>
        <vertAlign val="superscript"/>
        <sz val="12"/>
        <color theme="1"/>
        <rFont val="Times New Roman"/>
        <family val="1"/>
      </rPr>
      <t>cov</t>
    </r>
  </si>
  <si>
    <r>
      <t>n</t>
    </r>
    <r>
      <rPr>
        <b/>
        <i/>
        <sz val="12"/>
        <color theme="1"/>
        <rFont val="Times New Roman"/>
        <family val="1"/>
      </rPr>
      <t>L</t>
    </r>
    <r>
      <rPr>
        <b/>
        <i/>
        <vertAlign val="subscript"/>
        <sz val="12"/>
        <color theme="1"/>
        <rFont val="Times New Roman"/>
        <family val="1"/>
      </rPr>
      <t>x</t>
    </r>
    <r>
      <rPr>
        <b/>
        <i/>
        <vertAlign val="superscript"/>
        <sz val="12"/>
        <color theme="1"/>
        <rFont val="Times New Roman"/>
        <family val="1"/>
      </rPr>
      <t>cov</t>
    </r>
  </si>
  <si>
    <r>
      <rPr>
        <b/>
        <i/>
        <sz val="12"/>
        <color theme="1"/>
        <rFont val="Times New Roman"/>
        <family val="1"/>
      </rPr>
      <t>T</t>
    </r>
    <r>
      <rPr>
        <b/>
        <i/>
        <vertAlign val="subscript"/>
        <sz val="12"/>
        <color theme="1"/>
        <rFont val="Times New Roman"/>
        <family val="1"/>
      </rPr>
      <t>x</t>
    </r>
    <r>
      <rPr>
        <b/>
        <i/>
        <vertAlign val="superscript"/>
        <sz val="12"/>
        <color theme="1"/>
        <rFont val="Times New Roman"/>
        <family val="1"/>
      </rPr>
      <t>cov</t>
    </r>
  </si>
  <si>
    <r>
      <t>ex</t>
    </r>
    <r>
      <rPr>
        <b/>
        <i/>
        <vertAlign val="superscript"/>
        <sz val="12"/>
        <color theme="1"/>
        <rFont val="Times New Roman"/>
        <family val="1"/>
      </rPr>
      <t>cov</t>
    </r>
  </si>
  <si>
    <r>
      <rPr>
        <b/>
        <i/>
        <sz val="12"/>
        <color theme="1"/>
        <rFont val="Times New Roman"/>
        <family val="1"/>
      </rPr>
      <t>*e</t>
    </r>
    <r>
      <rPr>
        <b/>
        <i/>
        <vertAlign val="subscript"/>
        <sz val="12"/>
        <color theme="1"/>
        <rFont val="Times New Roman"/>
        <family val="1"/>
      </rPr>
      <t>x</t>
    </r>
  </si>
  <si>
    <r>
      <t>n*px</t>
    </r>
    <r>
      <rPr>
        <b/>
        <i/>
        <vertAlign val="superscript"/>
        <sz val="12"/>
        <color theme="1"/>
        <rFont val="Times New Roman"/>
        <family val="1"/>
      </rPr>
      <t>2019</t>
    </r>
  </si>
  <si>
    <t>Ratio of non-COVID to total including COVID deaths</t>
  </si>
  <si>
    <t>Ratio of reported to previously projected number of deaths (1/nRx)</t>
  </si>
  <si>
    <r>
      <t>q</t>
    </r>
    <r>
      <rPr>
        <b/>
        <i/>
        <vertAlign val="subscript"/>
        <sz val="10"/>
        <rFont val="Calibri"/>
        <family val="2"/>
        <scheme val="minor"/>
      </rPr>
      <t>x</t>
    </r>
  </si>
  <si>
    <r>
      <t>l</t>
    </r>
    <r>
      <rPr>
        <b/>
        <i/>
        <vertAlign val="subscript"/>
        <sz val="10"/>
        <rFont val="Calibri"/>
        <family val="2"/>
        <scheme val="minor"/>
      </rPr>
      <t>x</t>
    </r>
  </si>
  <si>
    <r>
      <t>d</t>
    </r>
    <r>
      <rPr>
        <b/>
        <i/>
        <vertAlign val="subscript"/>
        <sz val="10"/>
        <rFont val="Calibri"/>
        <family val="2"/>
        <scheme val="minor"/>
      </rPr>
      <t>x</t>
    </r>
  </si>
  <si>
    <r>
      <t>L</t>
    </r>
    <r>
      <rPr>
        <b/>
        <i/>
        <vertAlign val="subscript"/>
        <sz val="10"/>
        <rFont val="Calibri"/>
        <family val="2"/>
        <scheme val="minor"/>
      </rPr>
      <t>x</t>
    </r>
  </si>
  <si>
    <r>
      <t>T</t>
    </r>
    <r>
      <rPr>
        <b/>
        <i/>
        <vertAlign val="subscript"/>
        <sz val="10"/>
        <rFont val="Calibri"/>
        <family val="2"/>
        <scheme val="minor"/>
      </rPr>
      <t>x</t>
    </r>
  </si>
  <si>
    <r>
      <t>e</t>
    </r>
    <r>
      <rPr>
        <b/>
        <i/>
        <vertAlign val="subscript"/>
        <sz val="10"/>
        <rFont val="Calibri"/>
        <family val="2"/>
        <scheme val="minor"/>
      </rPr>
      <t>x</t>
    </r>
  </si>
  <si>
    <t>Note: This table is the Abridged 2019 Life Table, constructed from published 2019 Complete CDC life tables. The purpose of this table is to calcuate the nax that we use in Appendix 4a to construct our life table using death data.</t>
  </si>
  <si>
    <t>Note: These Life Tables are Abridged versions of Appendix 3c to fit the age groups in the analysis.</t>
  </si>
  <si>
    <r>
      <t> </t>
    </r>
    <r>
      <rPr>
        <b/>
        <sz val="10"/>
        <color theme="1"/>
        <rFont val="Calibri"/>
        <family val="2"/>
        <scheme val="minor"/>
      </rPr>
      <t>Vital Statistics Rapid Release 015. Provisional Life Expectancy Estimates for 2020</t>
    </r>
  </si>
  <si>
    <r>
      <t> </t>
    </r>
    <r>
      <rPr>
        <b/>
        <sz val="10"/>
        <color theme="1"/>
        <rFont val="Calibri"/>
        <family val="2"/>
        <scheme val="minor"/>
      </rPr>
      <t>Table I–1. Provisional life table for the total population: United States, 2020</t>
    </r>
  </si>
  <si>
    <t> Age group</t>
  </si>
  <si>
    <t>Probability of dying between age x and x + n</t>
  </si>
  <si>
    <t>Number surviving to age x</t>
  </si>
  <si>
    <t>Number dying between age x and x + n</t>
  </si>
  <si>
    <t>Person-years lived between age x and x + n</t>
  </si>
  <si>
    <t>Total number of person-years lived above age x</t>
  </si>
  <si>
    <t>Expectation of life at age x</t>
  </si>
  <si>
    <r>
      <t>n</t>
    </r>
    <r>
      <rPr>
        <b/>
        <sz val="10"/>
        <rFont val="Calibri"/>
        <family val="2"/>
        <scheme val="minor"/>
      </rPr>
      <t>K</t>
    </r>
    <r>
      <rPr>
        <b/>
        <vertAlign val="subscript"/>
        <sz val="10"/>
        <rFont val="Calibri"/>
        <family val="2"/>
        <scheme val="minor"/>
      </rPr>
      <t>x</t>
    </r>
  </si>
  <si>
    <r>
      <t>n</t>
    </r>
    <r>
      <rPr>
        <b/>
        <sz val="10"/>
        <rFont val="Calibri"/>
        <family val="2"/>
        <scheme val="minor"/>
      </rPr>
      <t>M</t>
    </r>
    <r>
      <rPr>
        <b/>
        <vertAlign val="subscript"/>
        <sz val="10"/>
        <rFont val="Calibri"/>
        <family val="2"/>
        <scheme val="minor"/>
      </rPr>
      <t>x</t>
    </r>
  </si>
  <si>
    <r>
      <t>n</t>
    </r>
    <r>
      <rPr>
        <b/>
        <sz val="10"/>
        <rFont val="Calibri"/>
        <family val="2"/>
        <scheme val="minor"/>
      </rPr>
      <t>q</t>
    </r>
    <r>
      <rPr>
        <b/>
        <vertAlign val="subscript"/>
        <sz val="10"/>
        <rFont val="Calibri"/>
        <family val="2"/>
        <scheme val="minor"/>
      </rPr>
      <t>x</t>
    </r>
  </si>
  <si>
    <r>
      <t>n</t>
    </r>
    <r>
      <rPr>
        <b/>
        <sz val="10"/>
        <rFont val="Calibri"/>
        <family val="2"/>
        <scheme val="minor"/>
      </rPr>
      <t>D</t>
    </r>
    <r>
      <rPr>
        <b/>
        <vertAlign val="subscript"/>
        <sz val="10"/>
        <rFont val="Calibri"/>
        <family val="2"/>
        <scheme val="minor"/>
      </rPr>
      <t>x</t>
    </r>
  </si>
  <si>
    <r>
      <t>n</t>
    </r>
    <r>
      <rPr>
        <b/>
        <sz val="10"/>
        <rFont val="Calibri"/>
        <family val="2"/>
        <scheme val="minor"/>
      </rPr>
      <t>d</t>
    </r>
    <r>
      <rPr>
        <b/>
        <vertAlign val="subscript"/>
        <sz val="10"/>
        <rFont val="Calibri"/>
        <family val="2"/>
        <scheme val="minor"/>
      </rPr>
      <t>x</t>
    </r>
  </si>
  <si>
    <r>
      <t>n</t>
    </r>
    <r>
      <rPr>
        <b/>
        <sz val="10"/>
        <rFont val="Calibri"/>
        <family val="2"/>
        <scheme val="minor"/>
      </rPr>
      <t>p</t>
    </r>
    <r>
      <rPr>
        <b/>
        <vertAlign val="subscript"/>
        <sz val="10"/>
        <rFont val="Calibri"/>
        <family val="2"/>
        <scheme val="minor"/>
      </rPr>
      <t>x</t>
    </r>
  </si>
  <si>
    <r>
      <t>l</t>
    </r>
    <r>
      <rPr>
        <b/>
        <vertAlign val="subscript"/>
        <sz val="10"/>
        <rFont val="Calibri"/>
        <family val="2"/>
        <scheme val="minor"/>
      </rPr>
      <t>x</t>
    </r>
  </si>
  <si>
    <r>
      <t>n</t>
    </r>
    <r>
      <rPr>
        <b/>
        <sz val="10"/>
        <rFont val="Calibri"/>
        <family val="2"/>
        <scheme val="minor"/>
      </rPr>
      <t>L</t>
    </r>
    <r>
      <rPr>
        <b/>
        <vertAlign val="subscript"/>
        <sz val="10"/>
        <rFont val="Calibri"/>
        <family val="2"/>
        <scheme val="minor"/>
      </rPr>
      <t>x</t>
    </r>
  </si>
  <si>
    <r>
      <t>T</t>
    </r>
    <r>
      <rPr>
        <b/>
        <vertAlign val="subscript"/>
        <sz val="10"/>
        <rFont val="Calibri"/>
        <family val="2"/>
        <scheme val="minor"/>
      </rPr>
      <t>x</t>
    </r>
  </si>
  <si>
    <r>
      <t>e</t>
    </r>
    <r>
      <rPr>
        <b/>
        <vertAlign val="subscript"/>
        <sz val="10"/>
        <rFont val="Calibri"/>
        <family val="2"/>
        <scheme val="minor"/>
      </rPr>
      <t>x</t>
    </r>
  </si>
  <si>
    <r>
      <t>n</t>
    </r>
    <r>
      <rPr>
        <b/>
        <sz val="10"/>
        <rFont val="Calibri"/>
        <family val="2"/>
        <scheme val="minor"/>
      </rPr>
      <t>a</t>
    </r>
    <r>
      <rPr>
        <b/>
        <vertAlign val="subscript"/>
        <sz val="10"/>
        <rFont val="Calibri"/>
        <family val="2"/>
        <scheme val="minor"/>
      </rPr>
      <t>x</t>
    </r>
  </si>
  <si>
    <r>
      <t>n</t>
    </r>
    <r>
      <rPr>
        <b/>
        <sz val="10"/>
        <rFont val="Calibri"/>
        <family val="2"/>
        <scheme val="minor"/>
      </rPr>
      <t>*M</t>
    </r>
    <r>
      <rPr>
        <b/>
        <vertAlign val="subscript"/>
        <sz val="10"/>
        <rFont val="Calibri"/>
        <family val="2"/>
        <scheme val="minor"/>
      </rPr>
      <t>x</t>
    </r>
  </si>
  <si>
    <r>
      <t>n*px</t>
    </r>
    <r>
      <rPr>
        <b/>
        <vertAlign val="superscript"/>
        <sz val="10"/>
        <rFont val="Calibri"/>
        <family val="2"/>
        <scheme val="minor"/>
      </rPr>
      <t>2019</t>
    </r>
  </si>
  <si>
    <r>
      <rPr>
        <b/>
        <sz val="10"/>
        <rFont val="Calibri"/>
        <family val="2"/>
        <scheme val="minor"/>
      </rPr>
      <t>l</t>
    </r>
    <r>
      <rPr>
        <b/>
        <vertAlign val="subscript"/>
        <sz val="10"/>
        <rFont val="Calibri"/>
        <family val="2"/>
        <scheme val="minor"/>
      </rPr>
      <t>x</t>
    </r>
  </si>
  <si>
    <r>
      <rPr>
        <b/>
        <sz val="10"/>
        <rFont val="Calibri"/>
        <family val="2"/>
        <scheme val="minor"/>
      </rPr>
      <t>T</t>
    </r>
    <r>
      <rPr>
        <b/>
        <vertAlign val="subscript"/>
        <sz val="10"/>
        <rFont val="Calibri"/>
        <family val="2"/>
        <scheme val="minor"/>
      </rPr>
      <t>x</t>
    </r>
  </si>
  <si>
    <r>
      <rPr>
        <b/>
        <sz val="10"/>
        <rFont val="Calibri"/>
        <family val="2"/>
        <scheme val="minor"/>
      </rPr>
      <t>*e</t>
    </r>
    <r>
      <rPr>
        <b/>
        <vertAlign val="subscript"/>
        <sz val="10"/>
        <rFont val="Calibri"/>
        <family val="2"/>
        <scheme val="minor"/>
      </rPr>
      <t>x</t>
    </r>
  </si>
  <si>
    <r>
      <t>n</t>
    </r>
    <r>
      <rPr>
        <b/>
        <sz val="10"/>
        <rFont val="Calibri"/>
        <family val="2"/>
        <scheme val="minor"/>
      </rPr>
      <t>*a</t>
    </r>
    <r>
      <rPr>
        <b/>
        <vertAlign val="subscript"/>
        <sz val="10"/>
        <rFont val="Calibri"/>
        <family val="2"/>
        <scheme val="minor"/>
      </rPr>
      <t>x</t>
    </r>
    <r>
      <rPr>
        <b/>
        <vertAlign val="superscript"/>
        <sz val="10"/>
        <rFont val="Calibri"/>
        <family val="2"/>
        <scheme val="minor"/>
      </rPr>
      <t>2019</t>
    </r>
  </si>
  <si>
    <t>person years 2019</t>
  </si>
  <si>
    <r>
      <t>nL</t>
    </r>
    <r>
      <rPr>
        <b/>
        <vertAlign val="subscript"/>
        <sz val="10"/>
        <rFont val="Calibri"/>
        <family val="2"/>
        <scheme val="minor"/>
      </rPr>
      <t>x</t>
    </r>
  </si>
  <si>
    <r>
      <t>*e</t>
    </r>
    <r>
      <rPr>
        <b/>
        <vertAlign val="subscript"/>
        <sz val="10"/>
        <rFont val="Calibri"/>
        <family val="2"/>
        <scheme val="minor"/>
      </rPr>
      <t>x</t>
    </r>
  </si>
  <si>
    <r>
      <t>na</t>
    </r>
    <r>
      <rPr>
        <b/>
        <vertAlign val="subscript"/>
        <sz val="10"/>
        <rFont val="Calibri"/>
        <family val="2"/>
        <scheme val="minor"/>
      </rPr>
      <t>x</t>
    </r>
  </si>
  <si>
    <t>person years 2020</t>
  </si>
  <si>
    <t>2019 CDC nax</t>
  </si>
  <si>
    <t>2020 CDC nax</t>
  </si>
  <si>
    <r>
      <rPr>
        <b/>
        <vertAlign val="subscript"/>
        <sz val="10"/>
        <rFont val="Calibri"/>
        <family val="2"/>
        <scheme val="minor"/>
      </rPr>
      <t>n</t>
    </r>
    <r>
      <rPr>
        <b/>
        <sz val="10"/>
        <rFont val="Calibri"/>
        <family val="2"/>
        <scheme val="minor"/>
      </rPr>
      <t>*p</t>
    </r>
    <r>
      <rPr>
        <b/>
        <vertAlign val="subscript"/>
        <sz val="10"/>
        <rFont val="Calibri"/>
        <family val="2"/>
        <scheme val="minor"/>
      </rPr>
      <t>x</t>
    </r>
    <r>
      <rPr>
        <b/>
        <vertAlign val="superscript"/>
        <sz val="10"/>
        <rFont val="Calibri"/>
        <family val="2"/>
        <scheme val="minor"/>
      </rPr>
      <t>2019</t>
    </r>
  </si>
  <si>
    <t>Probability of dying between ages x and x + 1</t>
  </si>
  <si>
    <t>Number dying between ages x and x + 1</t>
  </si>
  <si>
    <t>Person-years lived between ages x and x + 1</t>
  </si>
  <si>
    <t>Appendix 5a. Abridged NCHS Life Table 2019, by Sex and 10-year Age Groups (those used in the analysis)</t>
  </si>
  <si>
    <t xml:space="preserve">Appendix 4b: 2020 NCHS Life Tables </t>
  </si>
  <si>
    <t>Appendix 4a. Abridged 2020 NCHS Life Tables by Sex and 10-year Age Group (those used in the analysis)</t>
  </si>
  <si>
    <r>
      <rPr>
        <b/>
        <sz val="10"/>
        <rFont val="Calibri"/>
        <family val="2"/>
        <scheme val="minor"/>
      </rPr>
      <t>Note:</t>
    </r>
    <r>
      <rPr>
        <sz val="10"/>
        <rFont val="Calibri"/>
        <family val="2"/>
        <scheme val="minor"/>
      </rPr>
      <t xml:space="preserve"> Here we borrow the nax from the 2019 NCHS life table (Appendix 5a) to construct this life table.</t>
    </r>
  </si>
  <si>
    <r>
      <rPr>
        <b/>
        <sz val="10"/>
        <rFont val="Calibri"/>
        <family val="2"/>
        <scheme val="minor"/>
      </rPr>
      <t>Note:</t>
    </r>
    <r>
      <rPr>
        <sz val="10"/>
        <rFont val="Calibri"/>
        <family val="2"/>
        <scheme val="minor"/>
      </rPr>
      <t xml:space="preserve"> Here we borrow the nax from the 2020 NCHS life table  (Appendix 4a) to construct this life table.</t>
    </r>
  </si>
  <si>
    <r>
      <t>n*px</t>
    </r>
    <r>
      <rPr>
        <b/>
        <vertAlign val="superscript"/>
        <sz val="10"/>
        <rFont val="Calibri"/>
        <family val="2"/>
        <scheme val="minor"/>
      </rPr>
      <t>2020</t>
    </r>
  </si>
  <si>
    <r>
      <t>n</t>
    </r>
    <r>
      <rPr>
        <b/>
        <i/>
        <sz val="12"/>
        <color theme="1"/>
        <rFont val="Times New Roman"/>
        <family val="1"/>
      </rPr>
      <t>*D</t>
    </r>
    <r>
      <rPr>
        <b/>
        <i/>
        <vertAlign val="subscript"/>
        <sz val="12"/>
        <color theme="1"/>
        <rFont val="Times New Roman"/>
        <family val="1"/>
      </rPr>
      <t>x</t>
    </r>
    <r>
      <rPr>
        <b/>
        <i/>
        <vertAlign val="superscript"/>
        <sz val="12"/>
        <color theme="1"/>
        <rFont val="Times New Roman"/>
        <family val="1"/>
      </rPr>
      <t>2020</t>
    </r>
  </si>
  <si>
    <r>
      <t>n</t>
    </r>
    <r>
      <rPr>
        <b/>
        <i/>
        <sz val="12"/>
        <color theme="1"/>
        <rFont val="Times New Roman"/>
        <family val="1"/>
      </rPr>
      <t>D</t>
    </r>
    <r>
      <rPr>
        <b/>
        <i/>
        <vertAlign val="subscript"/>
        <sz val="12"/>
        <color theme="1"/>
        <rFont val="Times New Roman"/>
        <family val="1"/>
      </rPr>
      <t>x</t>
    </r>
    <r>
      <rPr>
        <b/>
        <i/>
        <vertAlign val="superscript"/>
        <sz val="12"/>
        <color theme="1"/>
        <rFont val="Times New Roman"/>
        <family val="1"/>
      </rPr>
      <t>20expected</t>
    </r>
  </si>
  <si>
    <r>
      <t>n</t>
    </r>
    <r>
      <rPr>
        <b/>
        <i/>
        <sz val="12"/>
        <color theme="1"/>
        <rFont val="Times New Roman"/>
        <family val="1"/>
      </rPr>
      <t>K</t>
    </r>
    <r>
      <rPr>
        <b/>
        <i/>
        <vertAlign val="subscript"/>
        <sz val="12"/>
        <color theme="1"/>
        <rFont val="Times New Roman"/>
        <family val="1"/>
      </rPr>
      <t>x</t>
    </r>
    <r>
      <rPr>
        <b/>
        <i/>
        <vertAlign val="superscript"/>
        <sz val="12"/>
        <color theme="1"/>
        <rFont val="Times New Roman"/>
        <family val="1"/>
      </rPr>
      <t>20</t>
    </r>
  </si>
  <si>
    <r>
      <t>n</t>
    </r>
    <r>
      <rPr>
        <b/>
        <i/>
        <sz val="12"/>
        <color theme="1"/>
        <rFont val="Times New Roman"/>
        <family val="1"/>
      </rPr>
      <t>p</t>
    </r>
    <r>
      <rPr>
        <b/>
        <i/>
        <vertAlign val="subscript"/>
        <sz val="12"/>
        <color theme="1"/>
        <rFont val="Times New Roman"/>
        <family val="1"/>
      </rPr>
      <t>x</t>
    </r>
    <r>
      <rPr>
        <b/>
        <i/>
        <vertAlign val="superscript"/>
        <sz val="12"/>
        <color theme="1"/>
        <rFont val="Times New Roman"/>
        <family val="1"/>
      </rPr>
      <t>DT19</t>
    </r>
  </si>
  <si>
    <r>
      <t>n</t>
    </r>
    <r>
      <rPr>
        <b/>
        <i/>
        <sz val="12"/>
        <color theme="1"/>
        <rFont val="Times New Roman"/>
        <family val="1"/>
      </rPr>
      <t>a</t>
    </r>
    <r>
      <rPr>
        <b/>
        <i/>
        <vertAlign val="subscript"/>
        <sz val="12"/>
        <color theme="1"/>
        <rFont val="Times New Roman"/>
        <family val="1"/>
      </rPr>
      <t>x</t>
    </r>
    <r>
      <rPr>
        <b/>
        <i/>
        <vertAlign val="superscript"/>
        <sz val="12"/>
        <color theme="1"/>
        <rFont val="Times New Roman"/>
        <family val="1"/>
      </rPr>
      <t>DT19</t>
    </r>
  </si>
  <si>
    <t>LT 19</t>
  </si>
  <si>
    <t>LT20</t>
  </si>
  <si>
    <t>Appendix 3a. 2020 Constructed Life Tables with nax borrowed from NCHS</t>
  </si>
  <si>
    <t>Appendix 3b. 2019 Constructed Life Tables and with nax borrowed from NCHS</t>
  </si>
  <si>
    <t>Published</t>
  </si>
  <si>
    <t>Summary</t>
  </si>
  <si>
    <t>Appendix 3b. 2019 LT_construct</t>
  </si>
  <si>
    <t>Appendix 4a. 2020 LT CDC abdridged</t>
  </si>
  <si>
    <t>2020 Life Expectancy (ex), adjusted to analysis age-groups from preliminary CDC reported life expectancies</t>
  </si>
  <si>
    <t>Appendix 4b. 2020 LTNCHS_raw</t>
  </si>
  <si>
    <t>2020 Life Tables, raw, (preliminary tables as reported by the NCHS, CDC)</t>
  </si>
  <si>
    <t>Appendix 5a. 2019 LT NCHS_abridged</t>
  </si>
  <si>
    <t>2019 Life Table adjusted to analysis age-groups from preliminary CDC reported life expectancies</t>
  </si>
  <si>
    <t>Appendix 5b. 2019 LT NCHS_complete</t>
  </si>
  <si>
    <t>2019 Complete Life Tables reported by the NCHS, CDC</t>
  </si>
  <si>
    <t>Table 1: Difference in Life Expectancy at Birth - Considering 3 Methods</t>
  </si>
  <si>
    <t>Change in Life Expectancy in the U.S. for 2020 associated with COVID-19 deaths (LT19-LT20, DT20, and DT19 methods)</t>
  </si>
  <si>
    <t>The purpose of this spreadsheet is to calculated the change in Life Expectancy in 2020 associated with Covid-19 deaths in the US, using LT19-LT20, DT20, and DT19 approaches.</t>
  </si>
  <si>
    <t>Appendix 5b: NCHS 2019 Complete Life Table</t>
  </si>
  <si>
    <t>Methods</t>
  </si>
  <si>
    <r>
      <t>Age 15 (e</t>
    </r>
    <r>
      <rPr>
        <b/>
        <vertAlign val="subscript"/>
        <sz val="12"/>
        <color theme="1"/>
        <rFont val="Times New Roman"/>
        <family val="1"/>
      </rPr>
      <t>15</t>
    </r>
    <r>
      <rPr>
        <b/>
        <sz val="12"/>
        <color theme="1"/>
        <rFont val="Times New Roman"/>
        <family val="1"/>
      </rPr>
      <t>)</t>
    </r>
  </si>
  <si>
    <t xml:space="preserve">Brazil </t>
  </si>
  <si>
    <r>
      <t>Age 65 (e</t>
    </r>
    <r>
      <rPr>
        <b/>
        <vertAlign val="subscript"/>
        <sz val="12"/>
        <color theme="1"/>
        <rFont val="Times New Roman"/>
        <family val="1"/>
      </rPr>
      <t>65</t>
    </r>
    <r>
      <rPr>
        <b/>
        <sz val="12"/>
        <color theme="1"/>
        <rFont val="Times New Roman"/>
        <family val="1"/>
      </rPr>
      <t>)</t>
    </r>
  </si>
  <si>
    <t>LT19</t>
  </si>
  <si>
    <t>round</t>
  </si>
  <si>
    <t>Appendix</t>
  </si>
  <si>
    <t>estimtaed</t>
  </si>
  <si>
    <t>Estimated</t>
  </si>
  <si>
    <t xml:space="preserve">Main text - </t>
  </si>
  <si>
    <t>published</t>
  </si>
  <si>
    <t>COVID-19 is not an independent cause of death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</si>
</sst>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0.00000"/>
    <numFmt numFmtId="165" formatCode="0.0000"/>
    <numFmt numFmtId="166" formatCode="_(* #,##0_);_(* \(#,##0\);_(* &quot;-&quot;??_);_(@_)"/>
    <numFmt numFmtId="167" formatCode="_(* #,##0.0000000_);_(* \(#,##0.0000000\);_(* &quot;-&quot;??_);_(@_)"/>
    <numFmt numFmtId="168" formatCode="_(* #,##0.000000_);_(* \(#,##0.000000\);_(* &quot;-&quot;??_);_(@_)"/>
    <numFmt numFmtId="169" formatCode="0.000"/>
    <numFmt numFmtId="170" formatCode="0.0"/>
    <numFmt numFmtId="171" formatCode="#,##0.000"/>
    <numFmt numFmtId="172" formatCode="#,##0.0000"/>
    <numFmt numFmtId="173" formatCode="0.000000"/>
  </numFmts>
  <fonts count="57">
    <font>
      <sz val="12"/>
      <color theme="1"/>
      <name val="Calibri"/>
      <family val="2"/>
      <scheme val="minor"/>
    </font>
    <font>
      <sz val="10"/>
      <name val="Arial"/>
      <family val="2"/>
    </font>
    <font>
      <b/>
      <i/>
      <vertAlign val="subscript"/>
      <sz val="12"/>
      <name val="Times New Roman"/>
      <family val="1"/>
    </font>
    <font>
      <b/>
      <i/>
      <sz val="12"/>
      <name val="Times New Roman"/>
      <family val="1"/>
    </font>
    <font>
      <sz val="12"/>
      <name val="Times New Roman"/>
      <family val="1"/>
    </font>
    <font>
      <b/>
      <sz val="12"/>
      <name val="Times New Roman"/>
      <family val="1"/>
    </font>
    <font>
      <sz val="12"/>
      <name val="Verdana"/>
      <family val="2"/>
    </font>
    <font>
      <sz val="8"/>
      <name val="Verdana"/>
      <family val="2"/>
    </font>
    <font>
      <b/>
      <vertAlign val="subscript"/>
      <sz val="12"/>
      <name val="Arial"/>
      <family val="2"/>
    </font>
    <font>
      <b/>
      <vertAlign val="subscript"/>
      <sz val="12"/>
      <name val="Times New Roman"/>
      <family val="1"/>
    </font>
    <font>
      <b/>
      <sz val="12"/>
      <name val="Times"/>
      <family val="1"/>
    </font>
    <font>
      <b/>
      <i/>
      <vertAlign val="subscript"/>
      <sz val="12"/>
      <name val="Times"/>
      <family val="1"/>
    </font>
    <font>
      <sz val="8"/>
      <name val="Arial"/>
      <family val="2"/>
    </font>
    <font>
      <b/>
      <sz val="12"/>
      <color theme="1"/>
      <name val="Calibri"/>
      <family val="2"/>
      <scheme val="minor"/>
    </font>
    <font>
      <sz val="12"/>
      <color theme="1"/>
      <name val="Times New Roman"/>
      <family val="1"/>
    </font>
    <font>
      <sz val="14"/>
      <name val="Verdana"/>
      <family val="2"/>
    </font>
    <font>
      <sz val="12"/>
      <color theme="1"/>
      <name val="Calibri"/>
      <family val="2"/>
      <scheme val="minor"/>
    </font>
    <font>
      <b/>
      <sz val="12"/>
      <color theme="1"/>
      <name val="Times New Roman"/>
      <family val="1"/>
    </font>
    <font>
      <sz val="10"/>
      <color rgb="FF000000"/>
      <name val="Helvetica Neue"/>
      <family val="2"/>
    </font>
    <font>
      <sz val="12"/>
      <name val="Arial"/>
      <family val="2"/>
    </font>
    <font>
      <u/>
      <sz val="12"/>
      <color theme="10"/>
      <name val="Calibri"/>
      <family val="2"/>
      <scheme val="minor"/>
    </font>
    <font>
      <b/>
      <sz val="11"/>
      <color theme="1"/>
      <name val="Times New Roman"/>
      <family val="1"/>
    </font>
    <font>
      <b/>
      <sz val="11"/>
      <color rgb="FF000000"/>
      <name val="Times New Roman"/>
      <family val="1"/>
    </font>
    <font>
      <i/>
      <sz val="11"/>
      <color rgb="FF000000"/>
      <name val="Times New Roman"/>
      <family val="1"/>
    </font>
    <font>
      <sz val="11"/>
      <color theme="1"/>
      <name val="Times New Roman"/>
      <family val="1"/>
    </font>
    <font>
      <sz val="11"/>
      <color rgb="FF000000"/>
      <name val="Times New Roman"/>
      <family val="1"/>
    </font>
    <font>
      <sz val="12"/>
      <color rgb="FF000000"/>
      <name val="Times New Roman"/>
      <family val="1"/>
    </font>
    <font>
      <b/>
      <vertAlign val="subscript"/>
      <sz val="12"/>
      <color theme="1"/>
      <name val="Times New Roman"/>
      <family val="1"/>
    </font>
    <font>
      <sz val="12"/>
      <color rgb="FFFF0000"/>
      <name val="Times New Roman"/>
      <family val="1"/>
    </font>
    <font>
      <sz val="10"/>
      <color rgb="FFFF0000"/>
      <name val="Times New Roman"/>
      <family val="1"/>
    </font>
    <font>
      <b/>
      <i/>
      <vertAlign val="subscript"/>
      <sz val="12"/>
      <color theme="1"/>
      <name val="Times New Roman"/>
      <family val="1"/>
    </font>
    <font>
      <b/>
      <i/>
      <sz val="12"/>
      <color theme="1"/>
      <name val="Times New Roman"/>
      <family val="1"/>
    </font>
    <font>
      <b/>
      <i/>
      <vertAlign val="superscript"/>
      <sz val="12"/>
      <color theme="1"/>
      <name val="Times New Roman"/>
      <family val="1"/>
    </font>
    <font>
      <i/>
      <sz val="12"/>
      <color theme="1"/>
      <name val="Times New Roman"/>
      <family val="1"/>
    </font>
    <font>
      <sz val="9"/>
      <color theme="1"/>
      <name val="Times New Roman"/>
      <family val="1"/>
    </font>
    <font>
      <sz val="9"/>
      <name val="Times New Roman"/>
      <family val="1"/>
    </font>
    <font>
      <b/>
      <sz val="10"/>
      <color theme="1"/>
      <name val="Calibri"/>
      <family val="2"/>
      <scheme val="minor"/>
    </font>
    <font>
      <sz val="10"/>
      <color theme="1"/>
      <name val="Calibri"/>
      <family val="2"/>
      <scheme val="minor"/>
    </font>
    <font>
      <u/>
      <sz val="9"/>
      <color theme="10"/>
      <name val="Calibri"/>
      <family val="2"/>
      <scheme val="minor"/>
    </font>
    <font>
      <sz val="10"/>
      <color rgb="FF000000"/>
      <name val="Calibri"/>
      <family val="2"/>
      <scheme val="minor"/>
    </font>
    <font>
      <sz val="10"/>
      <name val="Calibri"/>
      <family val="2"/>
      <scheme val="minor"/>
    </font>
    <font>
      <i/>
      <sz val="10"/>
      <name val="Calibri"/>
      <family val="2"/>
      <scheme val="minor"/>
    </font>
    <font>
      <b/>
      <sz val="10"/>
      <name val="Calibri"/>
      <family val="2"/>
      <scheme val="minor"/>
    </font>
    <font>
      <b/>
      <i/>
      <sz val="10"/>
      <name val="Calibri"/>
      <family val="2"/>
      <scheme val="minor"/>
    </font>
    <font>
      <b/>
      <i/>
      <vertAlign val="subscript"/>
      <sz val="10"/>
      <name val="Calibri"/>
      <family val="2"/>
      <scheme val="minor"/>
    </font>
    <font>
      <b/>
      <sz val="10"/>
      <color rgb="FF000000"/>
      <name val="Calibri"/>
      <family val="2"/>
      <scheme val="minor"/>
    </font>
    <font>
      <b/>
      <i/>
      <sz val="10"/>
      <color theme="1"/>
      <name val="Calibri"/>
      <family val="2"/>
      <scheme val="minor"/>
    </font>
    <font>
      <i/>
      <sz val="9"/>
      <color theme="1"/>
      <name val="Calibri"/>
      <family val="2"/>
      <scheme val="minor"/>
    </font>
    <font>
      <b/>
      <vertAlign val="subscript"/>
      <sz val="10"/>
      <name val="Calibri"/>
      <family val="2"/>
      <scheme val="minor"/>
    </font>
    <font>
      <b/>
      <vertAlign val="superscript"/>
      <sz val="10"/>
      <name val="Calibri"/>
      <family val="2"/>
      <scheme val="minor"/>
    </font>
    <font>
      <i/>
      <sz val="9"/>
      <name val="Calibri"/>
      <family val="2"/>
      <scheme val="minor"/>
    </font>
    <font>
      <i/>
      <sz val="12"/>
      <color theme="1"/>
      <name val="Calibri"/>
      <family val="2"/>
      <scheme val="minor"/>
    </font>
    <font>
      <b/>
      <i/>
      <sz val="12"/>
      <color theme="1"/>
      <name val="Calibri"/>
      <family val="2"/>
      <scheme val="minor"/>
    </font>
    <font>
      <i/>
      <sz val="11"/>
      <color theme="1"/>
      <name val="Times New Roman"/>
      <family val="1"/>
    </font>
    <font>
      <i/>
      <sz val="11"/>
      <color theme="2" tint="-9.9978637043366805E-2"/>
      <name val="Times New Roman"/>
      <family val="1"/>
    </font>
    <font>
      <b/>
      <sz val="11"/>
      <color theme="2" tint="-9.9978637043366805E-2"/>
      <name val="Times New Roman"/>
      <family val="1"/>
    </font>
    <font>
      <sz val="12"/>
      <color theme="2" tint="-9.9978637043366805E-2"/>
      <name val="Calibri"/>
      <family val="2"/>
      <scheme val="minor"/>
    </font>
  </fonts>
  <fills count="7">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7" tint="0.79998168889431442"/>
        <bgColor indexed="64"/>
      </patternFill>
    </fill>
    <fill>
      <patternFill patternType="solid">
        <fgColor theme="2"/>
        <bgColor indexed="64"/>
      </patternFill>
    </fill>
    <fill>
      <patternFill patternType="solid">
        <fgColor theme="2" tint="-9.9978637043366805E-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right/>
      <top style="medium">
        <color indexed="64"/>
      </top>
      <bottom style="medium">
        <color indexed="64"/>
      </bottom>
      <diagonal/>
    </border>
  </borders>
  <cellStyleXfs count="6">
    <xf numFmtId="0" fontId="0" fillId="0" borderId="0"/>
    <xf numFmtId="0" fontId="1" fillId="0" borderId="0"/>
    <xf numFmtId="43" fontId="1" fillId="0" borderId="0" applyFont="0" applyFill="0" applyBorder="0" applyAlignment="0" applyProtection="0"/>
    <xf numFmtId="43" fontId="16" fillId="0" borderId="0" applyFont="0" applyFill="0" applyBorder="0" applyAlignment="0" applyProtection="0"/>
    <xf numFmtId="0" fontId="20" fillId="0" borderId="0" applyNumberFormat="0" applyFill="0" applyBorder="0" applyAlignment="0" applyProtection="0"/>
    <xf numFmtId="3" fontId="19" fillId="0" borderId="0"/>
  </cellStyleXfs>
  <cellXfs count="337">
    <xf numFmtId="0" fontId="0" fillId="0" borderId="0" xfId="0"/>
    <xf numFmtId="0" fontId="3" fillId="2" borderId="3" xfId="1" applyFont="1" applyFill="1" applyBorder="1" applyAlignment="1">
      <alignment horizontal="center" vertical="center" wrapText="1"/>
    </xf>
    <xf numFmtId="0" fontId="2" fillId="2" borderId="3" xfId="1" applyFont="1" applyFill="1" applyBorder="1" applyAlignment="1">
      <alignment horizontal="center" vertical="center" wrapText="1"/>
    </xf>
    <xf numFmtId="0" fontId="3" fillId="2" borderId="0" xfId="1" applyFont="1" applyFill="1" applyAlignment="1">
      <alignment horizontal="center" vertical="center" wrapText="1"/>
    </xf>
    <xf numFmtId="0" fontId="4" fillId="2" borderId="0" xfId="1" quotePrefix="1" applyFont="1" applyFill="1" applyAlignment="1">
      <alignment vertical="center"/>
    </xf>
    <xf numFmtId="0" fontId="4" fillId="2" borderId="0" xfId="1" applyFont="1" applyFill="1" applyAlignment="1">
      <alignment vertical="center"/>
    </xf>
    <xf numFmtId="166" fontId="4" fillId="2" borderId="0" xfId="0" applyNumberFormat="1" applyFont="1" applyFill="1" applyAlignment="1">
      <alignment vertical="center"/>
    </xf>
    <xf numFmtId="0" fontId="5" fillId="2" borderId="0" xfId="1" applyFont="1" applyFill="1" applyAlignment="1">
      <alignment horizontal="left"/>
    </xf>
    <xf numFmtId="0" fontId="6" fillId="2" borderId="0" xfId="1" applyFont="1" applyFill="1" applyAlignment="1">
      <alignment horizontal="center"/>
    </xf>
    <xf numFmtId="0" fontId="7" fillId="2" borderId="0" xfId="1" applyFont="1" applyFill="1" applyAlignment="1">
      <alignment horizontal="center"/>
    </xf>
    <xf numFmtId="0" fontId="7" fillId="2" borderId="0" xfId="1" applyFont="1" applyFill="1"/>
    <xf numFmtId="0" fontId="2" fillId="2" borderId="2" xfId="1" applyFont="1" applyFill="1" applyBorder="1" applyAlignment="1">
      <alignment horizontal="center" vertical="center" wrapText="1"/>
    </xf>
    <xf numFmtId="0" fontId="10" fillId="2" borderId="3" xfId="1" applyFont="1" applyFill="1" applyBorder="1" applyAlignment="1">
      <alignment horizontal="center" vertical="center" wrapText="1"/>
    </xf>
    <xf numFmtId="0" fontId="3" fillId="2" borderId="3" xfId="1" applyFont="1" applyFill="1" applyBorder="1" applyAlignment="1">
      <alignment horizontal="center"/>
    </xf>
    <xf numFmtId="0" fontId="4" fillId="2" borderId="0" xfId="1" applyFont="1" applyFill="1" applyAlignment="1">
      <alignment horizontal="center" vertical="center"/>
    </xf>
    <xf numFmtId="166" fontId="4" fillId="2" borderId="0" xfId="2" applyNumberFormat="1" applyFont="1" applyFill="1" applyBorder="1" applyAlignment="1">
      <alignment horizontal="center" vertical="center"/>
    </xf>
    <xf numFmtId="167" fontId="4" fillId="2" borderId="0" xfId="1" applyNumberFormat="1" applyFont="1" applyFill="1" applyAlignment="1">
      <alignment horizontal="center" vertical="center"/>
    </xf>
    <xf numFmtId="168" fontId="4" fillId="2" borderId="0" xfId="1" applyNumberFormat="1" applyFont="1" applyFill="1" applyAlignment="1">
      <alignment horizontal="center" vertical="center"/>
    </xf>
    <xf numFmtId="1" fontId="4" fillId="2" borderId="0" xfId="1" applyNumberFormat="1" applyFont="1" applyFill="1" applyAlignment="1">
      <alignment horizontal="center" vertical="center"/>
    </xf>
    <xf numFmtId="2" fontId="4" fillId="2" borderId="0" xfId="1" applyNumberFormat="1" applyFont="1" applyFill="1" applyAlignment="1">
      <alignment horizontal="center" vertical="center"/>
    </xf>
    <xf numFmtId="165" fontId="4" fillId="2" borderId="0" xfId="1" applyNumberFormat="1" applyFont="1" applyFill="1" applyAlignment="1">
      <alignment horizontal="center"/>
    </xf>
    <xf numFmtId="2" fontId="4" fillId="2" borderId="0" xfId="1" applyNumberFormat="1" applyFont="1" applyFill="1" applyAlignment="1">
      <alignment horizontal="center"/>
    </xf>
    <xf numFmtId="0" fontId="4" fillId="2" borderId="0" xfId="1" applyFont="1" applyFill="1" applyAlignment="1">
      <alignment horizontal="center"/>
    </xf>
    <xf numFmtId="1" fontId="4" fillId="2" borderId="0" xfId="1" applyNumberFormat="1" applyFont="1" applyFill="1" applyAlignment="1">
      <alignment horizontal="center"/>
    </xf>
    <xf numFmtId="0" fontId="4" fillId="2" borderId="0" xfId="1" applyFont="1" applyFill="1"/>
    <xf numFmtId="0" fontId="5" fillId="2" borderId="3" xfId="1" applyFont="1" applyFill="1" applyBorder="1"/>
    <xf numFmtId="3" fontId="4" fillId="2" borderId="3" xfId="1" applyNumberFormat="1" applyFont="1" applyFill="1" applyBorder="1" applyAlignment="1">
      <alignment horizontal="center"/>
    </xf>
    <xf numFmtId="0" fontId="4" fillId="2" borderId="3" xfId="1" applyFont="1" applyFill="1" applyBorder="1" applyAlignment="1">
      <alignment horizontal="center" vertical="center"/>
    </xf>
    <xf numFmtId="0" fontId="4" fillId="2" borderId="3" xfId="1" applyFont="1" applyFill="1" applyBorder="1" applyAlignment="1">
      <alignment horizontal="center"/>
    </xf>
    <xf numFmtId="1" fontId="4" fillId="2" borderId="3" xfId="1" applyNumberFormat="1" applyFont="1" applyFill="1" applyBorder="1" applyAlignment="1">
      <alignment horizontal="center" vertical="center"/>
    </xf>
    <xf numFmtId="1" fontId="4" fillId="2" borderId="3" xfId="1" applyNumberFormat="1" applyFont="1" applyFill="1" applyBorder="1" applyAlignment="1">
      <alignment horizontal="center"/>
    </xf>
    <xf numFmtId="0" fontId="12" fillId="2" borderId="0" xfId="1" applyFont="1" applyFill="1"/>
    <xf numFmtId="1" fontId="4" fillId="2" borderId="0" xfId="0" applyNumberFormat="1" applyFont="1" applyFill="1" applyAlignment="1">
      <alignment horizontal="center" vertical="center"/>
    </xf>
    <xf numFmtId="0" fontId="15" fillId="2" borderId="0" xfId="1" applyFont="1" applyFill="1"/>
    <xf numFmtId="0" fontId="15" fillId="2" borderId="0" xfId="1" applyFont="1" applyFill="1" applyAlignment="1">
      <alignment horizontal="center"/>
    </xf>
    <xf numFmtId="49" fontId="15" fillId="2" borderId="0" xfId="1" applyNumberFormat="1" applyFont="1" applyFill="1" applyAlignment="1">
      <alignment horizontal="center"/>
    </xf>
    <xf numFmtId="49" fontId="5" fillId="2" borderId="0" xfId="1" applyNumberFormat="1" applyFont="1" applyFill="1" applyAlignment="1">
      <alignment horizontal="left"/>
    </xf>
    <xf numFmtId="49" fontId="3" fillId="2" borderId="3" xfId="1" applyNumberFormat="1" applyFont="1" applyFill="1" applyBorder="1" applyAlignment="1">
      <alignment horizontal="center" vertical="center" wrapText="1"/>
    </xf>
    <xf numFmtId="49" fontId="4" fillId="2" borderId="0" xfId="1" quotePrefix="1" applyNumberFormat="1" applyFont="1" applyFill="1" applyAlignment="1">
      <alignment horizontal="center" vertical="center"/>
    </xf>
    <xf numFmtId="49" fontId="4" fillId="2" borderId="0" xfId="1" quotePrefix="1" applyNumberFormat="1" applyFont="1" applyFill="1" applyAlignment="1">
      <alignment horizontal="center"/>
    </xf>
    <xf numFmtId="49" fontId="4" fillId="2" borderId="0" xfId="1" applyNumberFormat="1" applyFont="1" applyFill="1" applyAlignment="1">
      <alignment horizontal="center"/>
    </xf>
    <xf numFmtId="49" fontId="4" fillId="2" borderId="0" xfId="1" applyNumberFormat="1" applyFont="1" applyFill="1" applyAlignment="1">
      <alignment horizontal="center" vertical="center"/>
    </xf>
    <xf numFmtId="49" fontId="4" fillId="2" borderId="5" xfId="1" applyNumberFormat="1" applyFont="1" applyFill="1" applyBorder="1" applyAlignment="1">
      <alignment horizontal="center" vertical="center"/>
    </xf>
    <xf numFmtId="49" fontId="5" fillId="2" borderId="3" xfId="1" applyNumberFormat="1" applyFont="1" applyFill="1" applyBorder="1"/>
    <xf numFmtId="49" fontId="7" fillId="2" borderId="0" xfId="1" applyNumberFormat="1" applyFont="1" applyFill="1" applyAlignment="1">
      <alignment horizontal="center"/>
    </xf>
    <xf numFmtId="2" fontId="4" fillId="2" borderId="0" xfId="1" applyNumberFormat="1" applyFont="1" applyFill="1" applyAlignment="1">
      <alignment vertical="center"/>
    </xf>
    <xf numFmtId="164" fontId="7" fillId="2" borderId="0" xfId="1" applyNumberFormat="1" applyFont="1" applyFill="1" applyAlignment="1">
      <alignment horizontal="center"/>
    </xf>
    <xf numFmtId="0" fontId="0" fillId="2" borderId="0" xfId="0" applyFill="1"/>
    <xf numFmtId="0" fontId="0" fillId="2" borderId="14" xfId="0" applyFill="1" applyBorder="1"/>
    <xf numFmtId="0" fontId="0" fillId="2" borderId="11" xfId="0" applyFill="1" applyBorder="1"/>
    <xf numFmtId="0" fontId="0" fillId="2" borderId="13" xfId="0" applyFill="1" applyBorder="1"/>
    <xf numFmtId="0" fontId="0" fillId="2" borderId="10" xfId="0" applyFill="1" applyBorder="1"/>
    <xf numFmtId="0" fontId="13" fillId="2" borderId="6" xfId="0" applyFont="1" applyFill="1" applyBorder="1" applyAlignment="1">
      <alignment horizontal="center"/>
    </xf>
    <xf numFmtId="0" fontId="13" fillId="2" borderId="7" xfId="0" applyFont="1" applyFill="1" applyBorder="1" applyAlignment="1">
      <alignment horizontal="center"/>
    </xf>
    <xf numFmtId="0" fontId="13" fillId="2" borderId="0" xfId="0" applyFont="1" applyFill="1"/>
    <xf numFmtId="0" fontId="0" fillId="2" borderId="0" xfId="0" applyFill="1" applyAlignment="1">
      <alignment wrapText="1"/>
    </xf>
    <xf numFmtId="0" fontId="13" fillId="2" borderId="8" xfId="0" applyFont="1" applyFill="1" applyBorder="1" applyAlignment="1">
      <alignment horizontal="right" vertical="top"/>
    </xf>
    <xf numFmtId="0" fontId="13" fillId="2" borderId="13" xfId="0" applyFont="1" applyFill="1" applyBorder="1" applyAlignment="1">
      <alignment horizontal="right" vertical="top"/>
    </xf>
    <xf numFmtId="0" fontId="13" fillId="2" borderId="10" xfId="0" applyFont="1" applyFill="1" applyBorder="1" applyAlignment="1">
      <alignment horizontal="right" vertical="top"/>
    </xf>
    <xf numFmtId="0" fontId="0" fillId="2" borderId="9" xfId="0" applyFill="1" applyBorder="1" applyAlignment="1">
      <alignment vertical="top"/>
    </xf>
    <xf numFmtId="0" fontId="0" fillId="2" borderId="14" xfId="0" applyFill="1" applyBorder="1" applyAlignment="1">
      <alignment vertical="top"/>
    </xf>
    <xf numFmtId="0" fontId="0" fillId="2" borderId="11" xfId="0" applyFill="1" applyBorder="1" applyAlignment="1">
      <alignment vertical="top" wrapText="1"/>
    </xf>
    <xf numFmtId="3" fontId="0" fillId="2" borderId="0" xfId="0" applyNumberFormat="1" applyFill="1"/>
    <xf numFmtId="0" fontId="17" fillId="2" borderId="0" xfId="0" applyFont="1" applyFill="1"/>
    <xf numFmtId="0" fontId="14" fillId="2" borderId="0" xfId="0" applyFont="1" applyFill="1"/>
    <xf numFmtId="0" fontId="14" fillId="2" borderId="0" xfId="0" applyFont="1" applyFill="1" applyAlignment="1">
      <alignment horizontal="center" vertical="center"/>
    </xf>
    <xf numFmtId="166" fontId="14" fillId="2" borderId="0" xfId="3" applyNumberFormat="1" applyFont="1" applyFill="1"/>
    <xf numFmtId="166" fontId="3" fillId="2" borderId="3" xfId="3" applyNumberFormat="1" applyFont="1" applyFill="1" applyBorder="1" applyAlignment="1">
      <alignment horizontal="center" vertical="center" wrapText="1"/>
    </xf>
    <xf numFmtId="0" fontId="14" fillId="2" borderId="4" xfId="0" applyFont="1" applyFill="1" applyBorder="1"/>
    <xf numFmtId="49" fontId="4" fillId="2" borderId="4" xfId="1" quotePrefix="1" applyNumberFormat="1" applyFont="1" applyFill="1" applyBorder="1" applyAlignment="1">
      <alignment horizontal="center" vertical="center"/>
    </xf>
    <xf numFmtId="166" fontId="26" fillId="2" borderId="4" xfId="3" applyNumberFormat="1" applyFont="1" applyFill="1" applyBorder="1"/>
    <xf numFmtId="166" fontId="26" fillId="2" borderId="0" xfId="3" applyNumberFormat="1" applyFont="1" applyFill="1" applyBorder="1"/>
    <xf numFmtId="0" fontId="14" fillId="2" borderId="5" xfId="0" applyFont="1" applyFill="1" applyBorder="1"/>
    <xf numFmtId="166" fontId="26" fillId="2" borderId="5" xfId="3" applyNumberFormat="1" applyFont="1" applyFill="1" applyBorder="1"/>
    <xf numFmtId="0" fontId="18" fillId="2" borderId="0" xfId="0" applyFont="1" applyFill="1"/>
    <xf numFmtId="0" fontId="0" fillId="2" borderId="0" xfId="0" applyFill="1" applyAlignment="1">
      <alignment horizontal="center" vertical="center"/>
    </xf>
    <xf numFmtId="0" fontId="14" fillId="2" borderId="0" xfId="0" applyFont="1" applyFill="1" applyAlignment="1">
      <alignment horizontal="center"/>
    </xf>
    <xf numFmtId="0" fontId="14" fillId="2" borderId="4" xfId="0" applyFont="1" applyFill="1" applyBorder="1" applyAlignment="1">
      <alignment horizontal="center"/>
    </xf>
    <xf numFmtId="0" fontId="14" fillId="2" borderId="5" xfId="0" applyFont="1" applyFill="1" applyBorder="1" applyAlignment="1">
      <alignment horizontal="center"/>
    </xf>
    <xf numFmtId="0" fontId="0" fillId="2" borderId="0" xfId="0" applyFill="1" applyAlignment="1">
      <alignment horizontal="right"/>
    </xf>
    <xf numFmtId="0" fontId="3" fillId="2" borderId="3" xfId="1" applyFont="1" applyFill="1" applyBorder="1" applyAlignment="1">
      <alignment horizontal="right" vertical="center" wrapText="1"/>
    </xf>
    <xf numFmtId="49" fontId="4" fillId="2" borderId="0" xfId="1" applyNumberFormat="1" applyFont="1" applyFill="1" applyAlignment="1">
      <alignment horizontal="right"/>
    </xf>
    <xf numFmtId="49" fontId="4" fillId="2" borderId="0" xfId="1" applyNumberFormat="1" applyFont="1" applyFill="1" applyAlignment="1">
      <alignment horizontal="left"/>
    </xf>
    <xf numFmtId="49" fontId="4" fillId="2" borderId="4" xfId="1" applyNumberFormat="1" applyFont="1" applyFill="1" applyBorder="1" applyAlignment="1">
      <alignment horizontal="left"/>
    </xf>
    <xf numFmtId="49" fontId="4" fillId="2" borderId="4" xfId="1" applyNumberFormat="1" applyFont="1" applyFill="1" applyBorder="1" applyAlignment="1">
      <alignment horizontal="center"/>
    </xf>
    <xf numFmtId="49" fontId="4" fillId="2" borderId="4" xfId="1" applyNumberFormat="1" applyFont="1" applyFill="1" applyBorder="1" applyAlignment="1">
      <alignment horizontal="right"/>
    </xf>
    <xf numFmtId="49" fontId="4" fillId="2" borderId="5" xfId="1" applyNumberFormat="1" applyFont="1" applyFill="1" applyBorder="1" applyAlignment="1">
      <alignment horizontal="left"/>
    </xf>
    <xf numFmtId="49" fontId="4" fillId="2" borderId="5" xfId="1" applyNumberFormat="1" applyFont="1" applyFill="1" applyBorder="1" applyAlignment="1">
      <alignment horizontal="center"/>
    </xf>
    <xf numFmtId="49" fontId="4" fillId="2" borderId="5" xfId="1" applyNumberFormat="1" applyFont="1" applyFill="1" applyBorder="1" applyAlignment="1">
      <alignment horizontal="right"/>
    </xf>
    <xf numFmtId="0" fontId="17" fillId="2" borderId="0" xfId="0" applyFont="1" applyFill="1" applyAlignment="1">
      <alignment horizontal="left"/>
    </xf>
    <xf numFmtId="0" fontId="17" fillId="2" borderId="0" xfId="0" applyFont="1" applyFill="1" applyAlignment="1">
      <alignment horizontal="center"/>
    </xf>
    <xf numFmtId="0" fontId="27" fillId="2" borderId="0" xfId="0" applyFont="1" applyFill="1" applyAlignment="1">
      <alignment horizontal="center" vertical="center" wrapText="1"/>
    </xf>
    <xf numFmtId="0" fontId="17" fillId="2" borderId="0" xfId="0" applyFont="1" applyFill="1" applyAlignment="1">
      <alignment horizontal="center" vertical="center" wrapText="1"/>
    </xf>
    <xf numFmtId="0" fontId="30" fillId="2" borderId="0" xfId="0" applyFont="1" applyFill="1" applyAlignment="1">
      <alignment horizontal="center" vertical="center" wrapText="1"/>
    </xf>
    <xf numFmtId="0" fontId="33" fillId="2" borderId="0" xfId="0" applyFont="1" applyFill="1" applyAlignment="1">
      <alignment horizontal="center"/>
    </xf>
    <xf numFmtId="169" fontId="14" fillId="2" borderId="0" xfId="0" applyNumberFormat="1" applyFont="1" applyFill="1"/>
    <xf numFmtId="0" fontId="4" fillId="2" borderId="0" xfId="0" applyFont="1" applyFill="1" applyAlignment="1">
      <alignment horizontal="center" vertical="center"/>
    </xf>
    <xf numFmtId="3" fontId="4" fillId="2" borderId="0" xfId="0" applyNumberFormat="1" applyFont="1" applyFill="1" applyAlignment="1">
      <alignment horizontal="center" vertical="center"/>
    </xf>
    <xf numFmtId="3" fontId="14" fillId="2" borderId="0" xfId="0" applyNumberFormat="1" applyFont="1" applyFill="1" applyAlignment="1">
      <alignment horizontal="center" vertical="center"/>
    </xf>
    <xf numFmtId="171" fontId="14" fillId="2" borderId="0" xfId="0" applyNumberFormat="1" applyFont="1" applyFill="1" applyAlignment="1">
      <alignment horizontal="center" vertical="center"/>
    </xf>
    <xf numFmtId="2" fontId="14" fillId="2" borderId="0" xfId="3" applyNumberFormat="1" applyFont="1" applyFill="1" applyBorder="1"/>
    <xf numFmtId="3" fontId="14" fillId="2" borderId="0" xfId="0" applyNumberFormat="1" applyFont="1" applyFill="1"/>
    <xf numFmtId="0" fontId="28" fillId="2" borderId="0" xfId="0" applyFont="1" applyFill="1"/>
    <xf numFmtId="4" fontId="29" fillId="2" borderId="0" xfId="0" applyNumberFormat="1" applyFont="1" applyFill="1" applyAlignment="1">
      <alignment horizontal="center" vertical="center"/>
    </xf>
    <xf numFmtId="0" fontId="33" fillId="2" borderId="0" xfId="0" applyFont="1" applyFill="1"/>
    <xf numFmtId="0" fontId="34" fillId="2" borderId="0" xfId="0" applyFont="1" applyFill="1" applyAlignment="1">
      <alignment horizontal="center" wrapText="1"/>
    </xf>
    <xf numFmtId="0" fontId="35" fillId="2" borderId="0" xfId="0" applyFont="1" applyFill="1" applyAlignment="1">
      <alignment horizontal="center" wrapText="1"/>
    </xf>
    <xf numFmtId="1" fontId="34" fillId="2" borderId="0" xfId="0" applyNumberFormat="1" applyFont="1" applyFill="1" applyAlignment="1">
      <alignment horizontal="center" wrapText="1"/>
    </xf>
    <xf numFmtId="0" fontId="31" fillId="2" borderId="3" xfId="0" applyFont="1" applyFill="1" applyBorder="1" applyAlignment="1">
      <alignment horizontal="center" vertical="center" wrapText="1"/>
    </xf>
    <xf numFmtId="0" fontId="30" fillId="2" borderId="3" xfId="0" applyFont="1" applyFill="1" applyBorder="1" applyAlignment="1">
      <alignment horizontal="center" vertical="center" wrapText="1"/>
    </xf>
    <xf numFmtId="0" fontId="14" fillId="2" borderId="3" xfId="0" applyFont="1" applyFill="1" applyBorder="1" applyAlignment="1">
      <alignment horizontal="center"/>
    </xf>
    <xf numFmtId="0" fontId="17" fillId="2" borderId="3" xfId="0" applyFont="1" applyFill="1" applyBorder="1"/>
    <xf numFmtId="0" fontId="14" fillId="2" borderId="3" xfId="0" applyFont="1" applyFill="1" applyBorder="1"/>
    <xf numFmtId="3" fontId="14" fillId="2" borderId="3" xfId="0" applyNumberFormat="1" applyFont="1" applyFill="1" applyBorder="1"/>
    <xf numFmtId="4" fontId="4" fillId="2" borderId="3" xfId="0" applyNumberFormat="1" applyFont="1" applyFill="1" applyBorder="1" applyAlignment="1">
      <alignment horizontal="center" vertical="center"/>
    </xf>
    <xf numFmtId="165" fontId="14" fillId="2" borderId="0" xfId="0" applyNumberFormat="1" applyFont="1" applyFill="1" applyAlignment="1">
      <alignment horizontal="center"/>
    </xf>
    <xf numFmtId="1" fontId="14" fillId="2" borderId="0" xfId="3" applyNumberFormat="1" applyFont="1" applyFill="1" applyBorder="1" applyAlignment="1">
      <alignment horizontal="center"/>
    </xf>
    <xf numFmtId="164" fontId="14" fillId="2" borderId="0" xfId="3" applyNumberFormat="1" applyFont="1" applyFill="1" applyBorder="1" applyAlignment="1">
      <alignment horizontal="center"/>
    </xf>
    <xf numFmtId="2" fontId="14" fillId="2" borderId="0" xfId="3" applyNumberFormat="1" applyFont="1" applyFill="1" applyBorder="1" applyAlignment="1">
      <alignment horizontal="center"/>
    </xf>
    <xf numFmtId="1" fontId="14" fillId="2" borderId="0" xfId="0" applyNumberFormat="1" applyFont="1" applyFill="1" applyAlignment="1">
      <alignment horizontal="center"/>
    </xf>
    <xf numFmtId="0" fontId="28" fillId="2" borderId="0" xfId="0" applyFont="1" applyFill="1" applyAlignment="1">
      <alignment horizontal="center"/>
    </xf>
    <xf numFmtId="4" fontId="4" fillId="2" borderId="0" xfId="0" applyNumberFormat="1" applyFont="1" applyFill="1" applyAlignment="1">
      <alignment horizontal="center" vertical="center"/>
    </xf>
    <xf numFmtId="0" fontId="37" fillId="2" borderId="0" xfId="0" applyFont="1" applyFill="1"/>
    <xf numFmtId="0" fontId="37" fillId="2" borderId="4" xfId="0" applyFont="1" applyFill="1" applyBorder="1" applyAlignment="1">
      <alignment horizontal="center"/>
    </xf>
    <xf numFmtId="0" fontId="37" fillId="2" borderId="0" xfId="0" applyFont="1" applyFill="1" applyAlignment="1">
      <alignment horizontal="center"/>
    </xf>
    <xf numFmtId="0" fontId="37" fillId="2" borderId="5" xfId="0" applyFont="1" applyFill="1" applyBorder="1" applyAlignment="1">
      <alignment horizontal="center"/>
    </xf>
    <xf numFmtId="0" fontId="37" fillId="2" borderId="5" xfId="0" applyFont="1" applyFill="1" applyBorder="1"/>
    <xf numFmtId="3" fontId="43" fillId="2" borderId="1" xfId="5" applyFont="1" applyFill="1" applyBorder="1" applyAlignment="1">
      <alignment horizontal="center"/>
    </xf>
    <xf numFmtId="173" fontId="37" fillId="2" borderId="0" xfId="0" applyNumberFormat="1" applyFont="1" applyFill="1"/>
    <xf numFmtId="3" fontId="37" fillId="2" borderId="4" xfId="0" applyNumberFormat="1" applyFont="1" applyFill="1" applyBorder="1"/>
    <xf numFmtId="3" fontId="37" fillId="2" borderId="0" xfId="0" applyNumberFormat="1" applyFont="1" applyFill="1"/>
    <xf numFmtId="3" fontId="37" fillId="2" borderId="5" xfId="0" applyNumberFormat="1" applyFont="1" applyFill="1" applyBorder="1"/>
    <xf numFmtId="173" fontId="39" fillId="2" borderId="0" xfId="0" applyNumberFormat="1" applyFont="1" applyFill="1"/>
    <xf numFmtId="3" fontId="39" fillId="2" borderId="0" xfId="0" applyNumberFormat="1" applyFont="1" applyFill="1"/>
    <xf numFmtId="173" fontId="39" fillId="2" borderId="5" xfId="0" applyNumberFormat="1" applyFont="1" applyFill="1" applyBorder="1"/>
    <xf numFmtId="3" fontId="39" fillId="2" borderId="5" xfId="0" applyNumberFormat="1" applyFont="1" applyFill="1" applyBorder="1"/>
    <xf numFmtId="173" fontId="43" fillId="2" borderId="18" xfId="5" applyNumberFormat="1" applyFont="1" applyFill="1" applyBorder="1" applyAlignment="1">
      <alignment horizontal="center"/>
    </xf>
    <xf numFmtId="3" fontId="43" fillId="2" borderId="18" xfId="5" applyFont="1" applyFill="1" applyBorder="1" applyAlignment="1">
      <alignment horizontal="center"/>
    </xf>
    <xf numFmtId="173" fontId="37" fillId="2" borderId="4" xfId="0" applyNumberFormat="1" applyFont="1" applyFill="1" applyBorder="1"/>
    <xf numFmtId="0" fontId="36" fillId="2" borderId="0" xfId="0" applyFont="1" applyFill="1"/>
    <xf numFmtId="173" fontId="43" fillId="2" borderId="2" xfId="5" applyNumberFormat="1" applyFont="1" applyFill="1" applyBorder="1" applyAlignment="1">
      <alignment horizontal="center"/>
    </xf>
    <xf numFmtId="0" fontId="36" fillId="2" borderId="3" xfId="0" applyFont="1" applyFill="1" applyBorder="1"/>
    <xf numFmtId="173" fontId="43" fillId="2" borderId="3" xfId="0" applyNumberFormat="1" applyFont="1" applyFill="1" applyBorder="1" applyAlignment="1">
      <alignment horizontal="center"/>
    </xf>
    <xf numFmtId="3" fontId="43" fillId="2" borderId="1" xfId="0" applyNumberFormat="1" applyFont="1" applyFill="1" applyBorder="1" applyAlignment="1">
      <alignment horizontal="center"/>
    </xf>
    <xf numFmtId="3" fontId="43" fillId="2" borderId="16" xfId="0" applyNumberFormat="1" applyFont="1" applyFill="1" applyBorder="1" applyAlignment="1">
      <alignment horizontal="center"/>
    </xf>
    <xf numFmtId="3" fontId="43" fillId="2" borderId="23" xfId="5" applyFont="1" applyFill="1" applyBorder="1" applyAlignment="1">
      <alignment horizontal="center" vertical="center"/>
    </xf>
    <xf numFmtId="3" fontId="43" fillId="2" borderId="16" xfId="5" applyFont="1" applyFill="1" applyBorder="1" applyAlignment="1">
      <alignment horizontal="center" vertical="center"/>
    </xf>
    <xf numFmtId="3" fontId="43" fillId="2" borderId="16" xfId="0" applyNumberFormat="1" applyFont="1" applyFill="1" applyBorder="1" applyAlignment="1">
      <alignment horizontal="center" vertical="center"/>
    </xf>
    <xf numFmtId="170" fontId="37" fillId="2" borderId="23" xfId="0" applyNumberFormat="1" applyFont="1" applyFill="1" applyBorder="1" applyAlignment="1">
      <alignment horizontal="center" vertical="center"/>
    </xf>
    <xf numFmtId="170" fontId="37" fillId="2" borderId="22" xfId="0" applyNumberFormat="1" applyFont="1" applyFill="1" applyBorder="1" applyAlignment="1">
      <alignment horizontal="center" vertical="center"/>
    </xf>
    <xf numFmtId="170" fontId="37" fillId="2" borderId="17" xfId="0" applyNumberFormat="1" applyFont="1" applyFill="1" applyBorder="1" applyAlignment="1">
      <alignment horizontal="center" vertical="center"/>
    </xf>
    <xf numFmtId="170" fontId="39" fillId="2" borderId="22" xfId="0" applyNumberFormat="1" applyFont="1" applyFill="1" applyBorder="1" applyAlignment="1">
      <alignment horizontal="center" vertical="center"/>
    </xf>
    <xf numFmtId="170" fontId="39" fillId="2" borderId="17" xfId="0" applyNumberFormat="1" applyFont="1" applyFill="1" applyBorder="1" applyAlignment="1">
      <alignment horizontal="center" vertical="center"/>
    </xf>
    <xf numFmtId="0" fontId="37" fillId="2" borderId="0" xfId="0" applyFont="1" applyFill="1" applyAlignment="1">
      <alignment horizontal="center" vertical="center"/>
    </xf>
    <xf numFmtId="0" fontId="37" fillId="2" borderId="24" xfId="0" applyFont="1" applyFill="1" applyBorder="1" applyAlignment="1">
      <alignment horizontal="center"/>
    </xf>
    <xf numFmtId="16" fontId="37" fillId="2" borderId="20" xfId="0" quotePrefix="1" applyNumberFormat="1" applyFont="1" applyFill="1" applyBorder="1" applyAlignment="1">
      <alignment horizontal="center"/>
    </xf>
    <xf numFmtId="16" fontId="37" fillId="2" borderId="21" xfId="0" applyNumberFormat="1" applyFont="1" applyFill="1" applyBorder="1" applyAlignment="1">
      <alignment horizontal="center"/>
    </xf>
    <xf numFmtId="3" fontId="42" fillId="2" borderId="1" xfId="5" applyFont="1" applyFill="1" applyBorder="1" applyAlignment="1">
      <alignment horizontal="center"/>
    </xf>
    <xf numFmtId="0" fontId="37" fillId="2" borderId="20" xfId="0" applyFont="1" applyFill="1" applyBorder="1" applyAlignment="1">
      <alignment horizontal="center"/>
    </xf>
    <xf numFmtId="16" fontId="37" fillId="2" borderId="20" xfId="0" applyNumberFormat="1" applyFont="1" applyFill="1" applyBorder="1" applyAlignment="1">
      <alignment horizontal="center"/>
    </xf>
    <xf numFmtId="3" fontId="42" fillId="2" borderId="1" xfId="0" applyNumberFormat="1" applyFont="1" applyFill="1" applyBorder="1" applyAlignment="1">
      <alignment horizontal="center"/>
    </xf>
    <xf numFmtId="0" fontId="36" fillId="2" borderId="0" xfId="0" applyFont="1" applyFill="1" applyAlignment="1">
      <alignment horizontal="center"/>
    </xf>
    <xf numFmtId="0" fontId="36" fillId="2" borderId="3" xfId="0" applyFont="1" applyFill="1" applyBorder="1" applyAlignment="1">
      <alignment horizontal="center"/>
    </xf>
    <xf numFmtId="3" fontId="40" fillId="2" borderId="0" xfId="0" applyNumberFormat="1" applyFont="1" applyFill="1" applyAlignment="1">
      <alignment horizontal="center" vertical="center"/>
    </xf>
    <xf numFmtId="0" fontId="40" fillId="2" borderId="0" xfId="0" applyFont="1" applyFill="1" applyAlignment="1">
      <alignment horizontal="center" vertical="center"/>
    </xf>
    <xf numFmtId="166" fontId="40" fillId="2" borderId="0" xfId="3" applyNumberFormat="1" applyFont="1" applyFill="1" applyBorder="1" applyAlignment="1">
      <alignment horizontal="center" vertical="center"/>
    </xf>
    <xf numFmtId="165" fontId="40" fillId="2" borderId="0" xfId="0" applyNumberFormat="1" applyFont="1" applyFill="1" applyAlignment="1">
      <alignment horizontal="center" vertical="center"/>
    </xf>
    <xf numFmtId="169" fontId="40" fillId="2" borderId="0" xfId="0" applyNumberFormat="1" applyFont="1" applyFill="1" applyAlignment="1">
      <alignment horizontal="center" vertical="center"/>
    </xf>
    <xf numFmtId="1" fontId="40" fillId="2" borderId="0" xfId="0" applyNumberFormat="1" applyFont="1" applyFill="1" applyAlignment="1">
      <alignment horizontal="center" vertical="center"/>
    </xf>
    <xf numFmtId="4" fontId="40" fillId="2" borderId="0" xfId="0" applyNumberFormat="1" applyFont="1" applyFill="1" applyAlignment="1">
      <alignment horizontal="center" vertical="center"/>
    </xf>
    <xf numFmtId="3" fontId="40" fillId="2" borderId="4" xfId="0" applyNumberFormat="1" applyFont="1" applyFill="1" applyBorder="1" applyAlignment="1">
      <alignment horizontal="center" vertical="center"/>
    </xf>
    <xf numFmtId="0" fontId="40" fillId="2" borderId="4" xfId="0" applyFont="1" applyFill="1" applyBorder="1" applyAlignment="1">
      <alignment horizontal="center" vertical="center"/>
    </xf>
    <xf numFmtId="166" fontId="40" fillId="2" borderId="4" xfId="3" applyNumberFormat="1" applyFont="1" applyFill="1" applyBorder="1" applyAlignment="1">
      <alignment horizontal="center" vertical="center"/>
    </xf>
    <xf numFmtId="165" fontId="40" fillId="2" borderId="4" xfId="0" applyNumberFormat="1" applyFont="1" applyFill="1" applyBorder="1" applyAlignment="1">
      <alignment horizontal="center" vertical="center"/>
    </xf>
    <xf numFmtId="169" fontId="40" fillId="2" borderId="4" xfId="0" applyNumberFormat="1" applyFont="1" applyFill="1" applyBorder="1" applyAlignment="1">
      <alignment horizontal="center" vertical="center"/>
    </xf>
    <xf numFmtId="1" fontId="40" fillId="2" borderId="4" xfId="0" applyNumberFormat="1" applyFont="1" applyFill="1" applyBorder="1" applyAlignment="1">
      <alignment horizontal="center" vertical="center"/>
    </xf>
    <xf numFmtId="4" fontId="40" fillId="2" borderId="4" xfId="0" applyNumberFormat="1" applyFont="1" applyFill="1" applyBorder="1" applyAlignment="1">
      <alignment horizontal="center" vertical="center"/>
    </xf>
    <xf numFmtId="3" fontId="40" fillId="2" borderId="5" xfId="0" applyNumberFormat="1" applyFont="1" applyFill="1" applyBorder="1" applyAlignment="1">
      <alignment horizontal="center" vertical="center"/>
    </xf>
    <xf numFmtId="0" fontId="40" fillId="2" borderId="5" xfId="0" applyFont="1" applyFill="1" applyBorder="1" applyAlignment="1">
      <alignment horizontal="center" vertical="center"/>
    </xf>
    <xf numFmtId="166" fontId="40" fillId="2" borderId="5" xfId="3" applyNumberFormat="1" applyFont="1" applyFill="1" applyBorder="1" applyAlignment="1">
      <alignment horizontal="center" vertical="center"/>
    </xf>
    <xf numFmtId="165" fontId="40" fillId="2" borderId="5" xfId="0" applyNumberFormat="1" applyFont="1" applyFill="1" applyBorder="1" applyAlignment="1">
      <alignment horizontal="center" vertical="center"/>
    </xf>
    <xf numFmtId="1" fontId="40" fillId="2" borderId="5" xfId="0" applyNumberFormat="1" applyFont="1" applyFill="1" applyBorder="1" applyAlignment="1">
      <alignment horizontal="center" vertical="center"/>
    </xf>
    <xf numFmtId="4" fontId="40" fillId="2" borderId="5" xfId="0" applyNumberFormat="1" applyFont="1" applyFill="1" applyBorder="1" applyAlignment="1">
      <alignment horizontal="center" vertical="center"/>
    </xf>
    <xf numFmtId="0" fontId="37" fillId="2" borderId="0" xfId="0" applyFont="1" applyFill="1" applyAlignment="1">
      <alignment horizontal="right"/>
    </xf>
    <xf numFmtId="3" fontId="37" fillId="2" borderId="0" xfId="0" applyNumberFormat="1" applyFont="1" applyFill="1" applyAlignment="1">
      <alignment horizontal="right"/>
    </xf>
    <xf numFmtId="0" fontId="46" fillId="2" borderId="3" xfId="0" applyFont="1" applyFill="1" applyBorder="1" applyAlignment="1">
      <alignment horizontal="center"/>
    </xf>
    <xf numFmtId="0" fontId="47" fillId="2" borderId="0" xfId="0" applyFont="1" applyFill="1" applyAlignment="1">
      <alignment horizontal="center" wrapText="1"/>
    </xf>
    <xf numFmtId="0" fontId="42" fillId="2" borderId="0" xfId="0" applyFont="1" applyFill="1" applyAlignment="1">
      <alignment horizontal="left"/>
    </xf>
    <xf numFmtId="0" fontId="40" fillId="2" borderId="0" xfId="0" applyFont="1" applyFill="1" applyAlignment="1">
      <alignment horizontal="center"/>
    </xf>
    <xf numFmtId="0" fontId="42" fillId="2" borderId="0" xfId="0" applyFont="1" applyFill="1"/>
    <xf numFmtId="0" fontId="40" fillId="2" borderId="0" xfId="0" applyFont="1" applyFill="1"/>
    <xf numFmtId="0" fontId="42" fillId="3" borderId="3" xfId="0" applyFont="1" applyFill="1" applyBorder="1" applyAlignment="1">
      <alignment horizontal="center" vertical="center" wrapText="1"/>
    </xf>
    <xf numFmtId="0" fontId="48" fillId="3" borderId="3" xfId="0" applyFont="1" applyFill="1" applyBorder="1" applyAlignment="1">
      <alignment horizontal="center" vertical="center" wrapText="1"/>
    </xf>
    <xf numFmtId="0" fontId="42" fillId="3" borderId="0" xfId="0" applyFont="1" applyFill="1" applyAlignment="1">
      <alignment horizontal="center" vertical="center" wrapText="1"/>
    </xf>
    <xf numFmtId="0" fontId="48" fillId="3" borderId="0" xfId="0" applyFont="1" applyFill="1" applyAlignment="1">
      <alignment horizontal="center" vertical="center" wrapText="1"/>
    </xf>
    <xf numFmtId="0" fontId="40" fillId="2" borderId="4" xfId="0" applyFont="1" applyFill="1" applyBorder="1" applyAlignment="1">
      <alignment horizontal="center"/>
    </xf>
    <xf numFmtId="49" fontId="40" fillId="2" borderId="4" xfId="1" quotePrefix="1" applyNumberFormat="1" applyFont="1" applyFill="1" applyBorder="1" applyAlignment="1">
      <alignment horizontal="center" vertical="center"/>
    </xf>
    <xf numFmtId="0" fontId="40" fillId="2" borderId="4" xfId="0" applyFont="1" applyFill="1" applyBorder="1"/>
    <xf numFmtId="3" fontId="40" fillId="2" borderId="4" xfId="0" applyNumberFormat="1" applyFont="1" applyFill="1" applyBorder="1"/>
    <xf numFmtId="2" fontId="40" fillId="2" borderId="4" xfId="0" applyNumberFormat="1" applyFont="1" applyFill="1" applyBorder="1" applyAlignment="1">
      <alignment horizontal="center"/>
    </xf>
    <xf numFmtId="49" fontId="40" fillId="2" borderId="0" xfId="1" quotePrefix="1" applyNumberFormat="1" applyFont="1" applyFill="1" applyAlignment="1">
      <alignment horizontal="center"/>
    </xf>
    <xf numFmtId="3" fontId="40" fillId="2" borderId="0" xfId="0" applyNumberFormat="1" applyFont="1" applyFill="1"/>
    <xf numFmtId="2" fontId="40" fillId="2" borderId="0" xfId="0" applyNumberFormat="1" applyFont="1" applyFill="1" applyAlignment="1">
      <alignment horizontal="center"/>
    </xf>
    <xf numFmtId="49" fontId="40" fillId="2" borderId="0" xfId="1" applyNumberFormat="1" applyFont="1" applyFill="1" applyAlignment="1">
      <alignment horizontal="center"/>
    </xf>
    <xf numFmtId="49" fontId="40" fillId="2" borderId="0" xfId="1" applyNumberFormat="1" applyFont="1" applyFill="1" applyAlignment="1">
      <alignment horizontal="center" vertical="center"/>
    </xf>
    <xf numFmtId="0" fontId="40" fillId="2" borderId="5" xfId="0" applyFont="1" applyFill="1" applyBorder="1" applyAlignment="1">
      <alignment horizontal="center"/>
    </xf>
    <xf numFmtId="49" fontId="40" fillId="2" borderId="5" xfId="1" applyNumberFormat="1" applyFont="1" applyFill="1" applyBorder="1" applyAlignment="1">
      <alignment horizontal="center" vertical="center"/>
    </xf>
    <xf numFmtId="0" fontId="40" fillId="2" borderId="5" xfId="0" applyFont="1" applyFill="1" applyBorder="1"/>
    <xf numFmtId="3" fontId="40" fillId="2" borderId="5" xfId="0" applyNumberFormat="1" applyFont="1" applyFill="1" applyBorder="1"/>
    <xf numFmtId="2" fontId="40" fillId="2" borderId="5" xfId="0" applyNumberFormat="1" applyFont="1" applyFill="1" applyBorder="1" applyAlignment="1">
      <alignment horizontal="center"/>
    </xf>
    <xf numFmtId="0" fontId="42" fillId="3" borderId="0" xfId="0" applyFont="1" applyFill="1" applyAlignment="1">
      <alignment vertical="center" wrapText="1"/>
    </xf>
    <xf numFmtId="0" fontId="40" fillId="2" borderId="0" xfId="0" applyFont="1" applyFill="1" applyAlignment="1">
      <alignment horizontal="left"/>
    </xf>
    <xf numFmtId="2" fontId="40" fillId="2" borderId="0" xfId="0" applyNumberFormat="1" applyFont="1" applyFill="1" applyAlignment="1">
      <alignment horizontal="center" vertical="center"/>
    </xf>
    <xf numFmtId="164" fontId="40" fillId="2" borderId="0" xfId="0" applyNumberFormat="1" applyFont="1" applyFill="1" applyAlignment="1">
      <alignment horizontal="center" vertical="center"/>
    </xf>
    <xf numFmtId="0" fontId="42" fillId="2" borderId="3" xfId="0" applyFont="1" applyFill="1" applyBorder="1" applyAlignment="1">
      <alignment horizontal="center" wrapText="1"/>
    </xf>
    <xf numFmtId="0" fontId="42" fillId="3" borderId="3" xfId="0" applyFont="1" applyFill="1" applyBorder="1" applyAlignment="1">
      <alignment horizontal="center" wrapText="1"/>
    </xf>
    <xf numFmtId="0" fontId="48" fillId="2" borderId="3" xfId="0" applyFont="1" applyFill="1" applyBorder="1" applyAlignment="1">
      <alignment horizontal="center" wrapText="1"/>
    </xf>
    <xf numFmtId="0" fontId="48" fillId="2" borderId="3" xfId="0" applyFont="1" applyFill="1" applyBorder="1" applyAlignment="1">
      <alignment horizontal="center" vertical="center" wrapText="1"/>
    </xf>
    <xf numFmtId="0" fontId="42" fillId="2" borderId="3" xfId="0" applyFont="1" applyFill="1" applyBorder="1" applyAlignment="1">
      <alignment horizontal="center" vertical="center" wrapText="1"/>
    </xf>
    <xf numFmtId="0" fontId="42" fillId="2" borderId="0" xfId="0" applyFont="1" applyFill="1" applyAlignment="1">
      <alignment horizontal="center" wrapText="1"/>
    </xf>
    <xf numFmtId="0" fontId="42" fillId="3" borderId="0" xfId="0" applyFont="1" applyFill="1" applyAlignment="1">
      <alignment horizontal="center" wrapText="1"/>
    </xf>
    <xf numFmtId="2" fontId="40" fillId="2" borderId="4" xfId="0" applyNumberFormat="1" applyFont="1" applyFill="1" applyBorder="1" applyAlignment="1">
      <alignment horizontal="center" vertical="center"/>
    </xf>
    <xf numFmtId="164" fontId="40" fillId="2" borderId="4" xfId="0" applyNumberFormat="1" applyFont="1" applyFill="1" applyBorder="1" applyAlignment="1">
      <alignment horizontal="center" vertical="center"/>
    </xf>
    <xf numFmtId="2" fontId="40" fillId="2" borderId="5" xfId="0" applyNumberFormat="1" applyFont="1" applyFill="1" applyBorder="1" applyAlignment="1">
      <alignment horizontal="center" vertical="center"/>
    </xf>
    <xf numFmtId="164" fontId="40" fillId="2" borderId="5" xfId="0" applyNumberFormat="1" applyFont="1" applyFill="1" applyBorder="1" applyAlignment="1">
      <alignment horizontal="center" vertical="center"/>
    </xf>
    <xf numFmtId="0" fontId="40" fillId="2" borderId="0" xfId="0" applyFont="1" applyFill="1" applyAlignment="1">
      <alignment wrapText="1"/>
    </xf>
    <xf numFmtId="166" fontId="40" fillId="2" borderId="0" xfId="0" applyNumberFormat="1" applyFont="1" applyFill="1"/>
    <xf numFmtId="0" fontId="50" fillId="2" borderId="0" xfId="0" applyFont="1" applyFill="1" applyAlignment="1">
      <alignment horizontal="center"/>
    </xf>
    <xf numFmtId="0" fontId="42" fillId="2" borderId="0" xfId="0" applyFont="1" applyFill="1" applyAlignment="1">
      <alignment horizontal="center"/>
    </xf>
    <xf numFmtId="49" fontId="40" fillId="2" borderId="0" xfId="0" applyNumberFormat="1" applyFont="1" applyFill="1" applyAlignment="1">
      <alignment horizontal="center" vertical="center"/>
    </xf>
    <xf numFmtId="1" fontId="40" fillId="2" borderId="0" xfId="0" applyNumberFormat="1" applyFont="1" applyFill="1" applyAlignment="1">
      <alignment horizontal="center"/>
    </xf>
    <xf numFmtId="1" fontId="40" fillId="2" borderId="0" xfId="0" applyNumberFormat="1" applyFont="1" applyFill="1"/>
    <xf numFmtId="165" fontId="40" fillId="2" borderId="0" xfId="0" applyNumberFormat="1" applyFont="1" applyFill="1"/>
    <xf numFmtId="2" fontId="40" fillId="2" borderId="0" xfId="0" applyNumberFormat="1" applyFont="1" applyFill="1"/>
    <xf numFmtId="49" fontId="40" fillId="2" borderId="0" xfId="0" applyNumberFormat="1" applyFont="1" applyFill="1" applyAlignment="1">
      <alignment horizontal="center"/>
    </xf>
    <xf numFmtId="49" fontId="40" fillId="2" borderId="5" xfId="0" applyNumberFormat="1" applyFont="1" applyFill="1" applyBorder="1" applyAlignment="1">
      <alignment horizontal="center" vertical="center"/>
    </xf>
    <xf numFmtId="1" fontId="40" fillId="2" borderId="5" xfId="0" applyNumberFormat="1" applyFont="1" applyFill="1" applyBorder="1" applyAlignment="1">
      <alignment horizontal="center"/>
    </xf>
    <xf numFmtId="1" fontId="40" fillId="2" borderId="5" xfId="0" applyNumberFormat="1" applyFont="1" applyFill="1" applyBorder="1"/>
    <xf numFmtId="2" fontId="40" fillId="2" borderId="5" xfId="0" applyNumberFormat="1" applyFont="1" applyFill="1" applyBorder="1"/>
    <xf numFmtId="165" fontId="40" fillId="2" borderId="5" xfId="0" applyNumberFormat="1" applyFont="1" applyFill="1" applyBorder="1"/>
    <xf numFmtId="0" fontId="41" fillId="2" borderId="0" xfId="0" applyFont="1" applyFill="1"/>
    <xf numFmtId="173" fontId="50" fillId="2" borderId="20" xfId="5" applyNumberFormat="1" applyFont="1" applyFill="1" applyBorder="1" applyAlignment="1">
      <alignment horizontal="center" wrapText="1"/>
    </xf>
    <xf numFmtId="3" fontId="50" fillId="2" borderId="19" xfId="5" applyFont="1" applyFill="1" applyBorder="1" applyAlignment="1">
      <alignment horizontal="center" wrapText="1"/>
    </xf>
    <xf numFmtId="3" fontId="50" fillId="2" borderId="22" xfId="5" applyFont="1" applyFill="1" applyBorder="1" applyAlignment="1">
      <alignment horizontal="center" wrapText="1"/>
    </xf>
    <xf numFmtId="0" fontId="7" fillId="2" borderId="0" xfId="1" applyFont="1" applyFill="1" applyAlignment="1">
      <alignment horizontal="right"/>
    </xf>
    <xf numFmtId="0" fontId="0" fillId="4" borderId="8" xfId="0" applyFill="1" applyBorder="1"/>
    <xf numFmtId="0" fontId="0" fillId="4" borderId="12" xfId="0" applyFill="1" applyBorder="1"/>
    <xf numFmtId="0" fontId="0" fillId="4" borderId="9" xfId="0" applyFill="1" applyBorder="1"/>
    <xf numFmtId="0" fontId="24" fillId="4" borderId="9" xfId="0" applyFont="1" applyFill="1" applyBorder="1" applyAlignment="1">
      <alignment horizontal="center" vertical="center"/>
    </xf>
    <xf numFmtId="0" fontId="0" fillId="4" borderId="13" xfId="0" applyFill="1" applyBorder="1"/>
    <xf numFmtId="0" fontId="23" fillId="4" borderId="0" xfId="0" applyFont="1" applyFill="1" applyAlignment="1">
      <alignment vertical="center"/>
    </xf>
    <xf numFmtId="0" fontId="23" fillId="4" borderId="0" xfId="0" applyFont="1" applyFill="1" applyAlignment="1">
      <alignment vertical="center" wrapText="1"/>
    </xf>
    <xf numFmtId="0" fontId="0" fillId="4" borderId="10" xfId="0" applyFill="1" applyBorder="1"/>
    <xf numFmtId="0" fontId="23" fillId="4" borderId="15" xfId="0" applyFont="1" applyFill="1" applyBorder="1" applyAlignment="1">
      <alignment vertical="center" wrapText="1"/>
    </xf>
    <xf numFmtId="0" fontId="22" fillId="4" borderId="13" xfId="0" applyFont="1" applyFill="1" applyBorder="1" applyAlignment="1">
      <alignment horizontal="right" vertical="center"/>
    </xf>
    <xf numFmtId="0" fontId="0" fillId="4" borderId="0" xfId="0" applyFill="1"/>
    <xf numFmtId="0" fontId="0" fillId="4" borderId="14" xfId="0" applyFill="1" applyBorder="1"/>
    <xf numFmtId="0" fontId="25" fillId="4" borderId="0" xfId="0" applyFont="1" applyFill="1" applyAlignment="1">
      <alignment horizontal="center" vertical="center"/>
    </xf>
    <xf numFmtId="0" fontId="25" fillId="4" borderId="14" xfId="0" applyFont="1" applyFill="1" applyBorder="1" applyAlignment="1">
      <alignment horizontal="center" vertical="center"/>
    </xf>
    <xf numFmtId="0" fontId="25" fillId="4" borderId="15" xfId="0" applyFont="1" applyFill="1" applyBorder="1" applyAlignment="1">
      <alignment horizontal="center" vertical="center"/>
    </xf>
    <xf numFmtId="2" fontId="25" fillId="4" borderId="11" xfId="0" applyNumberFormat="1" applyFont="1" applyFill="1" applyBorder="1" applyAlignment="1">
      <alignment horizontal="center" vertical="center"/>
    </xf>
    <xf numFmtId="0" fontId="0" fillId="5" borderId="0" xfId="0" applyFill="1"/>
    <xf numFmtId="0" fontId="13" fillId="5" borderId="0" xfId="0" applyFont="1" applyFill="1"/>
    <xf numFmtId="0" fontId="51" fillId="2" borderId="0" xfId="0" applyFont="1" applyFill="1"/>
    <xf numFmtId="0" fontId="17" fillId="4" borderId="12" xfId="0" applyFont="1" applyFill="1" applyBorder="1" applyAlignment="1">
      <alignment vertical="center"/>
    </xf>
    <xf numFmtId="0" fontId="17" fillId="4" borderId="0" xfId="0" applyFont="1" applyFill="1" applyAlignment="1">
      <alignment vertical="center"/>
    </xf>
    <xf numFmtId="0" fontId="14" fillId="4" borderId="0" xfId="0" applyFont="1" applyFill="1" applyAlignment="1">
      <alignment vertical="center"/>
    </xf>
    <xf numFmtId="0" fontId="14" fillId="4" borderId="0" xfId="0" applyFont="1" applyFill="1" applyAlignment="1">
      <alignment vertical="center" wrapText="1"/>
    </xf>
    <xf numFmtId="0" fontId="0" fillId="4" borderId="15" xfId="0" applyFill="1" applyBorder="1"/>
    <xf numFmtId="0" fontId="14" fillId="4" borderId="15" xfId="0" applyFont="1" applyFill="1" applyBorder="1" applyAlignment="1">
      <alignment vertical="center" wrapText="1"/>
    </xf>
    <xf numFmtId="0" fontId="0" fillId="6" borderId="0" xfId="0" applyFill="1"/>
    <xf numFmtId="0" fontId="52" fillId="6" borderId="0" xfId="0" applyFont="1" applyFill="1"/>
    <xf numFmtId="0" fontId="53" fillId="4" borderId="15" xfId="0" applyFont="1" applyFill="1" applyBorder="1" applyAlignment="1">
      <alignment horizontal="center" vertical="center"/>
    </xf>
    <xf numFmtId="0" fontId="53" fillId="4" borderId="11" xfId="0" applyFont="1" applyFill="1" applyBorder="1" applyAlignment="1">
      <alignment horizontal="center" vertical="center"/>
    </xf>
    <xf numFmtId="0" fontId="21" fillId="4" borderId="8" xfId="0" applyFont="1" applyFill="1" applyBorder="1" applyAlignment="1">
      <alignment horizontal="right" vertical="center"/>
    </xf>
    <xf numFmtId="0" fontId="53" fillId="4" borderId="0" xfId="0" applyFont="1" applyFill="1" applyAlignment="1">
      <alignment vertical="center"/>
    </xf>
    <xf numFmtId="4" fontId="24" fillId="4" borderId="0" xfId="0" applyNumberFormat="1" applyFont="1" applyFill="1" applyAlignment="1">
      <alignment horizontal="center" vertical="center"/>
    </xf>
    <xf numFmtId="2" fontId="24" fillId="4" borderId="0" xfId="0" applyNumberFormat="1" applyFont="1" applyFill="1" applyAlignment="1">
      <alignment horizontal="center" vertical="center"/>
    </xf>
    <xf numFmtId="2" fontId="24" fillId="4" borderId="14" xfId="0" applyNumberFormat="1" applyFont="1" applyFill="1" applyBorder="1" applyAlignment="1">
      <alignment horizontal="center" vertical="center"/>
    </xf>
    <xf numFmtId="0" fontId="53" fillId="4" borderId="0" xfId="0" applyFont="1" applyFill="1" applyAlignment="1">
      <alignment vertical="center" wrapText="1"/>
    </xf>
    <xf numFmtId="0" fontId="53" fillId="4" borderId="15" xfId="0" applyFont="1" applyFill="1" applyBorder="1" applyAlignment="1">
      <alignment vertical="center" wrapText="1"/>
    </xf>
    <xf numFmtId="4" fontId="24" fillId="4" borderId="15" xfId="0" applyNumberFormat="1" applyFont="1" applyFill="1" applyBorder="1" applyAlignment="1">
      <alignment horizontal="center" vertical="center"/>
    </xf>
    <xf numFmtId="2" fontId="24" fillId="4" borderId="15" xfId="0" applyNumberFormat="1" applyFont="1" applyFill="1" applyBorder="1" applyAlignment="1">
      <alignment horizontal="center" vertical="center"/>
    </xf>
    <xf numFmtId="2" fontId="24" fillId="4" borderId="11" xfId="0" applyNumberFormat="1" applyFont="1" applyFill="1" applyBorder="1" applyAlignment="1">
      <alignment horizontal="center" vertical="center"/>
    </xf>
    <xf numFmtId="2" fontId="4" fillId="4" borderId="0" xfId="0" applyNumberFormat="1" applyFont="1" applyFill="1" applyAlignment="1">
      <alignment horizontal="center" vertical="center"/>
    </xf>
    <xf numFmtId="0" fontId="4" fillId="4" borderId="0" xfId="0" applyFont="1" applyFill="1" applyAlignment="1">
      <alignment horizontal="center" vertical="center"/>
    </xf>
    <xf numFmtId="0" fontId="5" fillId="4" borderId="12" xfId="0" applyFont="1" applyFill="1" applyBorder="1" applyAlignment="1">
      <alignment vertical="center"/>
    </xf>
    <xf numFmtId="0" fontId="4" fillId="4" borderId="15" xfId="0" applyFont="1" applyFill="1" applyBorder="1" applyAlignment="1">
      <alignment horizontal="center" vertical="center"/>
    </xf>
    <xf numFmtId="0" fontId="54" fillId="0" borderId="8" xfId="0" applyFont="1" applyBorder="1" applyAlignment="1">
      <alignment horizontal="center" vertical="center"/>
    </xf>
    <xf numFmtId="0" fontId="54" fillId="0" borderId="9" xfId="0" applyFont="1" applyBorder="1" applyAlignment="1">
      <alignment horizontal="center" vertical="center"/>
    </xf>
    <xf numFmtId="0" fontId="55" fillId="0" borderId="10" xfId="0" applyFont="1" applyBorder="1" applyAlignment="1">
      <alignment horizontal="center" vertical="center"/>
    </xf>
    <xf numFmtId="0" fontId="55" fillId="0" borderId="11" xfId="0" applyFont="1" applyBorder="1" applyAlignment="1">
      <alignment horizontal="center" vertical="center"/>
    </xf>
    <xf numFmtId="0" fontId="56" fillId="0" borderId="8" xfId="0" applyFont="1" applyBorder="1"/>
    <xf numFmtId="0" fontId="56" fillId="0" borderId="9" xfId="0" applyFont="1" applyBorder="1"/>
    <xf numFmtId="2" fontId="54" fillId="0" borderId="13" xfId="0" applyNumberFormat="1" applyFont="1" applyBorder="1" applyAlignment="1">
      <alignment vertical="center"/>
    </xf>
    <xf numFmtId="4" fontId="54" fillId="0" borderId="14" xfId="0" applyNumberFormat="1" applyFont="1" applyBorder="1" applyAlignment="1">
      <alignment vertical="center"/>
    </xf>
    <xf numFmtId="2" fontId="54" fillId="0" borderId="13" xfId="0" applyNumberFormat="1" applyFont="1" applyBorder="1" applyAlignment="1">
      <alignment vertical="center" wrapText="1"/>
    </xf>
    <xf numFmtId="4" fontId="54" fillId="0" borderId="14" xfId="0" applyNumberFormat="1" applyFont="1" applyBorder="1" applyAlignment="1">
      <alignment vertical="center" wrapText="1"/>
    </xf>
    <xf numFmtId="2" fontId="54" fillId="0" borderId="10" xfId="0" applyNumberFormat="1" applyFont="1" applyBorder="1" applyAlignment="1">
      <alignment vertical="center" wrapText="1"/>
    </xf>
    <xf numFmtId="4" fontId="54" fillId="0" borderId="11" xfId="0" applyNumberFormat="1" applyFont="1" applyBorder="1" applyAlignment="1">
      <alignment vertical="center" wrapText="1"/>
    </xf>
    <xf numFmtId="0" fontId="56" fillId="0" borderId="13" xfId="0" applyFont="1" applyBorder="1"/>
    <xf numFmtId="0" fontId="56" fillId="0" borderId="14" xfId="0" applyFont="1" applyBorder="1"/>
    <xf numFmtId="0" fontId="54" fillId="0" borderId="13" xfId="0" applyFont="1" applyBorder="1" applyAlignment="1">
      <alignment vertical="center"/>
    </xf>
    <xf numFmtId="0" fontId="54" fillId="0" borderId="14" xfId="0" applyFont="1" applyBorder="1" applyAlignment="1">
      <alignment vertical="center"/>
    </xf>
    <xf numFmtId="0" fontId="54" fillId="0" borderId="13" xfId="0" applyFont="1" applyBorder="1" applyAlignment="1">
      <alignment vertical="center" wrapText="1"/>
    </xf>
    <xf numFmtId="0" fontId="54" fillId="0" borderId="14" xfId="0" applyFont="1" applyBorder="1" applyAlignment="1">
      <alignment vertical="center" wrapText="1"/>
    </xf>
    <xf numFmtId="0" fontId="54" fillId="0" borderId="10" xfId="0" applyFont="1" applyBorder="1" applyAlignment="1">
      <alignment vertical="center" wrapText="1"/>
    </xf>
    <xf numFmtId="0" fontId="54" fillId="0" borderId="11" xfId="0" applyFont="1" applyBorder="1" applyAlignment="1">
      <alignment vertical="center" wrapText="1"/>
    </xf>
    <xf numFmtId="0" fontId="56" fillId="2" borderId="24" xfId="0" applyFont="1" applyFill="1" applyBorder="1"/>
    <xf numFmtId="0" fontId="56" fillId="2" borderId="23" xfId="0" applyFont="1" applyFill="1" applyBorder="1"/>
    <xf numFmtId="0" fontId="56" fillId="2" borderId="20" xfId="0" applyFont="1" applyFill="1" applyBorder="1"/>
    <xf numFmtId="0" fontId="56" fillId="2" borderId="22" xfId="0" applyFont="1" applyFill="1" applyBorder="1"/>
    <xf numFmtId="2" fontId="56" fillId="2" borderId="20" xfId="0" applyNumberFormat="1" applyFont="1" applyFill="1" applyBorder="1"/>
    <xf numFmtId="4" fontId="56" fillId="2" borderId="22" xfId="0" applyNumberFormat="1" applyFont="1" applyFill="1" applyBorder="1"/>
    <xf numFmtId="0" fontId="56" fillId="2" borderId="21" xfId="0" applyFont="1" applyFill="1" applyBorder="1"/>
    <xf numFmtId="0" fontId="56" fillId="2" borderId="17" xfId="0" applyFont="1" applyFill="1" applyBorder="1"/>
    <xf numFmtId="4" fontId="14" fillId="2" borderId="0" xfId="0" applyNumberFormat="1" applyFont="1" applyFill="1" applyAlignment="1">
      <alignment horizontal="center" vertical="center"/>
    </xf>
    <xf numFmtId="172" fontId="14" fillId="2" borderId="0" xfId="0" applyNumberFormat="1" applyFont="1" applyFill="1" applyAlignment="1">
      <alignment horizontal="center" vertical="center"/>
    </xf>
    <xf numFmtId="0" fontId="28" fillId="2" borderId="3" xfId="0" applyFont="1" applyFill="1" applyBorder="1"/>
    <xf numFmtId="0" fontId="42" fillId="5" borderId="0" xfId="0" applyFont="1" applyFill="1" applyAlignment="1">
      <alignment horizontal="left"/>
    </xf>
    <xf numFmtId="0" fontId="40" fillId="5" borderId="0" xfId="0" applyFont="1" applyFill="1" applyAlignment="1">
      <alignment horizontal="center"/>
    </xf>
    <xf numFmtId="0" fontId="40" fillId="5" borderId="0" xfId="0" applyFont="1" applyFill="1"/>
    <xf numFmtId="0" fontId="36" fillId="2" borderId="0" xfId="0" applyFont="1" applyFill="1" applyAlignment="1">
      <alignment horizontal="left"/>
    </xf>
    <xf numFmtId="0" fontId="17" fillId="4" borderId="12" xfId="0" applyFont="1" applyFill="1" applyBorder="1" applyAlignment="1">
      <alignment vertical="center"/>
    </xf>
    <xf numFmtId="0" fontId="17" fillId="4" borderId="15" xfId="0" applyFont="1" applyFill="1" applyBorder="1" applyAlignment="1">
      <alignment vertical="center"/>
    </xf>
    <xf numFmtId="0" fontId="17" fillId="4" borderId="25" xfId="0" applyFont="1" applyFill="1" applyBorder="1" applyAlignment="1">
      <alignment horizontal="center" vertical="center"/>
    </xf>
    <xf numFmtId="0" fontId="21" fillId="4" borderId="8" xfId="0" applyFont="1" applyFill="1" applyBorder="1" applyAlignment="1">
      <alignment horizontal="center" vertical="center"/>
    </xf>
    <xf numFmtId="0" fontId="21" fillId="4" borderId="10" xfId="0" applyFont="1" applyFill="1" applyBorder="1" applyAlignment="1">
      <alignment horizontal="center" vertical="center"/>
    </xf>
    <xf numFmtId="0" fontId="21" fillId="4" borderId="12" xfId="0" applyFont="1" applyFill="1" applyBorder="1" applyAlignment="1">
      <alignment horizontal="center" vertical="center"/>
    </xf>
    <xf numFmtId="0" fontId="21" fillId="4" borderId="15" xfId="0" applyFont="1" applyFill="1" applyBorder="1" applyAlignment="1">
      <alignment horizontal="center" vertical="center"/>
    </xf>
    <xf numFmtId="0" fontId="21" fillId="4" borderId="9" xfId="0" applyFont="1" applyFill="1" applyBorder="1" applyAlignment="1">
      <alignment horizontal="center" vertical="center"/>
    </xf>
    <xf numFmtId="0" fontId="38" fillId="2" borderId="0" xfId="4" applyFont="1" applyFill="1" applyBorder="1" applyAlignment="1">
      <alignment wrapText="1"/>
    </xf>
    <xf numFmtId="0" fontId="45" fillId="2" borderId="0" xfId="0" applyFont="1" applyFill="1" applyAlignment="1">
      <alignment wrapText="1"/>
    </xf>
    <xf numFmtId="0" fontId="36" fillId="2" borderId="0" xfId="0" applyFont="1" applyFill="1" applyAlignment="1">
      <alignment wrapText="1"/>
    </xf>
    <xf numFmtId="3" fontId="42" fillId="2" borderId="19" xfId="5" applyFont="1" applyFill="1" applyBorder="1" applyAlignment="1">
      <alignment horizontal="center"/>
    </xf>
    <xf numFmtId="0" fontId="45" fillId="2" borderId="0" xfId="0" applyFont="1" applyFill="1"/>
    <xf numFmtId="0" fontId="36" fillId="2" borderId="0" xfId="0" applyFont="1" applyFill="1"/>
  </cellXfs>
  <cellStyles count="6">
    <cellStyle name="Comma" xfId="3" builtinId="3"/>
    <cellStyle name="Comma 2" xfId="2" xr:uid="{A205D977-F894-2A4A-85B9-2380A7BB5D79}"/>
    <cellStyle name="Hyperlink" xfId="4" builtinId="8"/>
    <cellStyle name="Normal" xfId="0" builtinId="0"/>
    <cellStyle name="Normal 2" xfId="1" xr:uid="{58513CD1-F203-5749-AB97-BEBB3105A481}"/>
    <cellStyle name="Normal_Tb 2" xfId="5" xr:uid="{DFC8A55A-FA43-4449-BBF5-7CFC3828CA0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www.cdc.gov/nchs/data/nvsr/nvsr70/nvsr70-19.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A08BC-11E9-B246-83F3-99EDC9239619}">
  <sheetPr>
    <tabColor rgb="FF00B0F0"/>
  </sheetPr>
  <dimension ref="C1:D21"/>
  <sheetViews>
    <sheetView tabSelected="1" workbookViewId="0">
      <selection activeCell="D3" sqref="D3"/>
    </sheetView>
  </sheetViews>
  <sheetFormatPr defaultColWidth="10.796875" defaultRowHeight="15.6"/>
  <cols>
    <col min="1" max="2" width="10.796875" style="47"/>
    <col min="3" max="3" width="28.796875" style="47" customWidth="1"/>
    <col min="4" max="4" width="100.8984375" style="47" customWidth="1"/>
    <col min="5" max="16384" width="10.796875" style="47"/>
  </cols>
  <sheetData>
    <row r="1" spans="3:4" ht="16.2" thickBot="1"/>
    <row r="2" spans="3:4" ht="28.95" customHeight="1">
      <c r="C2" s="56" t="s">
        <v>149</v>
      </c>
      <c r="D2" s="59" t="s">
        <v>381</v>
      </c>
    </row>
    <row r="3" spans="3:4" ht="30" customHeight="1">
      <c r="C3" s="57" t="s">
        <v>150</v>
      </c>
      <c r="D3" s="60" t="s">
        <v>367</v>
      </c>
    </row>
    <row r="4" spans="3:4" ht="34.049999999999997" customHeight="1" thickBot="1">
      <c r="C4" s="58" t="s">
        <v>151</v>
      </c>
      <c r="D4" s="61" t="s">
        <v>368</v>
      </c>
    </row>
    <row r="5" spans="3:4" ht="16.95" customHeight="1">
      <c r="C5" s="54"/>
      <c r="D5" s="55"/>
    </row>
    <row r="6" spans="3:4" ht="16.95" customHeight="1">
      <c r="C6" s="54"/>
      <c r="D6" s="55"/>
    </row>
    <row r="7" spans="3:4" ht="16.95" customHeight="1" thickBot="1"/>
    <row r="8" spans="3:4" ht="16.2" thickBot="1">
      <c r="C8" s="52" t="s">
        <v>133</v>
      </c>
      <c r="D8" s="53" t="s">
        <v>134</v>
      </c>
    </row>
    <row r="9" spans="3:4">
      <c r="C9" s="50" t="s">
        <v>356</v>
      </c>
      <c r="D9" s="48" t="s">
        <v>135</v>
      </c>
    </row>
    <row r="10" spans="3:4">
      <c r="C10" s="50" t="s">
        <v>156</v>
      </c>
      <c r="D10" s="48" t="s">
        <v>136</v>
      </c>
    </row>
    <row r="11" spans="3:4">
      <c r="C11" s="50" t="s">
        <v>265</v>
      </c>
      <c r="D11" s="48" t="s">
        <v>137</v>
      </c>
    </row>
    <row r="12" spans="3:4">
      <c r="C12" s="50" t="s">
        <v>138</v>
      </c>
      <c r="D12" s="48" t="s">
        <v>139</v>
      </c>
    </row>
    <row r="13" spans="3:4">
      <c r="C13" s="50" t="s">
        <v>140</v>
      </c>
      <c r="D13" s="48" t="s">
        <v>141</v>
      </c>
    </row>
    <row r="14" spans="3:4">
      <c r="C14" s="50" t="s">
        <v>142</v>
      </c>
      <c r="D14" s="48" t="s">
        <v>143</v>
      </c>
    </row>
    <row r="15" spans="3:4">
      <c r="C15" s="50" t="s">
        <v>145</v>
      </c>
      <c r="D15" s="48" t="s">
        <v>144</v>
      </c>
    </row>
    <row r="16" spans="3:4">
      <c r="C16" s="50" t="s">
        <v>146</v>
      </c>
      <c r="D16" s="48" t="s">
        <v>148</v>
      </c>
    </row>
    <row r="17" spans="3:4">
      <c r="C17" s="50" t="s">
        <v>357</v>
      </c>
      <c r="D17" s="48" t="s">
        <v>147</v>
      </c>
    </row>
    <row r="18" spans="3:4">
      <c r="C18" s="50" t="s">
        <v>358</v>
      </c>
      <c r="D18" s="48" t="s">
        <v>359</v>
      </c>
    </row>
    <row r="19" spans="3:4">
      <c r="C19" s="50" t="s">
        <v>360</v>
      </c>
      <c r="D19" s="48" t="s">
        <v>361</v>
      </c>
    </row>
    <row r="20" spans="3:4">
      <c r="C20" s="50" t="s">
        <v>362</v>
      </c>
      <c r="D20" s="48" t="s">
        <v>363</v>
      </c>
    </row>
    <row r="21" spans="3:4" ht="16.2" thickBot="1">
      <c r="C21" s="51" t="s">
        <v>364</v>
      </c>
      <c r="D21" s="49" t="s">
        <v>365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8D667-6027-DD41-BF33-572BABF5E8B2}">
  <dimension ref="B2:R38"/>
  <sheetViews>
    <sheetView zoomScaleNormal="100" workbookViewId="0"/>
  </sheetViews>
  <sheetFormatPr defaultColWidth="11.19921875" defaultRowHeight="13.8"/>
  <cols>
    <col min="1" max="1" width="11.19921875" style="190"/>
    <col min="2" max="5" width="11.19921875" style="188"/>
    <col min="6" max="6" width="11.19921875" style="190"/>
    <col min="7" max="7" width="18.796875" style="190" hidden="1" customWidth="1"/>
    <col min="8" max="8" width="13.69921875" style="190" bestFit="1" customWidth="1"/>
    <col min="9" max="10" width="11.19921875" style="190"/>
    <col min="11" max="11" width="13.69921875" style="190" bestFit="1" customWidth="1"/>
    <col min="12" max="17" width="11.19921875" style="190"/>
    <col min="18" max="18" width="11.296875" style="188" customWidth="1"/>
    <col min="19" max="16384" width="11.19921875" style="190"/>
  </cols>
  <sheetData>
    <row r="2" spans="2:18" s="321" customFormat="1">
      <c r="B2" s="319" t="s">
        <v>354</v>
      </c>
      <c r="C2" s="320"/>
      <c r="D2" s="320"/>
      <c r="E2" s="320"/>
      <c r="R2" s="320"/>
    </row>
    <row r="3" spans="2:18">
      <c r="H3" s="227" t="s">
        <v>329</v>
      </c>
      <c r="R3" s="227" t="s">
        <v>334</v>
      </c>
    </row>
    <row r="4" spans="2:18" ht="16.05" customHeight="1">
      <c r="B4" s="214" t="s">
        <v>122</v>
      </c>
      <c r="C4" s="214" t="s">
        <v>0</v>
      </c>
      <c r="D4" s="214" t="s">
        <v>41</v>
      </c>
      <c r="E4" s="214" t="s">
        <v>119</v>
      </c>
      <c r="F4" s="215" t="s">
        <v>5</v>
      </c>
      <c r="G4" s="214" t="s">
        <v>36</v>
      </c>
      <c r="H4" s="216" t="s">
        <v>312</v>
      </c>
      <c r="I4" s="217" t="s">
        <v>323</v>
      </c>
      <c r="J4" s="216" t="s">
        <v>314</v>
      </c>
      <c r="K4" s="216" t="s">
        <v>315</v>
      </c>
      <c r="L4" s="216" t="s">
        <v>316</v>
      </c>
      <c r="M4" s="218" t="s">
        <v>324</v>
      </c>
      <c r="N4" s="216" t="s">
        <v>325</v>
      </c>
      <c r="O4" s="216" t="s">
        <v>319</v>
      </c>
      <c r="P4" s="216" t="s">
        <v>326</v>
      </c>
      <c r="Q4" s="217" t="s">
        <v>327</v>
      </c>
      <c r="R4" s="217" t="s">
        <v>328</v>
      </c>
    </row>
    <row r="5" spans="2:18">
      <c r="B5" s="195" t="s">
        <v>42</v>
      </c>
      <c r="C5" s="221" t="s">
        <v>3</v>
      </c>
      <c r="D5" s="196" t="s">
        <v>108</v>
      </c>
      <c r="E5" s="195">
        <v>0</v>
      </c>
      <c r="F5" s="170">
        <v>5</v>
      </c>
      <c r="G5" s="171" t="str">
        <f t="shared" ref="G5:G14" si="0">_xlfn.CONCAT(B5,C5,E5)</f>
        <v>United StatesTotal0</v>
      </c>
      <c r="H5" s="172">
        <f>VLOOKUP(G5,'Append1b. py 2019'!$F$4:$G$33,2,FALSE)</f>
        <v>19579914.399999999</v>
      </c>
      <c r="I5" s="222">
        <f t="shared" ref="I5:I14" si="1">K5/H5</f>
        <v>1.256236339827921E-3</v>
      </c>
      <c r="J5" s="173">
        <f t="shared" ref="J5:J13" si="2">(I5*F5)/(1+(F5-R5)*I5)</f>
        <v>6.2457231182915527E-3</v>
      </c>
      <c r="K5" s="172">
        <f>VLOOKUP(G5,'Appen2b. Deaths 2019'!$F$4:$G$33,2,FALSE)</f>
        <v>24597</v>
      </c>
      <c r="L5" s="170">
        <f t="shared" ref="L5:L14" si="3">N5*J5</f>
        <v>624.5723118291553</v>
      </c>
      <c r="M5" s="222">
        <f t="shared" ref="M5:M14" si="4">1-J5</f>
        <v>0.99375427688170848</v>
      </c>
      <c r="N5" s="170">
        <v>100000</v>
      </c>
      <c r="O5" s="170">
        <f>N6*F5+L5*R5</f>
        <v>497177.39570780849</v>
      </c>
      <c r="P5" s="170">
        <f t="shared" ref="P5:P13" si="5">O5+P6</f>
        <v>7906565.8943332499</v>
      </c>
      <c r="Q5" s="176">
        <f t="shared" ref="Q5:Q13" si="6">P5/N5</f>
        <v>79.065658943332494</v>
      </c>
      <c r="R5" s="176">
        <f>INDEX('Appen5a. 2019 LT NCHS_abridged'!$E$4:$N$38,MATCH('Appen3b. 2019 LT_construct'!G5,'Appen5a. 2019 LT NCHS_abridged'!$E$4:$E$38,0),MATCH('Appen3b. 2019 LT_construct'!$R$4,'Appen5a. 2019 LT NCHS_abridged'!$E$4:$N$4,0))</f>
        <v>0.48074059843427308</v>
      </c>
    </row>
    <row r="6" spans="2:18">
      <c r="B6" s="188" t="s">
        <v>42</v>
      </c>
      <c r="C6" s="212" t="s">
        <v>3</v>
      </c>
      <c r="D6" s="200" t="s">
        <v>109</v>
      </c>
      <c r="E6" s="188">
        <v>5</v>
      </c>
      <c r="F6" s="163">
        <v>10</v>
      </c>
      <c r="G6" s="164" t="str">
        <f t="shared" si="0"/>
        <v>United StatesTotal5</v>
      </c>
      <c r="H6" s="165">
        <f>VLOOKUP(G6,'Append1b. py 2019'!$F$4:$G$33,2,FALSE)</f>
        <v>41008807.899999999</v>
      </c>
      <c r="I6" s="213">
        <f t="shared" si="1"/>
        <v>1.340443744037729E-4</v>
      </c>
      <c r="J6" s="166">
        <f t="shared" si="2"/>
        <v>1.3396447291070613E-3</v>
      </c>
      <c r="K6" s="165">
        <f>VLOOKUP(G6,'Appen2b. Deaths 2019'!$F$4:$G$33,2,FALSE)</f>
        <v>5497</v>
      </c>
      <c r="L6" s="163">
        <f t="shared" si="3"/>
        <v>133.12776790521801</v>
      </c>
      <c r="M6" s="213">
        <f t="shared" si="4"/>
        <v>0.99866035527089292</v>
      </c>
      <c r="N6" s="163">
        <f t="shared" ref="N6:N14" si="7">N5-L5</f>
        <v>99375.42768817085</v>
      </c>
      <c r="O6" s="163">
        <f t="shared" ref="O6:O13" si="8">N7*F6+L6*R6</f>
        <v>993161.91744239943</v>
      </c>
      <c r="P6" s="163">
        <f t="shared" si="5"/>
        <v>7409388.4986254415</v>
      </c>
      <c r="Q6" s="169">
        <f t="shared" si="6"/>
        <v>74.559563374914845</v>
      </c>
      <c r="R6" s="169">
        <f>INDEX('Appen5a. 2019 LT NCHS_abridged'!$E$4:$N$38,MATCH('Appen3b. 2019 LT_construct'!G6,'Appen5a. 2019 LT NCHS_abridged'!$E$4:$E$38,0),MATCH('Appen3b. 2019 LT_construct'!$R$4,'Appen5a. 2019 LT NCHS_abridged'!$E$4:$N$4,0))</f>
        <v>5.5504441437731629</v>
      </c>
    </row>
    <row r="7" spans="2:18">
      <c r="B7" s="188" t="s">
        <v>42</v>
      </c>
      <c r="C7" s="212" t="s">
        <v>3</v>
      </c>
      <c r="D7" s="203" t="s">
        <v>110</v>
      </c>
      <c r="E7" s="188">
        <v>15</v>
      </c>
      <c r="F7" s="163">
        <v>10</v>
      </c>
      <c r="G7" s="164" t="str">
        <f t="shared" si="0"/>
        <v>United StatesTotal15</v>
      </c>
      <c r="H7" s="165">
        <f>VLOOKUP(G7,'Append1b. py 2019'!$F$4:$G$33,2,FALSE)</f>
        <v>42702369</v>
      </c>
      <c r="I7" s="213">
        <f t="shared" si="1"/>
        <v>6.9717443545111045E-4</v>
      </c>
      <c r="J7" s="166">
        <f t="shared" si="2"/>
        <v>6.9521547250483784E-3</v>
      </c>
      <c r="K7" s="165">
        <f>VLOOKUP(G7,'Appen2b. Deaths 2019'!$F$4:$G$33,2,FALSE)</f>
        <v>29771</v>
      </c>
      <c r="L7" s="163">
        <f t="shared" si="3"/>
        <v>689.94782431534304</v>
      </c>
      <c r="M7" s="213">
        <f t="shared" si="4"/>
        <v>0.9930478452749516</v>
      </c>
      <c r="N7" s="163">
        <f t="shared" si="7"/>
        <v>99242.299920265636</v>
      </c>
      <c r="O7" s="163">
        <f t="shared" si="8"/>
        <v>989634.42896311672</v>
      </c>
      <c r="P7" s="163">
        <f t="shared" si="5"/>
        <v>6416226.5811830424</v>
      </c>
      <c r="Q7" s="169">
        <f t="shared" si="6"/>
        <v>64.652135090964634</v>
      </c>
      <c r="R7" s="169">
        <f>INDEX('Appen5a. 2019 LT NCHS_abridged'!$E$4:$N$38,MATCH('Appen3b. 2019 LT_construct'!G7,'Appen5a. 2019 LT NCHS_abridged'!$E$4:$E$38,0),MATCH('Appen3b. 2019 LT_construct'!$R$4,'Appen5a. 2019 LT NCHS_abridged'!$E$4:$N$4,0))</f>
        <v>5.9582882338866794</v>
      </c>
    </row>
    <row r="8" spans="2:18">
      <c r="B8" s="188" t="s">
        <v>42</v>
      </c>
      <c r="C8" s="212" t="s">
        <v>3</v>
      </c>
      <c r="D8" s="203" t="s">
        <v>111</v>
      </c>
      <c r="E8" s="188">
        <v>25</v>
      </c>
      <c r="F8" s="163">
        <v>10</v>
      </c>
      <c r="G8" s="164" t="str">
        <f t="shared" si="0"/>
        <v>United StatesTotal25</v>
      </c>
      <c r="H8" s="165">
        <f>VLOOKUP(G8,'Append1b. py 2019'!$F$4:$G$33,2,FALSE)</f>
        <v>45899660.899999999</v>
      </c>
      <c r="I8" s="213">
        <f t="shared" si="1"/>
        <v>1.289290570771951E-3</v>
      </c>
      <c r="J8" s="166">
        <f t="shared" si="2"/>
        <v>1.281617740581977E-2</v>
      </c>
      <c r="K8" s="165">
        <f>VLOOKUP(G8,'Appen2b. Deaths 2019'!$F$4:$G$33,2,FALSE)</f>
        <v>59178</v>
      </c>
      <c r="L8" s="163">
        <f t="shared" si="3"/>
        <v>1263.0644282225128</v>
      </c>
      <c r="M8" s="213">
        <f t="shared" si="4"/>
        <v>0.98718382259418025</v>
      </c>
      <c r="N8" s="163">
        <f t="shared" si="7"/>
        <v>98552.352095950293</v>
      </c>
      <c r="O8" s="163">
        <f t="shared" si="8"/>
        <v>979658.47021301382</v>
      </c>
      <c r="P8" s="163">
        <f t="shared" si="5"/>
        <v>5426592.152219926</v>
      </c>
      <c r="Q8" s="169">
        <f t="shared" si="6"/>
        <v>55.063040473520218</v>
      </c>
      <c r="R8" s="169">
        <f>INDEX('Appen5a. 2019 LT NCHS_abridged'!$E$4:$N$38,MATCH('Appen3b. 2019 LT_construct'!G8,'Appen5a. 2019 LT NCHS_abridged'!$E$4:$E$38,0),MATCH('Appen3b. 2019 LT_construct'!$R$4,'Appen5a. 2019 LT NCHS_abridged'!$E$4:$N$4,0))</f>
        <v>5.3564912324045881</v>
      </c>
    </row>
    <row r="9" spans="2:18">
      <c r="B9" s="188" t="s">
        <v>42</v>
      </c>
      <c r="C9" s="212" t="s">
        <v>3</v>
      </c>
      <c r="D9" s="203" t="s">
        <v>112</v>
      </c>
      <c r="E9" s="188">
        <v>35</v>
      </c>
      <c r="F9" s="163">
        <v>10</v>
      </c>
      <c r="G9" s="164" t="str">
        <f t="shared" si="0"/>
        <v>United StatesTotal35</v>
      </c>
      <c r="H9" s="165">
        <f>VLOOKUP(G9,'Append1b. py 2019'!$F$4:$G$33,2,FALSE)</f>
        <v>41643377.600000001</v>
      </c>
      <c r="I9" s="213">
        <f t="shared" si="1"/>
        <v>1.9927778384623632E-3</v>
      </c>
      <c r="J9" s="166">
        <f t="shared" si="2"/>
        <v>1.9745278184303886E-2</v>
      </c>
      <c r="K9" s="165">
        <f>VLOOKUP(G9,'Appen2b. Deaths 2019'!$F$4:$G$33,2,FALSE)</f>
        <v>82986</v>
      </c>
      <c r="L9" s="163">
        <f t="shared" si="3"/>
        <v>1921.0040493520505</v>
      </c>
      <c r="M9" s="213">
        <f t="shared" si="4"/>
        <v>0.98025472181569606</v>
      </c>
      <c r="N9" s="163">
        <f t="shared" si="7"/>
        <v>97289.287667727782</v>
      </c>
      <c r="O9" s="163">
        <f t="shared" si="8"/>
        <v>963983.04531241988</v>
      </c>
      <c r="P9" s="163">
        <f t="shared" si="5"/>
        <v>4446933.6820069123</v>
      </c>
      <c r="Q9" s="169">
        <f t="shared" si="6"/>
        <v>45.708358942811159</v>
      </c>
      <c r="R9" s="169">
        <f>INDEX('Appen5a. 2019 LT NCHS_abridged'!$E$4:$N$38,MATCH('Appen3b. 2019 LT_construct'!G9,'Appen5a. 2019 LT NCHS_abridged'!$E$4:$E$38,0),MATCH('Appen3b. 2019 LT_construct'!$R$4,'Appen5a. 2019 LT NCHS_abridged'!$E$4:$N$4,0))</f>
        <v>5.3618882959339853</v>
      </c>
    </row>
    <row r="10" spans="2:18">
      <c r="B10" s="188" t="s">
        <v>42</v>
      </c>
      <c r="C10" s="212" t="s">
        <v>3</v>
      </c>
      <c r="D10" s="203" t="s">
        <v>113</v>
      </c>
      <c r="E10" s="188">
        <v>45</v>
      </c>
      <c r="F10" s="163">
        <v>10</v>
      </c>
      <c r="G10" s="164" t="str">
        <f t="shared" si="0"/>
        <v>United StatesTotal45</v>
      </c>
      <c r="H10" s="165">
        <f>VLOOKUP(G10,'Append1b. py 2019'!$F$4:$G$33,2,FALSE)</f>
        <v>40898411.100000001</v>
      </c>
      <c r="I10" s="213">
        <f t="shared" si="1"/>
        <v>3.9217415954821777E-3</v>
      </c>
      <c r="J10" s="166">
        <f t="shared" si="2"/>
        <v>3.8558780326334079E-2</v>
      </c>
      <c r="K10" s="165">
        <f>VLOOKUP(G10,'Appen2b. Deaths 2019'!$F$4:$G$33,2,FALSE)</f>
        <v>160393</v>
      </c>
      <c r="L10" s="163">
        <f t="shared" si="3"/>
        <v>3677.2846981404746</v>
      </c>
      <c r="M10" s="213">
        <f t="shared" si="4"/>
        <v>0.96144121967366591</v>
      </c>
      <c r="N10" s="163">
        <f t="shared" si="7"/>
        <v>95368.283618375732</v>
      </c>
      <c r="O10" s="163">
        <f t="shared" si="8"/>
        <v>937666.2405235176</v>
      </c>
      <c r="P10" s="163">
        <f t="shared" si="5"/>
        <v>3482950.6366944928</v>
      </c>
      <c r="Q10" s="169">
        <f t="shared" si="6"/>
        <v>36.521058202450355</v>
      </c>
      <c r="R10" s="169">
        <f>INDEX('Appen5a. 2019 LT NCHS_abridged'!$E$4:$N$38,MATCH('Appen3b. 2019 LT_construct'!G10,'Appen5a. 2019 LT NCHS_abridged'!$E$4:$E$38,0),MATCH('Appen3b. 2019 LT_construct'!$R$4,'Appen5a. 2019 LT NCHS_abridged'!$E$4:$N$4,0))</f>
        <v>5.6444504641321416</v>
      </c>
    </row>
    <row r="11" spans="2:18">
      <c r="B11" s="188" t="s">
        <v>42</v>
      </c>
      <c r="C11" s="212" t="s">
        <v>3</v>
      </c>
      <c r="D11" s="203" t="s">
        <v>114</v>
      </c>
      <c r="E11" s="188">
        <v>55</v>
      </c>
      <c r="F11" s="163">
        <v>10</v>
      </c>
      <c r="G11" s="164" t="str">
        <f t="shared" si="0"/>
        <v>United StatesTotal55</v>
      </c>
      <c r="H11" s="165">
        <f>VLOOKUP(G11,'Append1b. py 2019'!$F$4:$G$33,2,FALSE)</f>
        <v>42416468.100000001</v>
      </c>
      <c r="I11" s="213">
        <f t="shared" si="1"/>
        <v>8.8394205551498989E-3</v>
      </c>
      <c r="J11" s="166">
        <f t="shared" si="2"/>
        <v>8.503993581567347E-2</v>
      </c>
      <c r="K11" s="165">
        <f>VLOOKUP(G11,'Appen2b. Deaths 2019'!$F$4:$G$33,2,FALSE)</f>
        <v>374937</v>
      </c>
      <c r="L11" s="163">
        <f t="shared" si="3"/>
        <v>7797.3966630517916</v>
      </c>
      <c r="M11" s="213">
        <f t="shared" si="4"/>
        <v>0.91496006418432652</v>
      </c>
      <c r="N11" s="163">
        <f t="shared" si="7"/>
        <v>91690.998920235259</v>
      </c>
      <c r="O11" s="163">
        <f t="shared" si="8"/>
        <v>882116.26705655281</v>
      </c>
      <c r="P11" s="163">
        <f t="shared" si="5"/>
        <v>2545284.3961709752</v>
      </c>
      <c r="Q11" s="169">
        <f t="shared" si="6"/>
        <v>27.759370343267765</v>
      </c>
      <c r="R11" s="169">
        <f>INDEX('Appen5a. 2019 LT NCHS_abridged'!$E$4:$N$38,MATCH('Appen3b. 2019 LT_construct'!G11,'Appen5a. 2019 LT NCHS_abridged'!$E$4:$E$38,0),MATCH('Appen3b. 2019 LT_construct'!$R$4,'Appen5a. 2019 LT NCHS_abridged'!$E$4:$N$4,0))</f>
        <v>5.5377770749215793</v>
      </c>
    </row>
    <row r="12" spans="2:18">
      <c r="B12" s="188" t="s">
        <v>42</v>
      </c>
      <c r="C12" s="212" t="s">
        <v>3</v>
      </c>
      <c r="D12" s="204" t="s">
        <v>117</v>
      </c>
      <c r="E12" s="188">
        <v>65</v>
      </c>
      <c r="F12" s="163">
        <v>10</v>
      </c>
      <c r="G12" s="164" t="str">
        <f t="shared" si="0"/>
        <v>United StatesTotal65</v>
      </c>
      <c r="H12" s="165">
        <f>VLOOKUP(G12,'Append1b. py 2019'!$F$4:$G$33,2,FALSE)</f>
        <v>31442509</v>
      </c>
      <c r="I12" s="213">
        <f t="shared" si="1"/>
        <v>1.7669041614967813E-2</v>
      </c>
      <c r="J12" s="166">
        <f t="shared" si="2"/>
        <v>0.16368675417596315</v>
      </c>
      <c r="K12" s="165">
        <f>VLOOKUP(G12,'Appen2b. Deaths 2019'!$F$4:$G$33,2,FALSE)</f>
        <v>555559</v>
      </c>
      <c r="L12" s="163">
        <f t="shared" si="3"/>
        <v>13732.271449607617</v>
      </c>
      <c r="M12" s="213">
        <f t="shared" si="4"/>
        <v>0.83631324582403688</v>
      </c>
      <c r="N12" s="163">
        <f t="shared" si="7"/>
        <v>83893.602257183462</v>
      </c>
      <c r="O12" s="163">
        <f t="shared" si="8"/>
        <v>777193.90495830425</v>
      </c>
      <c r="P12" s="163">
        <f t="shared" si="5"/>
        <v>1663168.1291144222</v>
      </c>
      <c r="Q12" s="169">
        <f t="shared" si="6"/>
        <v>19.824731378393185</v>
      </c>
      <c r="R12" s="169">
        <f>INDEX('Appen5a. 2019 LT NCHS_abridged'!$E$4:$N$38,MATCH('Appen3b. 2019 LT_construct'!G12,'Appen5a. 2019 LT NCHS_abridged'!$E$4:$E$38,0),MATCH('Appen3b. 2019 LT_construct'!$R$4,'Appen5a. 2019 LT NCHS_abridged'!$E$4:$N$4,0))</f>
        <v>5.5038670885511438</v>
      </c>
    </row>
    <row r="13" spans="2:18">
      <c r="B13" s="188" t="s">
        <v>42</v>
      </c>
      <c r="C13" s="212" t="s">
        <v>3</v>
      </c>
      <c r="D13" s="204" t="s">
        <v>116</v>
      </c>
      <c r="E13" s="188">
        <v>75</v>
      </c>
      <c r="F13" s="163">
        <v>10</v>
      </c>
      <c r="G13" s="164" t="str">
        <f t="shared" si="0"/>
        <v>United StatesTotal75</v>
      </c>
      <c r="H13" s="165">
        <f>VLOOKUP(G13,'Append1b. py 2019'!$F$4:$G$33,2,FALSE)</f>
        <v>15932853.199999999</v>
      </c>
      <c r="I13" s="213">
        <f t="shared" si="1"/>
        <v>4.318291214783803E-2</v>
      </c>
      <c r="J13" s="166">
        <f t="shared" si="2"/>
        <v>0.36131920098669079</v>
      </c>
      <c r="K13" s="165">
        <f>VLOOKUP(G13,'Appen2b. Deaths 2019'!$F$4:$G$33,2,FALSE)</f>
        <v>688027</v>
      </c>
      <c r="L13" s="163">
        <f t="shared" si="3"/>
        <v>25350.635987556194</v>
      </c>
      <c r="M13" s="213">
        <f t="shared" si="4"/>
        <v>0.63868079901330921</v>
      </c>
      <c r="N13" s="163">
        <f t="shared" si="7"/>
        <v>70161.33080757584</v>
      </c>
      <c r="O13" s="163">
        <f t="shared" si="8"/>
        <v>587052.48735350487</v>
      </c>
      <c r="P13" s="163">
        <f t="shared" si="5"/>
        <v>885974.224156118</v>
      </c>
      <c r="Q13" s="169">
        <f t="shared" si="6"/>
        <v>12.627671310653827</v>
      </c>
      <c r="R13" s="169">
        <f>INDEX('Appen5a. 2019 LT NCHS_abridged'!$E$4:$N$38,MATCH('Appen3b. 2019 LT_construct'!G13,'Appen5a. 2019 LT NCHS_abridged'!$E$4:$E$38,0),MATCH('Appen3b. 2019 LT_construct'!$R$4,'Appen5a. 2019 LT NCHS_abridged'!$E$4:$N$4,0))</f>
        <v>5.4809488496269756</v>
      </c>
    </row>
    <row r="14" spans="2:18">
      <c r="B14" s="205" t="s">
        <v>42</v>
      </c>
      <c r="C14" s="223" t="s">
        <v>3</v>
      </c>
      <c r="D14" s="206" t="s">
        <v>115</v>
      </c>
      <c r="E14" s="205">
        <v>85</v>
      </c>
      <c r="F14" s="182" t="s">
        <v>37</v>
      </c>
      <c r="G14" s="178" t="str">
        <f t="shared" si="0"/>
        <v>United StatesTotal85</v>
      </c>
      <c r="H14" s="179">
        <f>VLOOKUP(G14,'Append1b. py 2019'!$F$4:$G$33,2,FALSE)</f>
        <v>6581189.5499999998</v>
      </c>
      <c r="I14" s="224">
        <f t="shared" si="1"/>
        <v>0.13276414443951096</v>
      </c>
      <c r="J14" s="181">
        <v>1</v>
      </c>
      <c r="K14" s="179">
        <f>VLOOKUP(G14,'Appen2b. Deaths 2019'!$F$4:$G$33,2,FALSE)</f>
        <v>873746</v>
      </c>
      <c r="L14" s="177">
        <f t="shared" si="3"/>
        <v>44810.694820019649</v>
      </c>
      <c r="M14" s="181">
        <f t="shared" si="4"/>
        <v>0</v>
      </c>
      <c r="N14" s="177">
        <f t="shared" si="7"/>
        <v>44810.694820019649</v>
      </c>
      <c r="O14" s="177">
        <f>N14*Q14</f>
        <v>298921.73680261307</v>
      </c>
      <c r="P14" s="177">
        <f>O14</f>
        <v>298921.73680261307</v>
      </c>
      <c r="Q14" s="182">
        <f>R14</f>
        <v>6.6707677263925538</v>
      </c>
      <c r="R14" s="182">
        <f>INDEX('Appen5a. 2019 LT NCHS_abridged'!$E$4:$N$38,MATCH('Appen3b. 2019 LT_construct'!G14,'Appen5a. 2019 LT NCHS_abridged'!$E$4:$E$38,0),MATCH('Appen3b. 2019 LT_construct'!$R$4,'Appen5a. 2019 LT NCHS_abridged'!$E$4:$N$4,0))</f>
        <v>6.6707677263925538</v>
      </c>
    </row>
    <row r="15" spans="2:18" ht="16.05" customHeight="1">
      <c r="B15" s="219"/>
      <c r="C15" s="219"/>
      <c r="D15" s="219"/>
      <c r="E15" s="219"/>
      <c r="F15" s="220"/>
      <c r="G15" s="219"/>
      <c r="H15" s="219"/>
      <c r="I15" s="219"/>
      <c r="J15" s="219"/>
      <c r="K15" s="219"/>
      <c r="L15" s="219"/>
      <c r="M15" s="219"/>
      <c r="N15" s="219"/>
      <c r="O15" s="219"/>
      <c r="P15" s="219"/>
      <c r="Q15" s="219"/>
      <c r="R15" s="219"/>
    </row>
    <row r="16" spans="2:18">
      <c r="B16" s="195" t="s">
        <v>42</v>
      </c>
      <c r="C16" s="221" t="s">
        <v>35</v>
      </c>
      <c r="D16" s="196" t="s">
        <v>108</v>
      </c>
      <c r="E16" s="195">
        <v>0</v>
      </c>
      <c r="F16" s="170">
        <v>5</v>
      </c>
      <c r="G16" s="171" t="str">
        <f t="shared" ref="G16:G25" si="9">_xlfn.CONCAT(B16,C16,E16)</f>
        <v>United StatesFemale0</v>
      </c>
      <c r="H16" s="172">
        <f>VLOOKUP(G16,'Append1b. py 2019'!$F$4:$G$33,2,FALSE)</f>
        <v>9568152.5600000005</v>
      </c>
      <c r="I16" s="222">
        <f t="shared" ref="I16:I25" si="10">K16/H16</f>
        <v>1.1373146416469764E-3</v>
      </c>
      <c r="J16" s="173">
        <f t="shared" ref="J16:J24" si="11">(I16*F16)/(1+(F16-R16)*I16)</f>
        <v>5.6574930066744912E-3</v>
      </c>
      <c r="K16" s="172">
        <f>VLOOKUP(G16,'Appen2b. Deaths 2019'!$F$4:$G$33,2,FALSE)</f>
        <v>10882</v>
      </c>
      <c r="L16" s="170">
        <f t="shared" ref="L16:L25" si="12">N16*J16</f>
        <v>565.74930066744912</v>
      </c>
      <c r="M16" s="222">
        <f t="shared" ref="M16:M25" si="13">1-J16</f>
        <v>0.99434250699332549</v>
      </c>
      <c r="N16" s="170">
        <v>100000</v>
      </c>
      <c r="O16" s="170">
        <f t="shared" ref="O16:O24" si="14">N17*F16+L16*R16</f>
        <v>497443.08210801909</v>
      </c>
      <c r="P16" s="170">
        <f t="shared" ref="P16:P24" si="15">O16+P17</f>
        <v>8160978.9197934661</v>
      </c>
      <c r="Q16" s="176">
        <f t="shared" ref="Q16:Q24" si="16">P16/N16</f>
        <v>81.60978919793466</v>
      </c>
      <c r="R16" s="176">
        <f>INDEX('Appen5a. 2019 LT NCHS_abridged'!$E$4:$N$38,MATCH('Appen3b. 2019 LT_construct'!G16,'Appen5a. 2019 LT NCHS_abridged'!$E$4:$E$38,0),MATCH('Appen3b. 2019 LT_construct'!$R$4,'Appen5a. 2019 LT NCHS_abridged'!$E$4:$N$4,0))</f>
        <v>0.48047538200339557</v>
      </c>
    </row>
    <row r="17" spans="2:18">
      <c r="B17" s="188" t="s">
        <v>42</v>
      </c>
      <c r="C17" s="212" t="s">
        <v>35</v>
      </c>
      <c r="D17" s="200" t="s">
        <v>109</v>
      </c>
      <c r="E17" s="188">
        <v>5</v>
      </c>
      <c r="F17" s="163">
        <v>10</v>
      </c>
      <c r="G17" s="164" t="str">
        <f t="shared" si="9"/>
        <v>United StatesFemale5</v>
      </c>
      <c r="H17" s="165">
        <f>VLOOKUP(G17,'Append1b. py 2019'!$F$4:$G$33,2,FALSE)</f>
        <v>20061011.899999999</v>
      </c>
      <c r="I17" s="213">
        <f t="shared" si="10"/>
        <v>1.1519857580065541E-4</v>
      </c>
      <c r="J17" s="166">
        <f t="shared" si="11"/>
        <v>1.1513617957078462E-3</v>
      </c>
      <c r="K17" s="165">
        <f>VLOOKUP(G17,'Appen2b. Deaths 2019'!$F$4:$G$33,2,FALSE)</f>
        <v>2311</v>
      </c>
      <c r="L17" s="163">
        <f t="shared" si="12"/>
        <v>114.48479744004769</v>
      </c>
      <c r="M17" s="213">
        <f t="shared" si="13"/>
        <v>0.99884863820429215</v>
      </c>
      <c r="N17" s="163">
        <f t="shared" ref="N17:N25" si="17">N16-L16</f>
        <v>99434.250699332551</v>
      </c>
      <c r="O17" s="163">
        <f t="shared" si="14"/>
        <v>993803.93068536848</v>
      </c>
      <c r="P17" s="163">
        <f t="shared" si="15"/>
        <v>7663535.8376854472</v>
      </c>
      <c r="Q17" s="169">
        <f t="shared" si="16"/>
        <v>77.071389222394856</v>
      </c>
      <c r="R17" s="169">
        <f>INDEX('Appen5a. 2019 LT NCHS_abridged'!$E$4:$N$38,MATCH('Appen3b. 2019 LT_construct'!G17,'Appen5a. 2019 LT NCHS_abridged'!$E$4:$E$38,0),MATCH('Appen3b. 2019 LT_construct'!$R$4,'Appen5a. 2019 LT NCHS_abridged'!$E$4:$N$4,0))</f>
        <v>5.2956521739130435</v>
      </c>
    </row>
    <row r="18" spans="2:18">
      <c r="B18" s="188" t="s">
        <v>42</v>
      </c>
      <c r="C18" s="212" t="s">
        <v>35</v>
      </c>
      <c r="D18" s="203" t="s">
        <v>110</v>
      </c>
      <c r="E18" s="188">
        <v>15</v>
      </c>
      <c r="F18" s="163">
        <v>10</v>
      </c>
      <c r="G18" s="164" t="str">
        <f t="shared" si="9"/>
        <v>United StatesFemale15</v>
      </c>
      <c r="H18" s="165">
        <f>VLOOKUP(G18,'Append1b. py 2019'!$F$4:$G$33,2,FALSE)</f>
        <v>20883463.399999999</v>
      </c>
      <c r="I18" s="213">
        <f t="shared" si="10"/>
        <v>3.8417957052085529E-4</v>
      </c>
      <c r="J18" s="166">
        <f t="shared" si="11"/>
        <v>3.8357107799001085E-3</v>
      </c>
      <c r="K18" s="165">
        <f>VLOOKUP(G18,'Appen2b. Deaths 2019'!$F$4:$G$33,2,FALSE)</f>
        <v>8023</v>
      </c>
      <c r="L18" s="163">
        <f t="shared" si="12"/>
        <v>380.96189672704429</v>
      </c>
      <c r="M18" s="213">
        <f t="shared" si="13"/>
        <v>0.99616428922009992</v>
      </c>
      <c r="N18" s="163">
        <f t="shared" si="17"/>
        <v>99319.765901892504</v>
      </c>
      <c r="O18" s="163">
        <f t="shared" si="14"/>
        <v>991624.55778309959</v>
      </c>
      <c r="P18" s="163">
        <f t="shared" si="15"/>
        <v>6669731.9070000788</v>
      </c>
      <c r="Q18" s="169">
        <f t="shared" si="16"/>
        <v>67.154124321924016</v>
      </c>
      <c r="R18" s="169">
        <f>INDEX('Appen5a. 2019 LT NCHS_abridged'!$E$4:$N$38,MATCH('Appen3b. 2019 LT_construct'!G18,'Appen5a. 2019 LT NCHS_abridged'!$E$4:$E$38,0),MATCH('Appen3b. 2019 LT_construct'!$R$4,'Appen5a. 2019 LT NCHS_abridged'!$E$4:$N$4,0))</f>
        <v>5.8707124010554086</v>
      </c>
    </row>
    <row r="19" spans="2:18">
      <c r="B19" s="188" t="s">
        <v>42</v>
      </c>
      <c r="C19" s="212" t="s">
        <v>35</v>
      </c>
      <c r="D19" s="203" t="s">
        <v>111</v>
      </c>
      <c r="E19" s="188">
        <v>25</v>
      </c>
      <c r="F19" s="163">
        <v>10</v>
      </c>
      <c r="G19" s="164" t="str">
        <f t="shared" si="9"/>
        <v>United StatesFemale25</v>
      </c>
      <c r="H19" s="165">
        <f>VLOOKUP(G19,'Append1b. py 2019'!$F$4:$G$33,2,FALSE)</f>
        <v>22562697.399999999</v>
      </c>
      <c r="I19" s="213">
        <f t="shared" si="10"/>
        <v>7.9010943079881935E-4</v>
      </c>
      <c r="J19" s="166">
        <f t="shared" si="11"/>
        <v>7.8734671287733031E-3</v>
      </c>
      <c r="K19" s="165">
        <f>VLOOKUP(G19,'Appen2b. Deaths 2019'!$F$4:$G$33,2,FALSE)</f>
        <v>17827</v>
      </c>
      <c r="L19" s="163">
        <f t="shared" si="12"/>
        <v>778.99142109481465</v>
      </c>
      <c r="M19" s="213">
        <f t="shared" si="13"/>
        <v>0.99212653287122665</v>
      </c>
      <c r="N19" s="163">
        <f t="shared" si="17"/>
        <v>98938.804005165453</v>
      </c>
      <c r="O19" s="163">
        <f t="shared" si="14"/>
        <v>985928.51917643333</v>
      </c>
      <c r="P19" s="163">
        <f t="shared" si="15"/>
        <v>5678107.349216979</v>
      </c>
      <c r="Q19" s="169">
        <f t="shared" si="16"/>
        <v>57.390094880473114</v>
      </c>
      <c r="R19" s="169">
        <f>INDEX('Appen5a. 2019 LT NCHS_abridged'!$E$4:$N$38,MATCH('Appen3b. 2019 LT_construct'!G19,'Appen5a. 2019 LT NCHS_abridged'!$E$4:$E$38,0),MATCH('Appen3b. 2019 LT_construct'!$R$4,'Appen5a. 2019 LT NCHS_abridged'!$E$4:$N$4,0))</f>
        <v>5.5589743589743588</v>
      </c>
    </row>
    <row r="20" spans="2:18">
      <c r="B20" s="188" t="s">
        <v>42</v>
      </c>
      <c r="C20" s="212" t="s">
        <v>35</v>
      </c>
      <c r="D20" s="203" t="s">
        <v>112</v>
      </c>
      <c r="E20" s="188">
        <v>35</v>
      </c>
      <c r="F20" s="163">
        <v>10</v>
      </c>
      <c r="G20" s="164" t="str">
        <f t="shared" si="9"/>
        <v>United StatesFemale35</v>
      </c>
      <c r="H20" s="165">
        <f>VLOOKUP(G20,'Append1b. py 2019'!$F$4:$G$33,2,FALSE)</f>
        <v>20859921</v>
      </c>
      <c r="I20" s="213">
        <f t="shared" si="10"/>
        <v>1.4165921337861251E-3</v>
      </c>
      <c r="J20" s="166">
        <f t="shared" si="11"/>
        <v>1.407495654187103E-2</v>
      </c>
      <c r="K20" s="165">
        <f>VLOOKUP(G20,'Appen2b. Deaths 2019'!$F$4:$G$33,2,FALSE)</f>
        <v>29550</v>
      </c>
      <c r="L20" s="163">
        <f t="shared" si="12"/>
        <v>1381.5950962789993</v>
      </c>
      <c r="M20" s="213">
        <f t="shared" si="13"/>
        <v>0.98592504345812892</v>
      </c>
      <c r="N20" s="163">
        <f t="shared" si="17"/>
        <v>98159.812584070634</v>
      </c>
      <c r="O20" s="163">
        <f t="shared" si="14"/>
        <v>975294.90904796345</v>
      </c>
      <c r="P20" s="163">
        <f t="shared" si="15"/>
        <v>4692178.8300405461</v>
      </c>
      <c r="Q20" s="169">
        <f t="shared" si="16"/>
        <v>47.801424091166126</v>
      </c>
      <c r="R20" s="169">
        <f>INDEX('Appen5a. 2019 LT NCHS_abridged'!$E$4:$N$38,MATCH('Appen3b. 2019 LT_construct'!G20,'Appen5a. 2019 LT NCHS_abridged'!$E$4:$E$38,0),MATCH('Appen3b. 2019 LT_construct'!$R$4,'Appen5a. 2019 LT NCHS_abridged'!$E$4:$N$4,0))</f>
        <v>5.4377249820014395</v>
      </c>
    </row>
    <row r="21" spans="2:18">
      <c r="B21" s="188" t="s">
        <v>42</v>
      </c>
      <c r="C21" s="212" t="s">
        <v>35</v>
      </c>
      <c r="D21" s="203" t="s">
        <v>113</v>
      </c>
      <c r="E21" s="188">
        <v>45</v>
      </c>
      <c r="F21" s="163">
        <v>10</v>
      </c>
      <c r="G21" s="164" t="str">
        <f t="shared" si="9"/>
        <v>United StatesFemale45</v>
      </c>
      <c r="H21" s="165">
        <f>VLOOKUP(G21,'Append1b. py 2019'!$F$4:$G$33,2,FALSE)</f>
        <v>20715769.399999999</v>
      </c>
      <c r="I21" s="213">
        <f t="shared" si="10"/>
        <v>2.9709734073405936E-3</v>
      </c>
      <c r="J21" s="166">
        <f t="shared" si="11"/>
        <v>2.9331051130254384E-2</v>
      </c>
      <c r="K21" s="165">
        <f>VLOOKUP(G21,'Appen2b. Deaths 2019'!$F$4:$G$33,2,FALSE)</f>
        <v>61546</v>
      </c>
      <c r="L21" s="163">
        <f t="shared" si="12"/>
        <v>2838.6068454292954</v>
      </c>
      <c r="M21" s="213">
        <f t="shared" si="13"/>
        <v>0.97066894886974564</v>
      </c>
      <c r="N21" s="163">
        <f t="shared" si="17"/>
        <v>96778.21748779164</v>
      </c>
      <c r="O21" s="163">
        <f t="shared" si="14"/>
        <v>955446.73621640273</v>
      </c>
      <c r="P21" s="163">
        <f t="shared" si="15"/>
        <v>3716883.920992583</v>
      </c>
      <c r="Q21" s="169">
        <f t="shared" si="16"/>
        <v>38.406203559819232</v>
      </c>
      <c r="R21" s="169">
        <f>INDEX('Appen5a. 2019 LT NCHS_abridged'!$E$4:$N$38,MATCH('Appen3b. 2019 LT_construct'!G21,'Appen5a. 2019 LT NCHS_abridged'!$E$4:$E$38,0),MATCH('Appen3b. 2019 LT_construct'!$R$4,'Appen5a. 2019 LT NCHS_abridged'!$E$4:$N$4,0))</f>
        <v>5.6544039617969579</v>
      </c>
    </row>
    <row r="22" spans="2:18">
      <c r="B22" s="188" t="s">
        <v>42</v>
      </c>
      <c r="C22" s="212" t="s">
        <v>35</v>
      </c>
      <c r="D22" s="203" t="s">
        <v>114</v>
      </c>
      <c r="E22" s="188">
        <v>55</v>
      </c>
      <c r="F22" s="163">
        <v>10</v>
      </c>
      <c r="G22" s="164" t="str">
        <f t="shared" si="9"/>
        <v>United StatesFemale55</v>
      </c>
      <c r="H22" s="165">
        <f>VLOOKUP(G22,'Append1b. py 2019'!$F$4:$G$33,2,FALSE)</f>
        <v>21934618.699999999</v>
      </c>
      <c r="I22" s="213">
        <f t="shared" si="10"/>
        <v>6.7022819959026685E-3</v>
      </c>
      <c r="J22" s="166">
        <f t="shared" si="11"/>
        <v>6.5087253778798995E-2</v>
      </c>
      <c r="K22" s="165">
        <f>VLOOKUP(G22,'Appen2b. Deaths 2019'!$F$4:$G$33,2,FALSE)</f>
        <v>147012</v>
      </c>
      <c r="L22" s="163">
        <f t="shared" si="12"/>
        <v>6114.271277761005</v>
      </c>
      <c r="M22" s="213">
        <f t="shared" si="13"/>
        <v>0.93491274622120102</v>
      </c>
      <c r="N22" s="163">
        <f t="shared" si="17"/>
        <v>93939.610642362342</v>
      </c>
      <c r="O22" s="163">
        <f t="shared" si="14"/>
        <v>912267.08776187955</v>
      </c>
      <c r="P22" s="163">
        <f t="shared" si="15"/>
        <v>2761437.1847761804</v>
      </c>
      <c r="Q22" s="169">
        <f t="shared" si="16"/>
        <v>29.395876413510514</v>
      </c>
      <c r="R22" s="169">
        <f>INDEX('Appen5a. 2019 LT NCHS_abridged'!$E$4:$N$38,MATCH('Appen3b. 2019 LT_construct'!G22,'Appen5a. 2019 LT NCHS_abridged'!$E$4:$E$38,0),MATCH('Appen3b. 2019 LT_construct'!$R$4,'Appen5a. 2019 LT NCHS_abridged'!$E$4:$N$4,0))</f>
        <v>5.5630004902761891</v>
      </c>
    </row>
    <row r="23" spans="2:18">
      <c r="B23" s="188" t="s">
        <v>42</v>
      </c>
      <c r="C23" s="212" t="s">
        <v>35</v>
      </c>
      <c r="D23" s="204" t="s">
        <v>117</v>
      </c>
      <c r="E23" s="188">
        <v>65</v>
      </c>
      <c r="F23" s="163">
        <v>10</v>
      </c>
      <c r="G23" s="164" t="str">
        <f t="shared" si="9"/>
        <v>United StatesFemale65</v>
      </c>
      <c r="H23" s="165">
        <f>VLOOKUP(G23,'Append1b. py 2019'!$F$4:$G$33,2,FALSE)</f>
        <v>16763757.699999999</v>
      </c>
      <c r="I23" s="213">
        <f t="shared" si="10"/>
        <v>1.4036948291134034E-2</v>
      </c>
      <c r="J23" s="166">
        <f t="shared" si="11"/>
        <v>0.13225308307258526</v>
      </c>
      <c r="K23" s="165">
        <f>VLOOKUP(G23,'Appen2b. Deaths 2019'!$F$4:$G$33,2,FALSE)</f>
        <v>235312</v>
      </c>
      <c r="L23" s="163">
        <f t="shared" si="12"/>
        <v>11615.171902864615</v>
      </c>
      <c r="M23" s="213">
        <f t="shared" si="13"/>
        <v>0.86774691692741479</v>
      </c>
      <c r="N23" s="163">
        <f t="shared" si="17"/>
        <v>87825.339364601343</v>
      </c>
      <c r="O23" s="163">
        <f t="shared" si="14"/>
        <v>827471.30373066536</v>
      </c>
      <c r="P23" s="163">
        <f t="shared" si="15"/>
        <v>1849170.097014301</v>
      </c>
      <c r="Q23" s="169">
        <f t="shared" si="16"/>
        <v>21.05508627000675</v>
      </c>
      <c r="R23" s="169">
        <f>INDEX('Appen5a. 2019 LT NCHS_abridged'!$E$4:$N$38,MATCH('Appen3b. 2019 LT_construct'!G23,'Appen5a. 2019 LT NCHS_abridged'!$E$4:$E$38,0),MATCH('Appen3b. 2019 LT_construct'!$R$4,'Appen5a. 2019 LT NCHS_abridged'!$E$4:$N$4,0))</f>
        <v>5.6279519287335074</v>
      </c>
    </row>
    <row r="24" spans="2:18">
      <c r="B24" s="188" t="s">
        <v>42</v>
      </c>
      <c r="C24" s="212" t="s">
        <v>35</v>
      </c>
      <c r="D24" s="204" t="s">
        <v>116</v>
      </c>
      <c r="E24" s="188">
        <v>75</v>
      </c>
      <c r="F24" s="163">
        <v>10</v>
      </c>
      <c r="G24" s="164" t="str">
        <f t="shared" si="9"/>
        <v>United StatesFemale75</v>
      </c>
      <c r="H24" s="165">
        <f>VLOOKUP(G24,'Append1b. py 2019'!$F$4:$G$33,2,FALSE)</f>
        <v>8952811.4100000001</v>
      </c>
      <c r="I24" s="213">
        <f t="shared" si="10"/>
        <v>3.7186866198044934E-2</v>
      </c>
      <c r="J24" s="166">
        <f t="shared" si="11"/>
        <v>0.31947617696099051</v>
      </c>
      <c r="K24" s="165">
        <f>VLOOKUP(G24,'Appen2b. Deaths 2019'!$F$4:$G$33,2,FALSE)</f>
        <v>332927</v>
      </c>
      <c r="L24" s="163">
        <f t="shared" si="12"/>
        <v>24347.332946232524</v>
      </c>
      <c r="M24" s="213">
        <f t="shared" si="13"/>
        <v>0.68052382303900949</v>
      </c>
      <c r="N24" s="163">
        <f t="shared" si="17"/>
        <v>76210.167461736724</v>
      </c>
      <c r="O24" s="163">
        <f t="shared" si="14"/>
        <v>654729.35569689283</v>
      </c>
      <c r="P24" s="163">
        <f t="shared" si="15"/>
        <v>1021698.7932836358</v>
      </c>
      <c r="Q24" s="169">
        <f t="shared" si="16"/>
        <v>13.406331823068173</v>
      </c>
      <c r="R24" s="169">
        <f>INDEX('Appen5a. 2019 LT NCHS_abridged'!$E$4:$N$38,MATCH('Appen3b. 2019 LT_construct'!G24,'Appen5a. 2019 LT NCHS_abridged'!$E$4:$E$38,0),MATCH('Appen3b. 2019 LT_construct'!$R$4,'Appen5a. 2019 LT NCHS_abridged'!$E$4:$N$4,0))</f>
        <v>5.5899761523124436</v>
      </c>
    </row>
    <row r="25" spans="2:18">
      <c r="B25" s="205" t="s">
        <v>42</v>
      </c>
      <c r="C25" s="223" t="s">
        <v>35</v>
      </c>
      <c r="D25" s="206" t="s">
        <v>115</v>
      </c>
      <c r="E25" s="205">
        <v>85</v>
      </c>
      <c r="F25" s="182" t="s">
        <v>37</v>
      </c>
      <c r="G25" s="178" t="str">
        <f t="shared" si="9"/>
        <v>United StatesFemale85</v>
      </c>
      <c r="H25" s="179">
        <f>VLOOKUP(G25,'Append1b. py 2019'!$F$4:$G$33,2,FALSE)</f>
        <v>4214405.05</v>
      </c>
      <c r="I25" s="224">
        <f t="shared" si="10"/>
        <v>0.12708341833445744</v>
      </c>
      <c r="J25" s="181">
        <v>1</v>
      </c>
      <c r="K25" s="179">
        <f>VLOOKUP(G25,'Appen2b. Deaths 2019'!$F$4:$G$33,2,FALSE)</f>
        <v>535581</v>
      </c>
      <c r="L25" s="177">
        <f t="shared" si="12"/>
        <v>51862.834515504204</v>
      </c>
      <c r="M25" s="181">
        <f t="shared" si="13"/>
        <v>0</v>
      </c>
      <c r="N25" s="177">
        <f t="shared" si="17"/>
        <v>51862.834515504204</v>
      </c>
      <c r="O25" s="177">
        <f>N25*Q25</f>
        <v>366969.43758674292</v>
      </c>
      <c r="P25" s="177">
        <f>O25</f>
        <v>366969.43758674292</v>
      </c>
      <c r="Q25" s="182">
        <f>R25</f>
        <v>7.0757690167713214</v>
      </c>
      <c r="R25" s="182">
        <f>INDEX('Appen5a. 2019 LT NCHS_abridged'!$E$4:$N$38,MATCH('Appen3b. 2019 LT_construct'!G25,'Appen5a. 2019 LT NCHS_abridged'!$E$4:$E$38,0),MATCH('Appen3b. 2019 LT_construct'!$R$4,'Appen5a. 2019 LT NCHS_abridged'!$E$4:$N$4,0))</f>
        <v>7.0757690167713214</v>
      </c>
    </row>
    <row r="26" spans="2:18" ht="16.05" customHeight="1">
      <c r="B26" s="219"/>
      <c r="C26" s="219"/>
      <c r="D26" s="219"/>
      <c r="E26" s="219"/>
      <c r="F26" s="220"/>
      <c r="G26" s="219"/>
      <c r="H26" s="219"/>
      <c r="I26" s="219"/>
      <c r="J26" s="219"/>
      <c r="K26" s="219"/>
      <c r="L26" s="219"/>
      <c r="M26" s="219"/>
      <c r="N26" s="219"/>
      <c r="O26" s="219"/>
      <c r="P26" s="219"/>
      <c r="Q26" s="219"/>
      <c r="R26" s="219"/>
    </row>
    <row r="27" spans="2:18">
      <c r="B27" s="195" t="s">
        <v>42</v>
      </c>
      <c r="C27" s="195" t="s">
        <v>34</v>
      </c>
      <c r="D27" s="196" t="s">
        <v>108</v>
      </c>
      <c r="E27" s="195">
        <v>0</v>
      </c>
      <c r="F27" s="170">
        <v>5</v>
      </c>
      <c r="G27" s="171" t="str">
        <f t="shared" ref="G27:G36" si="18">_xlfn.CONCAT(B27,C27,E27)</f>
        <v>United StatesMale0</v>
      </c>
      <c r="H27" s="172">
        <f>VLOOKUP(G27,'Append1b. py 2019'!$F$4:$G$33,2,FALSE)</f>
        <v>10011761.800000001</v>
      </c>
      <c r="I27" s="222">
        <f t="shared" ref="I27:I36" si="19">K27/H27</f>
        <v>1.369888764233284E-3</v>
      </c>
      <c r="J27" s="173">
        <f t="shared" ref="J27:J35" si="20">(I27*F27)/(1+(F27-R27)*I27)</f>
        <v>6.8072844181973624E-3</v>
      </c>
      <c r="K27" s="172">
        <f>VLOOKUP(G27,'Appen2b. Deaths 2019'!$F$4:$G$33,2,FALSE)</f>
        <v>13715</v>
      </c>
      <c r="L27" s="170">
        <f t="shared" ref="L27:L36" si="21">N27*J27</f>
        <v>680.72844181973619</v>
      </c>
      <c r="M27" s="222">
        <f t="shared" ref="M27:M36" si="22">1-J27</f>
        <v>0.99319271558180267</v>
      </c>
      <c r="N27" s="170">
        <v>100000</v>
      </c>
      <c r="O27" s="170">
        <f t="shared" ref="O27:O35" si="23">N28*F27+L27*R27</f>
        <v>496922.42143524304</v>
      </c>
      <c r="P27" s="170">
        <f t="shared" ref="P27:P35" si="24">O27+P28</f>
        <v>7651571.3768633287</v>
      </c>
      <c r="Q27" s="176">
        <f t="shared" ref="Q27:Q35" si="25">P27/N27</f>
        <v>76.51571376863329</v>
      </c>
      <c r="R27" s="176">
        <f>INDEX('Appen5a. 2019 LT NCHS_abridged'!$E$4:$N$38,MATCH('Appen3b. 2019 LT_construct'!G27,'Appen5a. 2019 LT NCHS_abridged'!$E$4:$E$38,0),MATCH('Appen3b. 2019 LT_construct'!$R$4,'Appen5a. 2019 LT NCHS_abridged'!$E$4:$N$4,0))</f>
        <v>0.47899224464616197</v>
      </c>
    </row>
    <row r="28" spans="2:18">
      <c r="B28" s="188" t="s">
        <v>42</v>
      </c>
      <c r="C28" s="188" t="s">
        <v>34</v>
      </c>
      <c r="D28" s="200" t="s">
        <v>109</v>
      </c>
      <c r="E28" s="188">
        <v>5</v>
      </c>
      <c r="F28" s="163">
        <v>10</v>
      </c>
      <c r="G28" s="164" t="str">
        <f t="shared" si="18"/>
        <v>United StatesMale5</v>
      </c>
      <c r="H28" s="165">
        <f>VLOOKUP(G28,'Append1b. py 2019'!$F$4:$G$33,2,FALSE)</f>
        <v>20947796</v>
      </c>
      <c r="I28" s="213">
        <f t="shared" si="19"/>
        <v>1.5209237286824829E-4</v>
      </c>
      <c r="J28" s="166">
        <f t="shared" si="20"/>
        <v>1.5199378850126071E-3</v>
      </c>
      <c r="K28" s="165">
        <f>VLOOKUP(G28,'Appen2b. Deaths 2019'!$F$4:$G$33,2,FALSE)</f>
        <v>3186</v>
      </c>
      <c r="L28" s="163">
        <f t="shared" si="21"/>
        <v>150.95912355313328</v>
      </c>
      <c r="M28" s="213">
        <f t="shared" si="22"/>
        <v>0.99848006211498741</v>
      </c>
      <c r="N28" s="163">
        <f t="shared" ref="N28:N36" si="26">N27-L27</f>
        <v>99319.271558180262</v>
      </c>
      <c r="O28" s="163">
        <f t="shared" si="23"/>
        <v>992548.94053039304</v>
      </c>
      <c r="P28" s="163">
        <f t="shared" si="24"/>
        <v>7154648.9554280853</v>
      </c>
      <c r="Q28" s="169">
        <f t="shared" si="25"/>
        <v>72.036864982814151</v>
      </c>
      <c r="R28" s="169">
        <f>INDEX('Appen5a. 2019 LT NCHS_abridged'!$E$4:$N$38,MATCH('Appen3b. 2019 LT_construct'!G28,'Appen5a. 2019 LT NCHS_abridged'!$E$4:$E$38,0),MATCH('Appen3b. 2019 LT_construct'!$R$4,'Appen5a. 2019 LT NCHS_abridged'!$E$4:$N$4,0))</f>
        <v>5.7354346245716066</v>
      </c>
    </row>
    <row r="29" spans="2:18">
      <c r="B29" s="188" t="s">
        <v>42</v>
      </c>
      <c r="C29" s="188" t="s">
        <v>34</v>
      </c>
      <c r="D29" s="203" t="s">
        <v>110</v>
      </c>
      <c r="E29" s="188">
        <v>15</v>
      </c>
      <c r="F29" s="163">
        <v>10</v>
      </c>
      <c r="G29" s="164" t="str">
        <f t="shared" si="18"/>
        <v>United StatesMale15</v>
      </c>
      <c r="H29" s="165">
        <f>VLOOKUP(G29,'Append1b. py 2019'!$F$4:$G$33,2,FALSE)</f>
        <v>21818905.600000001</v>
      </c>
      <c r="I29" s="213">
        <f t="shared" si="19"/>
        <v>9.9675026780444921E-4</v>
      </c>
      <c r="J29" s="166">
        <f t="shared" si="20"/>
        <v>9.9278345146543955E-3</v>
      </c>
      <c r="K29" s="165">
        <f>VLOOKUP(G29,'Appen2b. Deaths 2019'!$F$4:$G$33,2,FALSE)</f>
        <v>21748</v>
      </c>
      <c r="L29" s="163">
        <f t="shared" si="21"/>
        <v>984.52659494852196</v>
      </c>
      <c r="M29" s="213">
        <f t="shared" si="22"/>
        <v>0.9900721654853456</v>
      </c>
      <c r="N29" s="163">
        <f t="shared" si="26"/>
        <v>99168.312434627136</v>
      </c>
      <c r="O29" s="163">
        <f t="shared" si="23"/>
        <v>987736.47396869783</v>
      </c>
      <c r="P29" s="163">
        <f t="shared" si="24"/>
        <v>6162100.014897692</v>
      </c>
      <c r="Q29" s="169">
        <f t="shared" si="25"/>
        <v>62.137792442115192</v>
      </c>
      <c r="R29" s="169">
        <f>INDEX('Appen5a. 2019 LT NCHS_abridged'!$E$4:$N$38,MATCH('Appen3b. 2019 LT_construct'!G29,'Appen5a. 2019 LT NCHS_abridged'!$E$4:$E$38,0),MATCH('Appen3b. 2019 LT_construct'!$R$4,'Appen5a. 2019 LT NCHS_abridged'!$E$4:$N$4,0))</f>
        <v>5.991321719673965</v>
      </c>
    </row>
    <row r="30" spans="2:18">
      <c r="B30" s="188" t="s">
        <v>42</v>
      </c>
      <c r="C30" s="188" t="s">
        <v>34</v>
      </c>
      <c r="D30" s="203" t="s">
        <v>111</v>
      </c>
      <c r="E30" s="188">
        <v>25</v>
      </c>
      <c r="F30" s="163">
        <v>10</v>
      </c>
      <c r="G30" s="164" t="str">
        <f t="shared" si="18"/>
        <v>United StatesMale25</v>
      </c>
      <c r="H30" s="165">
        <f>VLOOKUP(G30,'Append1b. py 2019'!$F$4:$G$33,2,FALSE)</f>
        <v>23336963.5</v>
      </c>
      <c r="I30" s="213">
        <f t="shared" si="19"/>
        <v>1.7719100430525162E-3</v>
      </c>
      <c r="J30" s="166">
        <f t="shared" si="20"/>
        <v>1.757196935520907E-2</v>
      </c>
      <c r="K30" s="165">
        <f>VLOOKUP(G30,'Appen2b. Deaths 2019'!$F$4:$G$33,2,FALSE)</f>
        <v>41351</v>
      </c>
      <c r="L30" s="163">
        <f t="shared" si="21"/>
        <v>1725.282475953243</v>
      </c>
      <c r="M30" s="213">
        <f t="shared" si="22"/>
        <v>0.9824280306447909</v>
      </c>
      <c r="N30" s="163">
        <f t="shared" si="26"/>
        <v>98183.785839678618</v>
      </c>
      <c r="O30" s="163">
        <f t="shared" si="23"/>
        <v>973685.13865469897</v>
      </c>
      <c r="P30" s="163">
        <f t="shared" si="24"/>
        <v>5174363.5409289943</v>
      </c>
      <c r="Q30" s="169">
        <f t="shared" si="25"/>
        <v>52.700794705330047</v>
      </c>
      <c r="R30" s="169">
        <f>INDEX('Appen5a. 2019 LT NCHS_abridged'!$E$4:$N$38,MATCH('Appen3b. 2019 LT_construct'!G30,'Appen5a. 2019 LT NCHS_abridged'!$E$4:$E$38,0),MATCH('Appen3b. 2019 LT_construct'!$R$4,'Appen5a. 2019 LT NCHS_abridged'!$E$4:$N$4,0))</f>
        <v>5.2745594673806853</v>
      </c>
    </row>
    <row r="31" spans="2:18">
      <c r="B31" s="188" t="s">
        <v>42</v>
      </c>
      <c r="C31" s="188" t="s">
        <v>34</v>
      </c>
      <c r="D31" s="203" t="s">
        <v>112</v>
      </c>
      <c r="E31" s="188">
        <v>35</v>
      </c>
      <c r="F31" s="163">
        <v>10</v>
      </c>
      <c r="G31" s="164" t="str">
        <f t="shared" si="18"/>
        <v>United StatesMale35</v>
      </c>
      <c r="H31" s="165">
        <f>VLOOKUP(G31,'Append1b. py 2019'!$F$4:$G$33,2,FALSE)</f>
        <v>20783456.699999999</v>
      </c>
      <c r="I31" s="213">
        <f t="shared" si="19"/>
        <v>2.571083375173101E-3</v>
      </c>
      <c r="J31" s="166">
        <f t="shared" si="20"/>
        <v>2.5405285272115049E-2</v>
      </c>
      <c r="K31" s="165">
        <f>VLOOKUP(G31,'Appen2b. Deaths 2019'!$F$4:$G$33,2,FALSE)</f>
        <v>53436</v>
      </c>
      <c r="L31" s="163">
        <f t="shared" si="21"/>
        <v>2450.5557948767123</v>
      </c>
      <c r="M31" s="213">
        <f t="shared" si="22"/>
        <v>0.97459471472788495</v>
      </c>
      <c r="N31" s="163">
        <f t="shared" si="26"/>
        <v>96458.50336372538</v>
      </c>
      <c r="O31" s="163">
        <f t="shared" si="23"/>
        <v>953121.8701578381</v>
      </c>
      <c r="P31" s="163">
        <f t="shared" si="24"/>
        <v>4200678.4022742957</v>
      </c>
      <c r="Q31" s="169">
        <f t="shared" si="25"/>
        <v>43.549072977365121</v>
      </c>
      <c r="R31" s="169">
        <f>INDEX('Appen5a. 2019 LT NCHS_abridged'!$E$4:$N$38,MATCH('Appen3b. 2019 LT_construct'!G31,'Appen5a. 2019 LT NCHS_abridged'!$E$4:$E$38,0),MATCH('Appen3b. 2019 LT_construct'!$R$4,'Appen5a. 2019 LT NCHS_abridged'!$E$4:$N$4,0))</f>
        <v>5.3222189417676997</v>
      </c>
    </row>
    <row r="32" spans="2:18">
      <c r="B32" s="188" t="s">
        <v>42</v>
      </c>
      <c r="C32" s="188" t="s">
        <v>34</v>
      </c>
      <c r="D32" s="203" t="s">
        <v>113</v>
      </c>
      <c r="E32" s="188">
        <v>45</v>
      </c>
      <c r="F32" s="163">
        <v>10</v>
      </c>
      <c r="G32" s="164" t="str">
        <f t="shared" si="18"/>
        <v>United StatesMale45</v>
      </c>
      <c r="H32" s="165">
        <f>VLOOKUP(G32,'Append1b. py 2019'!$F$4:$G$33,2,FALSE)</f>
        <v>20182641.800000001</v>
      </c>
      <c r="I32" s="213">
        <f t="shared" si="19"/>
        <v>4.8976244527116361E-3</v>
      </c>
      <c r="J32" s="166">
        <f t="shared" si="20"/>
        <v>4.7951704504693875E-2</v>
      </c>
      <c r="K32" s="165">
        <f>VLOOKUP(G32,'Appen2b. Deaths 2019'!$F$4:$G$33,2,FALSE)</f>
        <v>98847</v>
      </c>
      <c r="L32" s="163">
        <f t="shared" si="21"/>
        <v>4507.8413229141861</v>
      </c>
      <c r="M32" s="213">
        <f t="shared" si="22"/>
        <v>0.95204829549530612</v>
      </c>
      <c r="N32" s="163">
        <f t="shared" si="26"/>
        <v>94007.947568848671</v>
      </c>
      <c r="O32" s="163">
        <f t="shared" si="23"/>
        <v>920413.83867608698</v>
      </c>
      <c r="P32" s="163">
        <f t="shared" si="24"/>
        <v>3247556.5321164574</v>
      </c>
      <c r="Q32" s="169">
        <f t="shared" si="25"/>
        <v>34.54555296761523</v>
      </c>
      <c r="R32" s="169">
        <f>INDEX('Appen5a. 2019 LT NCHS_abridged'!$E$4:$N$38,MATCH('Appen3b. 2019 LT_construct'!G32,'Appen5a. 2019 LT NCHS_abridged'!$E$4:$E$38,0),MATCH('Appen3b. 2019 LT_construct'!$R$4,'Appen5a. 2019 LT NCHS_abridged'!$E$4:$N$4,0))</f>
        <v>5.6374602379112808</v>
      </c>
    </row>
    <row r="33" spans="2:18">
      <c r="B33" s="188" t="s">
        <v>42</v>
      </c>
      <c r="C33" s="188" t="s">
        <v>34</v>
      </c>
      <c r="D33" s="203" t="s">
        <v>114</v>
      </c>
      <c r="E33" s="188">
        <v>55</v>
      </c>
      <c r="F33" s="163">
        <v>10</v>
      </c>
      <c r="G33" s="164" t="str">
        <f t="shared" si="18"/>
        <v>United StatesMale55</v>
      </c>
      <c r="H33" s="165">
        <f>VLOOKUP(G33,'Append1b. py 2019'!$F$4:$G$33,2,FALSE)</f>
        <v>20481849.5</v>
      </c>
      <c r="I33" s="213">
        <f t="shared" si="19"/>
        <v>1.112814543432711E-2</v>
      </c>
      <c r="J33" s="166">
        <f t="shared" si="20"/>
        <v>0.10600123556008159</v>
      </c>
      <c r="K33" s="165">
        <f>VLOOKUP(G33,'Appen2b. Deaths 2019'!$F$4:$G$33,2,FALSE)</f>
        <v>227925</v>
      </c>
      <c r="L33" s="163">
        <f t="shared" si="21"/>
        <v>9487.1218448276304</v>
      </c>
      <c r="M33" s="213">
        <f t="shared" si="22"/>
        <v>0.89399876443991844</v>
      </c>
      <c r="N33" s="163">
        <f t="shared" si="26"/>
        <v>89500.106245934483</v>
      </c>
      <c r="O33" s="163">
        <f t="shared" si="23"/>
        <v>852533.95552888839</v>
      </c>
      <c r="P33" s="163">
        <f t="shared" si="24"/>
        <v>2327142.6934403703</v>
      </c>
      <c r="Q33" s="169">
        <f t="shared" si="25"/>
        <v>26.001563473519116</v>
      </c>
      <c r="R33" s="169">
        <f>INDEX('Appen5a. 2019 LT NCHS_abridged'!$E$4:$N$38,MATCH('Appen3b. 2019 LT_construct'!G33,'Appen5a. 2019 LT NCHS_abridged'!$E$4:$E$38,0),MATCH('Appen3b. 2019 LT_construct'!$R$4,'Appen5a. 2019 LT NCHS_abridged'!$E$4:$N$4,0))</f>
        <v>5.5237101804896218</v>
      </c>
    </row>
    <row r="34" spans="2:18">
      <c r="B34" s="188" t="s">
        <v>42</v>
      </c>
      <c r="C34" s="188" t="s">
        <v>34</v>
      </c>
      <c r="D34" s="204" t="s">
        <v>117</v>
      </c>
      <c r="E34" s="188">
        <v>65</v>
      </c>
      <c r="F34" s="163">
        <v>10</v>
      </c>
      <c r="G34" s="164" t="str">
        <f t="shared" si="18"/>
        <v>United StatesMale65</v>
      </c>
      <c r="H34" s="165">
        <f>VLOOKUP(G34,'Append1b. py 2019'!$F$4:$G$33,2,FALSE)</f>
        <v>14678751.300000001</v>
      </c>
      <c r="I34" s="213">
        <f t="shared" si="19"/>
        <v>2.1817046522206559E-2</v>
      </c>
      <c r="J34" s="166">
        <f t="shared" si="20"/>
        <v>0.19830036561213721</v>
      </c>
      <c r="K34" s="165">
        <f>VLOOKUP(G34,'Appen2b. Deaths 2019'!$F$4:$G$33,2,FALSE)</f>
        <v>320247</v>
      </c>
      <c r="L34" s="163">
        <f t="shared" si="21"/>
        <v>15866.604060457719</v>
      </c>
      <c r="M34" s="213">
        <f t="shared" si="22"/>
        <v>0.80169963438786285</v>
      </c>
      <c r="N34" s="163">
        <f t="shared" si="26"/>
        <v>80012.984401106849</v>
      </c>
      <c r="O34" s="163">
        <f t="shared" si="23"/>
        <v>727257.19516194996</v>
      </c>
      <c r="P34" s="163">
        <f t="shared" si="24"/>
        <v>1474608.7379114819</v>
      </c>
      <c r="Q34" s="169">
        <f t="shared" si="25"/>
        <v>18.429618004488319</v>
      </c>
      <c r="R34" s="169">
        <f>INDEX('Appen5a. 2019 LT NCHS_abridged'!$E$4:$N$38,MATCH('Appen3b. 2019 LT_construct'!G34,'Appen5a. 2019 LT NCHS_abridged'!$E$4:$E$38,0),MATCH('Appen3b. 2019 LT_construct'!$R$4,'Appen5a. 2019 LT NCHS_abridged'!$E$4:$N$4,0))</f>
        <v>5.407167874647504</v>
      </c>
    </row>
    <row r="35" spans="2:18">
      <c r="B35" s="188" t="s">
        <v>42</v>
      </c>
      <c r="C35" s="188" t="s">
        <v>34</v>
      </c>
      <c r="D35" s="204" t="s">
        <v>116</v>
      </c>
      <c r="E35" s="188">
        <v>75</v>
      </c>
      <c r="F35" s="163">
        <v>10</v>
      </c>
      <c r="G35" s="164" t="str">
        <f t="shared" si="18"/>
        <v>United StatesMale75</v>
      </c>
      <c r="H35" s="165">
        <f>VLOOKUP(G35,'Append1b. py 2019'!$F$4:$G$33,2,FALSE)</f>
        <v>6980041.8099999996</v>
      </c>
      <c r="I35" s="213">
        <f t="shared" si="19"/>
        <v>5.0873620769901956E-2</v>
      </c>
      <c r="J35" s="166">
        <f t="shared" si="20"/>
        <v>0.41198821201587954</v>
      </c>
      <c r="K35" s="165">
        <f>VLOOKUP(G35,'Appen2b. Deaths 2019'!$F$4:$G$33,2,FALSE)</f>
        <v>355100</v>
      </c>
      <c r="L35" s="163">
        <f t="shared" si="21"/>
        <v>26427.552543834601</v>
      </c>
      <c r="M35" s="213">
        <f t="shared" si="22"/>
        <v>0.58801178798412046</v>
      </c>
      <c r="N35" s="163">
        <f t="shared" si="26"/>
        <v>64146.380340649128</v>
      </c>
      <c r="O35" s="163">
        <f t="shared" si="23"/>
        <v>519474.57530818728</v>
      </c>
      <c r="P35" s="163">
        <f t="shared" si="24"/>
        <v>747351.54274953203</v>
      </c>
      <c r="Q35" s="169">
        <f t="shared" si="25"/>
        <v>11.650720411357964</v>
      </c>
      <c r="R35" s="169">
        <f>INDEX('Appen5a. 2019 LT NCHS_abridged'!$E$4:$N$38,MATCH('Appen3b. 2019 LT_construct'!G35,'Appen5a. 2019 LT NCHS_abridged'!$E$4:$E$38,0),MATCH('Appen3b. 2019 LT_construct'!$R$4,'Appen5a. 2019 LT NCHS_abridged'!$E$4:$N$4,0))</f>
        <v>5.3840134119130392</v>
      </c>
    </row>
    <row r="36" spans="2:18">
      <c r="B36" s="205" t="s">
        <v>42</v>
      </c>
      <c r="C36" s="205" t="s">
        <v>34</v>
      </c>
      <c r="D36" s="206" t="s">
        <v>115</v>
      </c>
      <c r="E36" s="205">
        <v>85</v>
      </c>
      <c r="F36" s="182" t="s">
        <v>37</v>
      </c>
      <c r="G36" s="178" t="str">
        <f t="shared" si="18"/>
        <v>United StatesMale85</v>
      </c>
      <c r="H36" s="179">
        <f>VLOOKUP(G36,'Append1b. py 2019'!$F$4:$G$33,2,FALSE)</f>
        <v>2366784.5</v>
      </c>
      <c r="I36" s="224">
        <f t="shared" si="19"/>
        <v>0.14287950592882454</v>
      </c>
      <c r="J36" s="181">
        <v>1</v>
      </c>
      <c r="K36" s="179">
        <f>VLOOKUP(G36,'Appen2b. Deaths 2019'!$F$4:$G$33,2,FALSE)</f>
        <v>338165</v>
      </c>
      <c r="L36" s="177">
        <f t="shared" si="21"/>
        <v>37718.827796814527</v>
      </c>
      <c r="M36" s="181">
        <f t="shared" si="22"/>
        <v>0</v>
      </c>
      <c r="N36" s="177">
        <f t="shared" si="26"/>
        <v>37718.827796814527</v>
      </c>
      <c r="O36" s="177">
        <f>N36*Q36</f>
        <v>227876.96744134478</v>
      </c>
      <c r="P36" s="177">
        <f>O36</f>
        <v>227876.96744134478</v>
      </c>
      <c r="Q36" s="182">
        <f>R36</f>
        <v>6.0414647207193886</v>
      </c>
      <c r="R36" s="182">
        <f>INDEX('Appen5a. 2019 LT NCHS_abridged'!$E$4:$N$38,MATCH('Appen3b. 2019 LT_construct'!G36,'Appen5a. 2019 LT NCHS_abridged'!$E$4:$E$38,0),MATCH('Appen3b. 2019 LT_construct'!$R$4,'Appen5a. 2019 LT NCHS_abridged'!$E$4:$N$4,0))</f>
        <v>6.0414647207193886</v>
      </c>
    </row>
    <row r="38" spans="2:18">
      <c r="B38" s="211" t="s">
        <v>343</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15164-95A8-B346-B4E0-BBF64FD0FDB5}">
  <dimension ref="B3:R42"/>
  <sheetViews>
    <sheetView workbookViewId="0">
      <pane xSplit="5" ySplit="6" topLeftCell="F7" activePane="bottomRight" state="frozen"/>
      <selection pane="topRight" activeCell="F1" sqref="F1"/>
      <selection pane="bottomLeft" activeCell="A7" sqref="A7"/>
      <selection pane="bottomRight"/>
    </sheetView>
  </sheetViews>
  <sheetFormatPr defaultColWidth="11.19921875" defaultRowHeight="13.8"/>
  <cols>
    <col min="1" max="1" width="11.19921875" style="190"/>
    <col min="2" max="4" width="11.19921875" style="188"/>
    <col min="5" max="6" width="11.19921875" style="190"/>
    <col min="7" max="7" width="0" style="190" hidden="1" customWidth="1"/>
    <col min="8" max="8" width="15.8984375" style="190" customWidth="1"/>
    <col min="9" max="16" width="11.19921875" style="190"/>
    <col min="17" max="18" width="11.19921875" style="188"/>
    <col min="19" max="16384" width="11.19921875" style="190"/>
  </cols>
  <sheetData>
    <row r="3" spans="2:18">
      <c r="B3" s="187" t="s">
        <v>342</v>
      </c>
      <c r="E3" s="189"/>
      <c r="G3" s="189"/>
      <c r="H3" s="189"/>
      <c r="I3" s="189"/>
      <c r="J3" s="189"/>
      <c r="K3" s="189"/>
      <c r="L3" s="189"/>
    </row>
    <row r="5" spans="2:18" ht="16.95" customHeight="1">
      <c r="B5" s="191" t="s">
        <v>122</v>
      </c>
      <c r="C5" s="191" t="s">
        <v>0</v>
      </c>
      <c r="D5" s="191" t="s">
        <v>118</v>
      </c>
      <c r="E5" s="191" t="s">
        <v>41</v>
      </c>
      <c r="F5" s="191" t="s">
        <v>5</v>
      </c>
      <c r="G5" s="191" t="s">
        <v>36</v>
      </c>
      <c r="H5" s="192" t="s">
        <v>312</v>
      </c>
      <c r="I5" s="192" t="s">
        <v>313</v>
      </c>
      <c r="J5" s="192" t="s">
        <v>314</v>
      </c>
      <c r="K5" s="192" t="s">
        <v>315</v>
      </c>
      <c r="L5" s="192" t="s">
        <v>316</v>
      </c>
      <c r="M5" s="192" t="s">
        <v>317</v>
      </c>
      <c r="N5" s="191" t="s">
        <v>318</v>
      </c>
      <c r="O5" s="192" t="s">
        <v>319</v>
      </c>
      <c r="P5" s="191" t="s">
        <v>320</v>
      </c>
      <c r="Q5" s="191" t="s">
        <v>321</v>
      </c>
      <c r="R5" s="192" t="s">
        <v>322</v>
      </c>
    </row>
    <row r="6" spans="2:18" ht="16.05" hidden="1" customHeight="1">
      <c r="B6" s="193" t="s">
        <v>122</v>
      </c>
      <c r="C6" s="193" t="s">
        <v>0</v>
      </c>
      <c r="D6" s="193"/>
      <c r="E6" s="193" t="s">
        <v>2</v>
      </c>
      <c r="F6" s="193" t="s">
        <v>5</v>
      </c>
      <c r="G6" s="193" t="s">
        <v>36</v>
      </c>
      <c r="H6" s="194" t="s">
        <v>312</v>
      </c>
      <c r="I6" s="194" t="s">
        <v>313</v>
      </c>
      <c r="J6" s="194" t="s">
        <v>314</v>
      </c>
      <c r="K6" s="194" t="s">
        <v>315</v>
      </c>
      <c r="L6" s="194" t="s">
        <v>316</v>
      </c>
      <c r="M6" s="194" t="s">
        <v>317</v>
      </c>
      <c r="N6" s="193" t="s">
        <v>318</v>
      </c>
      <c r="O6" s="194" t="s">
        <v>319</v>
      </c>
      <c r="P6" s="193" t="s">
        <v>320</v>
      </c>
      <c r="Q6" s="193" t="s">
        <v>321</v>
      </c>
      <c r="R6" s="194" t="s">
        <v>322</v>
      </c>
    </row>
    <row r="7" spans="2:18" ht="16.05" customHeight="1">
      <c r="B7" s="195" t="s">
        <v>42</v>
      </c>
      <c r="C7" s="195" t="s">
        <v>3</v>
      </c>
      <c r="D7" s="195">
        <v>0</v>
      </c>
      <c r="E7" s="196" t="s">
        <v>108</v>
      </c>
      <c r="F7" s="170">
        <v>5</v>
      </c>
      <c r="G7" s="171" t="str">
        <f>_xlfn.CONCAT(B7,C7,D7)</f>
        <v>United StatesTotal0</v>
      </c>
      <c r="H7" s="172">
        <f>VLOOKUP(G7,'Appen1a. py 2020'!$F$4:$G$33,2,FALSE)</f>
        <v>19375565.800000001</v>
      </c>
      <c r="I7" s="173">
        <f>K7/H7</f>
        <v>1.1927909738770053E-3</v>
      </c>
      <c r="J7" s="174">
        <f>L7/N7</f>
        <v>6.2700000000000004E-3</v>
      </c>
      <c r="K7" s="172">
        <f>VLOOKUP(G7,'Appen2a. Deaths 2020'!$F$4:$G$33,2,FALSE)</f>
        <v>23111</v>
      </c>
      <c r="L7" s="175">
        <f>N7-N8</f>
        <v>627</v>
      </c>
      <c r="M7" s="173">
        <f>N8/N7</f>
        <v>0.99373</v>
      </c>
      <c r="N7" s="197">
        <f>VLOOKUP(G7,'Appen4b. 2020 LT NCHS_raw'!$F$6:$H$72,3,FALSE)</f>
        <v>100000</v>
      </c>
      <c r="O7" s="198">
        <f>SUM('Appen4b. 2020 LT NCHS_raw'!$J$6:$J$7)</f>
        <v>497187</v>
      </c>
      <c r="P7" s="198">
        <f>O7+P8</f>
        <v>7729109</v>
      </c>
      <c r="Q7" s="176">
        <f>P7/N7</f>
        <v>77.291089999999997</v>
      </c>
      <c r="R7" s="199">
        <f>(O7-N8*F7)/L7</f>
        <v>0.51355661881977677</v>
      </c>
    </row>
    <row r="8" spans="2:18">
      <c r="B8" s="188" t="s">
        <v>42</v>
      </c>
      <c r="C8" s="188" t="s">
        <v>3</v>
      </c>
      <c r="D8" s="188">
        <v>5</v>
      </c>
      <c r="E8" s="200" t="s">
        <v>109</v>
      </c>
      <c r="F8" s="163">
        <v>10</v>
      </c>
      <c r="G8" s="164" t="str">
        <f t="shared" ref="G8:G16" si="0">_xlfn.CONCAT(B8,C8,D8)</f>
        <v>United StatesTotal5</v>
      </c>
      <c r="H8" s="165">
        <f>VLOOKUP(G8,'Appen1a. py 2020'!$F$4:$G$33,2,FALSE)</f>
        <v>40982318.5</v>
      </c>
      <c r="I8" s="166">
        <f t="shared" ref="I8:I16" si="1">K8/H8</f>
        <v>1.3720551217716E-4</v>
      </c>
      <c r="J8" s="167">
        <f t="shared" ref="J8:J16" si="2">L8/N8</f>
        <v>1.3685810028881084E-3</v>
      </c>
      <c r="K8" s="165">
        <f>VLOOKUP(G8,'Appen2a. Deaths 2020'!$F$4:$G$33,2,FALSE)</f>
        <v>5623</v>
      </c>
      <c r="L8" s="168">
        <f t="shared" ref="L8:L16" si="3">N8-N9</f>
        <v>136</v>
      </c>
      <c r="M8" s="166">
        <f t="shared" ref="M8:M16" si="4">N9/N8</f>
        <v>0.99863141899711194</v>
      </c>
      <c r="N8" s="190">
        <f>VLOOKUP(G8,'Appen4b. 2020 LT NCHS_raw'!$F$6:$H$72,3,FALSE)</f>
        <v>99373</v>
      </c>
      <c r="O8" s="201">
        <f>SUM('Appen4b. 2020 LT NCHS_raw'!$J$8:$J$9)</f>
        <v>993119</v>
      </c>
      <c r="P8" s="201">
        <f t="shared" ref="P8:P15" si="5">O8+P9</f>
        <v>7231922</v>
      </c>
      <c r="Q8" s="169">
        <f t="shared" ref="Q8:Q16" si="6">P8/N8</f>
        <v>72.775522526239527</v>
      </c>
      <c r="R8" s="202">
        <f t="shared" ref="R8:R15" si="7">(O8-N9*F8)/L8</f>
        <v>5.507352941176471</v>
      </c>
    </row>
    <row r="9" spans="2:18">
      <c r="B9" s="188" t="s">
        <v>42</v>
      </c>
      <c r="C9" s="188" t="s">
        <v>3</v>
      </c>
      <c r="D9" s="188">
        <v>15</v>
      </c>
      <c r="E9" s="203" t="s">
        <v>110</v>
      </c>
      <c r="F9" s="163">
        <v>10</v>
      </c>
      <c r="G9" s="164" t="str">
        <f t="shared" si="0"/>
        <v>United StatesTotal15</v>
      </c>
      <c r="H9" s="165">
        <f>VLOOKUP(G9,'Appen1a. py 2020'!$F$4:$G$33,2,FALSE)</f>
        <v>42605265.899999999</v>
      </c>
      <c r="I9" s="166">
        <f t="shared" si="1"/>
        <v>8.406472590516094E-4</v>
      </c>
      <c r="J9" s="167">
        <f t="shared" si="2"/>
        <v>8.3134314822092565E-3</v>
      </c>
      <c r="K9" s="165">
        <f>VLOOKUP(G9,'Appen2a. Deaths 2020'!$F$4:$G$33,2,FALSE)</f>
        <v>35816</v>
      </c>
      <c r="L9" s="168">
        <f t="shared" si="3"/>
        <v>825</v>
      </c>
      <c r="M9" s="166">
        <f t="shared" si="4"/>
        <v>0.99168656851779069</v>
      </c>
      <c r="N9" s="190">
        <f>VLOOKUP(G9,'Appen4b. 2020 LT NCHS_raw'!$F$6:$H$72,3,FALSE)</f>
        <v>99237</v>
      </c>
      <c r="O9" s="201">
        <f>SUM('Appen4b. 2020 LT NCHS_raw'!$J$10:$J$11)</f>
        <v>988862</v>
      </c>
      <c r="P9" s="201">
        <f t="shared" si="5"/>
        <v>6238803</v>
      </c>
      <c r="Q9" s="169">
        <f t="shared" si="6"/>
        <v>62.867710632123099</v>
      </c>
      <c r="R9" s="202">
        <f t="shared" si="7"/>
        <v>5.747878787878788</v>
      </c>
    </row>
    <row r="10" spans="2:18">
      <c r="B10" s="188" t="s">
        <v>42</v>
      </c>
      <c r="C10" s="188" t="s">
        <v>3</v>
      </c>
      <c r="D10" s="188">
        <v>25</v>
      </c>
      <c r="E10" s="203" t="s">
        <v>111</v>
      </c>
      <c r="F10" s="163">
        <v>10</v>
      </c>
      <c r="G10" s="164" t="str">
        <f t="shared" si="0"/>
        <v>United StatesTotal25</v>
      </c>
      <c r="H10" s="165">
        <f>VLOOKUP(G10,'Appen1a. py 2020'!$F$4:$G$33,2,FALSE)</f>
        <v>46040567.299999997</v>
      </c>
      <c r="I10" s="166">
        <f t="shared" si="1"/>
        <v>1.5961141295493986E-3</v>
      </c>
      <c r="J10" s="167">
        <f t="shared" si="2"/>
        <v>1.5800918587164169E-2</v>
      </c>
      <c r="K10" s="165">
        <f>VLOOKUP(G10,'Appen2a. Deaths 2020'!$F$4:$G$33,2,FALSE)</f>
        <v>73486</v>
      </c>
      <c r="L10" s="168">
        <f t="shared" si="3"/>
        <v>1555</v>
      </c>
      <c r="M10" s="166">
        <f t="shared" si="4"/>
        <v>0.98419908141283585</v>
      </c>
      <c r="N10" s="190">
        <f>VLOOKUP(G10,'Appen4b. 2020 LT NCHS_raw'!$F$6:$H$72,3,FALSE)</f>
        <v>98412</v>
      </c>
      <c r="O10" s="201">
        <f>SUM('Appen4b. 2020 LT NCHS_raw'!$J$12:$J$13)</f>
        <v>976792</v>
      </c>
      <c r="P10" s="201">
        <f t="shared" si="5"/>
        <v>5249941</v>
      </c>
      <c r="Q10" s="169">
        <f t="shared" si="6"/>
        <v>53.346553265861886</v>
      </c>
      <c r="R10" s="202">
        <f t="shared" si="7"/>
        <v>5.2874598070739554</v>
      </c>
    </row>
    <row r="11" spans="2:18">
      <c r="B11" s="188" t="s">
        <v>42</v>
      </c>
      <c r="C11" s="188" t="s">
        <v>3</v>
      </c>
      <c r="D11" s="188">
        <v>35</v>
      </c>
      <c r="E11" s="203" t="s">
        <v>112</v>
      </c>
      <c r="F11" s="163">
        <v>10</v>
      </c>
      <c r="G11" s="164" t="str">
        <f t="shared" si="0"/>
        <v>United StatesTotal35</v>
      </c>
      <c r="H11" s="165">
        <f>VLOOKUP(G11,'Appen1a. py 2020'!$F$4:$G$33,2,FALSE)</f>
        <v>42126716.899999999</v>
      </c>
      <c r="I11" s="166">
        <f t="shared" si="1"/>
        <v>2.4803736841880505E-3</v>
      </c>
      <c r="J11" s="167">
        <f t="shared" si="2"/>
        <v>2.4520685133753883E-2</v>
      </c>
      <c r="K11" s="165">
        <f>VLOOKUP(G11,'Appen2a. Deaths 2020'!$F$4:$G$33,2,FALSE)</f>
        <v>104490</v>
      </c>
      <c r="L11" s="168">
        <f t="shared" si="3"/>
        <v>2375</v>
      </c>
      <c r="M11" s="166">
        <f t="shared" si="4"/>
        <v>0.97547931486624606</v>
      </c>
      <c r="N11" s="190">
        <f>VLOOKUP(G11,'Appen4b. 2020 LT NCHS_raw'!$F$6:$H$72,3,FALSE)</f>
        <v>96857</v>
      </c>
      <c r="O11" s="201">
        <f>SUM('Appen4b. 2020 LT NCHS_raw'!$J$14:$J$15)</f>
        <v>957341</v>
      </c>
      <c r="P11" s="201">
        <f t="shared" si="5"/>
        <v>4273149</v>
      </c>
      <c r="Q11" s="169">
        <f t="shared" si="6"/>
        <v>44.11812259310117</v>
      </c>
      <c r="R11" s="202">
        <f t="shared" si="7"/>
        <v>5.2720000000000002</v>
      </c>
    </row>
    <row r="12" spans="2:18">
      <c r="B12" s="188" t="s">
        <v>42</v>
      </c>
      <c r="C12" s="188" t="s">
        <v>3</v>
      </c>
      <c r="D12" s="188">
        <v>45</v>
      </c>
      <c r="E12" s="203" t="s">
        <v>113</v>
      </c>
      <c r="F12" s="163">
        <v>10</v>
      </c>
      <c r="G12" s="164" t="str">
        <f t="shared" si="0"/>
        <v>United StatesTotal45</v>
      </c>
      <c r="H12" s="165">
        <f>VLOOKUP(G12,'Appen1a. py 2020'!$F$4:$G$33,2,FALSE)</f>
        <v>40403772.200000003</v>
      </c>
      <c r="I12" s="166">
        <f t="shared" si="1"/>
        <v>4.7307959032597451E-3</v>
      </c>
      <c r="J12" s="167">
        <f t="shared" si="2"/>
        <v>4.6019347600601175E-2</v>
      </c>
      <c r="K12" s="165">
        <f>VLOOKUP(G12,'Appen2a. Deaths 2020'!$F$4:$G$33,2,FALSE)</f>
        <v>191142</v>
      </c>
      <c r="L12" s="168">
        <f t="shared" si="3"/>
        <v>4348</v>
      </c>
      <c r="M12" s="166">
        <f t="shared" si="4"/>
        <v>0.95398065239939878</v>
      </c>
      <c r="N12" s="190">
        <f>VLOOKUP(G12,'Appen4b. 2020 LT NCHS_raw'!$F$6:$H$72,3,FALSE)</f>
        <v>94482</v>
      </c>
      <c r="O12" s="201">
        <f>SUM('Appen4b. 2020 LT NCHS_raw'!$J$16:$J$17)</f>
        <v>925021</v>
      </c>
      <c r="P12" s="201">
        <f t="shared" si="5"/>
        <v>3315808</v>
      </c>
      <c r="Q12" s="169">
        <f t="shared" si="6"/>
        <v>35.094600029635274</v>
      </c>
      <c r="R12" s="202">
        <f t="shared" si="7"/>
        <v>5.4464121435142596</v>
      </c>
    </row>
    <row r="13" spans="2:18">
      <c r="B13" s="188" t="s">
        <v>42</v>
      </c>
      <c r="C13" s="188" t="s">
        <v>3</v>
      </c>
      <c r="D13" s="188">
        <v>55</v>
      </c>
      <c r="E13" s="203" t="s">
        <v>114</v>
      </c>
      <c r="F13" s="163">
        <v>10</v>
      </c>
      <c r="G13" s="164" t="str">
        <f t="shared" si="0"/>
        <v>United StatesTotal55</v>
      </c>
      <c r="H13" s="165">
        <f>VLOOKUP(G13,'Appen1a. py 2020'!$F$4:$G$33,2,FALSE)</f>
        <v>42434095.100000001</v>
      </c>
      <c r="I13" s="166">
        <f t="shared" si="1"/>
        <v>1.0381958162694507E-2</v>
      </c>
      <c r="J13" s="167">
        <f t="shared" si="2"/>
        <v>9.8719684026005727E-2</v>
      </c>
      <c r="K13" s="165">
        <f>VLOOKUP(G13,'Appen2a. Deaths 2020'!$F$4:$G$33,2,FALSE)</f>
        <v>440549</v>
      </c>
      <c r="L13" s="168">
        <f t="shared" si="3"/>
        <v>8898</v>
      </c>
      <c r="M13" s="166">
        <f t="shared" si="4"/>
        <v>0.90128031597399427</v>
      </c>
      <c r="N13" s="190">
        <f>VLOOKUP(G13,'Appen4b. 2020 LT NCHS_raw'!$F$6:$H$72,3,FALSE)</f>
        <v>90134</v>
      </c>
      <c r="O13" s="201">
        <f>SUM('Appen4b. 2020 LT NCHS_raw'!$J$18:$J$19)</f>
        <v>860437</v>
      </c>
      <c r="P13" s="201">
        <f t="shared" si="5"/>
        <v>2390787</v>
      </c>
      <c r="Q13" s="169">
        <f t="shared" si="6"/>
        <v>26.524807508820199</v>
      </c>
      <c r="R13" s="202">
        <f t="shared" si="7"/>
        <v>5.4031242975949656</v>
      </c>
    </row>
    <row r="14" spans="2:18">
      <c r="B14" s="188" t="s">
        <v>42</v>
      </c>
      <c r="C14" s="188" t="s">
        <v>3</v>
      </c>
      <c r="D14" s="188">
        <v>65</v>
      </c>
      <c r="E14" s="204" t="s">
        <v>117</v>
      </c>
      <c r="F14" s="163">
        <v>10</v>
      </c>
      <c r="G14" s="164" t="str">
        <f t="shared" si="0"/>
        <v>United StatesTotal65</v>
      </c>
      <c r="H14" s="165">
        <f>VLOOKUP(G14,'Appen1a. py 2020'!$F$4:$G$33,2,FALSE)</f>
        <v>32568951.399999999</v>
      </c>
      <c r="I14" s="166">
        <f t="shared" si="1"/>
        <v>2.071012332315986E-2</v>
      </c>
      <c r="J14" s="167">
        <f t="shared" si="2"/>
        <v>0.18986656162292578</v>
      </c>
      <c r="K14" s="165">
        <f>VLOOKUP(G14,'Appen2a. Deaths 2020'!$F$4:$G$33,2,FALSE)</f>
        <v>674507</v>
      </c>
      <c r="L14" s="168">
        <f t="shared" si="3"/>
        <v>15424</v>
      </c>
      <c r="M14" s="166">
        <f t="shared" si="4"/>
        <v>0.81013343837707419</v>
      </c>
      <c r="N14" s="190">
        <f>VLOOKUP(G14,'Appen4b. 2020 LT NCHS_raw'!$F$6:$H$72,3,FALSE)</f>
        <v>81236</v>
      </c>
      <c r="O14" s="201">
        <f>SUM('Appen4b. 2020 LT NCHS_raw'!$J$20:$J$21)</f>
        <v>740548</v>
      </c>
      <c r="P14" s="201">
        <f t="shared" si="5"/>
        <v>1530350</v>
      </c>
      <c r="Q14" s="169">
        <f t="shared" si="6"/>
        <v>18.838322911024669</v>
      </c>
      <c r="R14" s="202">
        <f t="shared" si="7"/>
        <v>5.3441390041493779</v>
      </c>
    </row>
    <row r="15" spans="2:18">
      <c r="B15" s="188" t="s">
        <v>42</v>
      </c>
      <c r="C15" s="188" t="s">
        <v>3</v>
      </c>
      <c r="D15" s="188">
        <v>75</v>
      </c>
      <c r="E15" s="204" t="s">
        <v>116</v>
      </c>
      <c r="F15" s="163">
        <v>10</v>
      </c>
      <c r="G15" s="164" t="str">
        <f t="shared" si="0"/>
        <v>United StatesTotal75</v>
      </c>
      <c r="H15" s="165">
        <f>VLOOKUP(G15,'Appen1a. py 2020'!$F$4:$G$33,2,FALSE)</f>
        <v>16467057.4</v>
      </c>
      <c r="I15" s="166">
        <f t="shared" si="1"/>
        <v>4.9922944945828635E-2</v>
      </c>
      <c r="J15" s="167">
        <f t="shared" si="2"/>
        <v>0.41013796875949676</v>
      </c>
      <c r="K15" s="165">
        <f>VLOOKUP(G15,'Appen2a. Deaths 2020'!$F$4:$G$33,2,FALSE)</f>
        <v>822084</v>
      </c>
      <c r="L15" s="168">
        <f t="shared" si="3"/>
        <v>26992</v>
      </c>
      <c r="M15" s="166">
        <f t="shared" si="4"/>
        <v>0.58986203124050329</v>
      </c>
      <c r="N15" s="190">
        <f>VLOOKUP(G15,'Appen4b. 2020 LT NCHS_raw'!$F$6:$H$72,3,FALSE)</f>
        <v>65812</v>
      </c>
      <c r="O15" s="201">
        <f>SUM('Appen4b. 2020 LT NCHS_raw'!$J$22:$J$23)</f>
        <v>531227</v>
      </c>
      <c r="P15" s="201">
        <f t="shared" si="5"/>
        <v>789802</v>
      </c>
      <c r="Q15" s="169">
        <f t="shared" si="6"/>
        <v>12.000881298243481</v>
      </c>
      <c r="R15" s="202">
        <f t="shared" si="7"/>
        <v>5.2988663307646711</v>
      </c>
    </row>
    <row r="16" spans="2:18">
      <c r="B16" s="205" t="s">
        <v>42</v>
      </c>
      <c r="C16" s="205" t="s">
        <v>3</v>
      </c>
      <c r="D16" s="205">
        <v>85</v>
      </c>
      <c r="E16" s="206" t="s">
        <v>115</v>
      </c>
      <c r="F16" s="177" t="s">
        <v>37</v>
      </c>
      <c r="G16" s="178" t="str">
        <f t="shared" si="0"/>
        <v>United StatesTotal85</v>
      </c>
      <c r="H16" s="179">
        <f>VLOOKUP(G16,'Appen1a. py 2020'!$F$4:$G$33,2,FALSE)</f>
        <v>6704707.3300000001</v>
      </c>
      <c r="I16" s="180">
        <f t="shared" si="1"/>
        <v>0.15105879349397344</v>
      </c>
      <c r="J16" s="181">
        <f t="shared" si="2"/>
        <v>1</v>
      </c>
      <c r="K16" s="179">
        <f>VLOOKUP(G16,'Appen2a. Deaths 2020'!$F$4:$G$33,2,FALSE)</f>
        <v>1012805</v>
      </c>
      <c r="L16" s="181">
        <f t="shared" si="3"/>
        <v>38820</v>
      </c>
      <c r="M16" s="181">
        <f t="shared" si="4"/>
        <v>0</v>
      </c>
      <c r="N16" s="207">
        <f>VLOOKUP(G16,'Appen4b. 2020 LT NCHS_raw'!$F$6:$H$72,3,FALSE)</f>
        <v>38820</v>
      </c>
      <c r="O16" s="208">
        <f>SUM('Appen4b. 2020 LT NCHS_raw'!$J$24)</f>
        <v>258575</v>
      </c>
      <c r="P16" s="208">
        <f>O16</f>
        <v>258575</v>
      </c>
      <c r="Q16" s="182">
        <f t="shared" si="6"/>
        <v>6.6608706852138075</v>
      </c>
      <c r="R16" s="209">
        <f>O16/L16</f>
        <v>6.6608706852138075</v>
      </c>
    </row>
    <row r="17" spans="2:18" ht="16.05" customHeight="1">
      <c r="B17" s="193"/>
      <c r="C17" s="193"/>
      <c r="D17" s="193"/>
      <c r="E17" s="210"/>
      <c r="F17" s="210"/>
      <c r="G17" s="210"/>
      <c r="H17" s="210"/>
      <c r="I17" s="210"/>
      <c r="J17" s="210"/>
      <c r="K17" s="210"/>
      <c r="L17" s="210"/>
      <c r="M17" s="210"/>
      <c r="N17" s="210"/>
      <c r="O17" s="210"/>
      <c r="P17" s="210"/>
      <c r="Q17" s="193"/>
      <c r="R17" s="193"/>
    </row>
    <row r="18" spans="2:18" s="188" customFormat="1" ht="16.05" hidden="1" customHeight="1">
      <c r="B18" s="193" t="s">
        <v>122</v>
      </c>
      <c r="C18" s="193" t="s">
        <v>0</v>
      </c>
      <c r="D18" s="193"/>
      <c r="E18" s="193" t="s">
        <v>2</v>
      </c>
      <c r="F18" s="193" t="s">
        <v>5</v>
      </c>
      <c r="G18" s="193" t="s">
        <v>36</v>
      </c>
      <c r="H18" s="194" t="s">
        <v>312</v>
      </c>
      <c r="I18" s="194" t="s">
        <v>313</v>
      </c>
      <c r="J18" s="194" t="s">
        <v>314</v>
      </c>
      <c r="K18" s="194" t="s">
        <v>315</v>
      </c>
      <c r="L18" s="194" t="s">
        <v>316</v>
      </c>
      <c r="M18" s="194" t="s">
        <v>317</v>
      </c>
      <c r="N18" s="193" t="s">
        <v>318</v>
      </c>
      <c r="O18" s="194" t="s">
        <v>319</v>
      </c>
      <c r="P18" s="193" t="s">
        <v>320</v>
      </c>
      <c r="Q18" s="193" t="s">
        <v>321</v>
      </c>
      <c r="R18" s="194" t="s">
        <v>322</v>
      </c>
    </row>
    <row r="19" spans="2:18">
      <c r="B19" s="195" t="s">
        <v>42</v>
      </c>
      <c r="C19" s="195" t="s">
        <v>35</v>
      </c>
      <c r="D19" s="195">
        <v>0</v>
      </c>
      <c r="E19" s="196" t="s">
        <v>108</v>
      </c>
      <c r="F19" s="170">
        <v>5</v>
      </c>
      <c r="G19" s="171" t="str">
        <f>_xlfn.CONCAT(B19,C19,D19)</f>
        <v>United StatesFemale0</v>
      </c>
      <c r="H19" s="172">
        <f>VLOOKUP(G19,'Appen1a. py 2020'!$F$4:$G$33,2,FALSE)</f>
        <v>9468037.5399999991</v>
      </c>
      <c r="I19" s="173">
        <f>K19/H19</f>
        <v>1.0800548642522598E-3</v>
      </c>
      <c r="J19" s="174">
        <f>L19/N19</f>
        <v>5.6800000000000002E-3</v>
      </c>
      <c r="K19" s="172">
        <f>VLOOKUP(G19,'Appen2a. Deaths 2020'!$F$4:$G$33,2,FALSE)</f>
        <v>10226</v>
      </c>
      <c r="L19" s="175">
        <f>N19-N20</f>
        <v>568</v>
      </c>
      <c r="M19" s="173">
        <f>N20/N19</f>
        <v>0.99431999999999998</v>
      </c>
      <c r="N19" s="197">
        <f>VLOOKUP(G19,'Appen4b. 2020 LT NCHS_raw'!$F$6:$H$72,3,FALSE)</f>
        <v>100000</v>
      </c>
      <c r="O19" s="198">
        <f>SUM('Appen4b. 2020 LT NCHS_raw'!$J$30:$J$31)</f>
        <v>497442</v>
      </c>
      <c r="P19" s="198">
        <f>O19+P20</f>
        <v>8017556</v>
      </c>
      <c r="Q19" s="176">
        <f>P19/N19</f>
        <v>80.175560000000004</v>
      </c>
      <c r="R19" s="199">
        <f>(O19-N20*F19)/L19</f>
        <v>0.49647887323943662</v>
      </c>
    </row>
    <row r="20" spans="2:18">
      <c r="B20" s="188" t="s">
        <v>42</v>
      </c>
      <c r="C20" s="188" t="s">
        <v>35</v>
      </c>
      <c r="D20" s="188">
        <v>5</v>
      </c>
      <c r="E20" s="200" t="s">
        <v>109</v>
      </c>
      <c r="F20" s="163">
        <v>10</v>
      </c>
      <c r="G20" s="164" t="str">
        <f t="shared" ref="G20:G28" si="8">_xlfn.CONCAT(B20,C20,D20)</f>
        <v>United StatesFemale5</v>
      </c>
      <c r="H20" s="165">
        <f>VLOOKUP(G20,'Appen1a. py 2020'!$F$4:$G$33,2,FALSE)</f>
        <v>20045138.100000001</v>
      </c>
      <c r="I20" s="166">
        <f t="shared" ref="I20:I28" si="9">K20/H20</f>
        <v>1.1279543142683562E-4</v>
      </c>
      <c r="J20" s="167">
        <f t="shared" ref="J20:J28" si="10">L20/N20</f>
        <v>1.1263979403009091E-3</v>
      </c>
      <c r="K20" s="165">
        <f>VLOOKUP(G20,'Appen2a. Deaths 2020'!$F$4:$G$33,2,FALSE)</f>
        <v>2261</v>
      </c>
      <c r="L20" s="168">
        <f t="shared" ref="L20:L28" si="11">N20-N21</f>
        <v>112</v>
      </c>
      <c r="M20" s="166">
        <f t="shared" ref="M20:M28" si="12">N21/N20</f>
        <v>0.99887360205969911</v>
      </c>
      <c r="N20" s="190">
        <f>VLOOKUP(G20,'Appen4b. 2020 LT NCHS_raw'!$F$6:$H$72,3,FALSE)</f>
        <v>99432</v>
      </c>
      <c r="O20" s="201">
        <f>SUM('Appen4b. 2020 LT NCHS_raw'!$J$32:$J$33)</f>
        <v>993795</v>
      </c>
      <c r="P20" s="201">
        <f t="shared" ref="P20:P27" si="13">O20+P21</f>
        <v>7520114</v>
      </c>
      <c r="Q20" s="169">
        <f t="shared" ref="Q20:Q28" si="14">P20/N20</f>
        <v>75.630722503821701</v>
      </c>
      <c r="R20" s="202">
        <f t="shared" ref="R20:R27" si="15">(O20-N21*F20)/L20</f>
        <v>5.3125</v>
      </c>
    </row>
    <row r="21" spans="2:18">
      <c r="B21" s="188" t="s">
        <v>42</v>
      </c>
      <c r="C21" s="188" t="s">
        <v>35</v>
      </c>
      <c r="D21" s="188">
        <v>15</v>
      </c>
      <c r="E21" s="203" t="s">
        <v>110</v>
      </c>
      <c r="F21" s="163">
        <v>10</v>
      </c>
      <c r="G21" s="164" t="str">
        <f t="shared" si="8"/>
        <v>United StatesFemale15</v>
      </c>
      <c r="H21" s="165">
        <f>VLOOKUP(G21,'Appen1a. py 2020'!$F$4:$G$33,2,FALSE)</f>
        <v>20848863.899999999</v>
      </c>
      <c r="I21" s="166">
        <f t="shared" si="9"/>
        <v>4.4760232714646868E-4</v>
      </c>
      <c r="J21" s="167">
        <f t="shared" si="10"/>
        <v>4.440193314538864E-3</v>
      </c>
      <c r="K21" s="165">
        <f>VLOOKUP(G21,'Appen2a. Deaths 2020'!$F$4:$G$33,2,FALSE)</f>
        <v>9332</v>
      </c>
      <c r="L21" s="168">
        <f t="shared" si="11"/>
        <v>441</v>
      </c>
      <c r="M21" s="166">
        <f t="shared" si="12"/>
        <v>0.99555980668546118</v>
      </c>
      <c r="N21" s="190">
        <f>VLOOKUP(G21,'Appen4b. 2020 LT NCHS_raw'!$F$6:$H$72,3,FALSE)</f>
        <v>99320</v>
      </c>
      <c r="O21" s="201">
        <f>SUM('Appen4b. 2020 LT NCHS_raw'!$J$34:$J$35)</f>
        <v>991296</v>
      </c>
      <c r="P21" s="201">
        <f t="shared" si="13"/>
        <v>6526319</v>
      </c>
      <c r="Q21" s="169">
        <f t="shared" si="14"/>
        <v>65.710018123238015</v>
      </c>
      <c r="R21" s="202">
        <f t="shared" si="15"/>
        <v>5.6825396825396828</v>
      </c>
    </row>
    <row r="22" spans="2:18">
      <c r="B22" s="188" t="s">
        <v>42</v>
      </c>
      <c r="C22" s="188" t="s">
        <v>35</v>
      </c>
      <c r="D22" s="188">
        <v>25</v>
      </c>
      <c r="E22" s="203" t="s">
        <v>111</v>
      </c>
      <c r="F22" s="163">
        <v>10</v>
      </c>
      <c r="G22" s="164" t="str">
        <f t="shared" si="8"/>
        <v>United StatesFemale25</v>
      </c>
      <c r="H22" s="165">
        <f>VLOOKUP(G22,'Appen1a. py 2020'!$F$4:$G$33,2,FALSE)</f>
        <v>22612707.699999999</v>
      </c>
      <c r="I22" s="166">
        <f t="shared" si="9"/>
        <v>9.5760314453629104E-4</v>
      </c>
      <c r="J22" s="167">
        <f t="shared" si="10"/>
        <v>9.5065686343915289E-3</v>
      </c>
      <c r="K22" s="165">
        <f>VLOOKUP(G22,'Appen2a. Deaths 2020'!$F$4:$G$33,2,FALSE)</f>
        <v>21654</v>
      </c>
      <c r="L22" s="168">
        <f t="shared" si="11"/>
        <v>940</v>
      </c>
      <c r="M22" s="166">
        <f t="shared" si="12"/>
        <v>0.99049343136560852</v>
      </c>
      <c r="N22" s="190">
        <f>VLOOKUP(G22,'Appen4b. 2020 LT NCHS_raw'!$F$6:$H$72,3,FALSE)</f>
        <v>98879</v>
      </c>
      <c r="O22" s="201">
        <f>SUM('Appen4b. 2020 LT NCHS_raw'!$J$36:$J$37)</f>
        <v>984460</v>
      </c>
      <c r="P22" s="201">
        <f t="shared" si="13"/>
        <v>5535023</v>
      </c>
      <c r="Q22" s="169">
        <f t="shared" si="14"/>
        <v>55.977740470676281</v>
      </c>
      <c r="R22" s="202">
        <f t="shared" si="15"/>
        <v>5.3936170212765955</v>
      </c>
    </row>
    <row r="23" spans="2:18">
      <c r="B23" s="188" t="s">
        <v>42</v>
      </c>
      <c r="C23" s="188" t="s">
        <v>35</v>
      </c>
      <c r="D23" s="188">
        <v>35</v>
      </c>
      <c r="E23" s="203" t="s">
        <v>112</v>
      </c>
      <c r="F23" s="163">
        <v>10</v>
      </c>
      <c r="G23" s="164" t="str">
        <f t="shared" si="8"/>
        <v>United StatesFemale35</v>
      </c>
      <c r="H23" s="165">
        <f>VLOOKUP(G23,'Appen1a. py 2020'!$F$4:$G$33,2,FALSE)</f>
        <v>21086104.600000001</v>
      </c>
      <c r="I23" s="166">
        <f t="shared" si="9"/>
        <v>1.7070957714968367E-3</v>
      </c>
      <c r="J23" s="167">
        <f t="shared" si="10"/>
        <v>1.6949325600628964E-2</v>
      </c>
      <c r="K23" s="165">
        <f>VLOOKUP(G23,'Appen2a. Deaths 2020'!$F$4:$G$33,2,FALSE)</f>
        <v>35996</v>
      </c>
      <c r="L23" s="168">
        <f t="shared" si="11"/>
        <v>1660</v>
      </c>
      <c r="M23" s="166">
        <f t="shared" si="12"/>
        <v>0.98305067439937099</v>
      </c>
      <c r="N23" s="190">
        <f>VLOOKUP(G23,'Appen4b. 2020 LT NCHS_raw'!$F$6:$H$72,3,FALSE)</f>
        <v>97939</v>
      </c>
      <c r="O23" s="201">
        <f>SUM('Appen4b. 2020 LT NCHS_raw'!$J$38:$J$39)</f>
        <v>971662</v>
      </c>
      <c r="P23" s="201">
        <f t="shared" si="13"/>
        <v>4550563</v>
      </c>
      <c r="Q23" s="169">
        <f t="shared" si="14"/>
        <v>46.463237321189723</v>
      </c>
      <c r="R23" s="202">
        <f t="shared" si="15"/>
        <v>5.3445783132530122</v>
      </c>
    </row>
    <row r="24" spans="2:18">
      <c r="B24" s="188" t="s">
        <v>42</v>
      </c>
      <c r="C24" s="188" t="s">
        <v>35</v>
      </c>
      <c r="D24" s="188">
        <v>45</v>
      </c>
      <c r="E24" s="203" t="s">
        <v>113</v>
      </c>
      <c r="F24" s="163">
        <v>10</v>
      </c>
      <c r="G24" s="164" t="str">
        <f t="shared" si="8"/>
        <v>United StatesFemale45</v>
      </c>
      <c r="H24" s="165">
        <f>VLOOKUP(G24,'Appen1a. py 2020'!$F$4:$G$33,2,FALSE)</f>
        <v>20460697.100000001</v>
      </c>
      <c r="I24" s="166">
        <f t="shared" si="9"/>
        <v>3.4846320069906122E-3</v>
      </c>
      <c r="J24" s="167">
        <f t="shared" si="10"/>
        <v>3.409881697981907E-2</v>
      </c>
      <c r="K24" s="165">
        <f>VLOOKUP(G24,'Appen2a. Deaths 2020'!$F$4:$G$33,2,FALSE)</f>
        <v>71298</v>
      </c>
      <c r="L24" s="168">
        <f t="shared" si="11"/>
        <v>3283</v>
      </c>
      <c r="M24" s="166">
        <f t="shared" si="12"/>
        <v>0.96590118302018091</v>
      </c>
      <c r="N24" s="190">
        <f>VLOOKUP(G24,'Appen4b. 2020 LT NCHS_raw'!$F$6:$H$72,3,FALSE)</f>
        <v>96279</v>
      </c>
      <c r="O24" s="201">
        <f>SUM('Appen4b. 2020 LT NCHS_raw'!$J$40:$J$41)</f>
        <v>947909</v>
      </c>
      <c r="P24" s="201">
        <f t="shared" si="13"/>
        <v>3578901</v>
      </c>
      <c r="Q24" s="169">
        <f t="shared" si="14"/>
        <v>37.172187081294986</v>
      </c>
      <c r="R24" s="202">
        <f t="shared" si="15"/>
        <v>5.4672555589399936</v>
      </c>
    </row>
    <row r="25" spans="2:18">
      <c r="B25" s="188" t="s">
        <v>42</v>
      </c>
      <c r="C25" s="188" t="s">
        <v>35</v>
      </c>
      <c r="D25" s="188">
        <v>55</v>
      </c>
      <c r="E25" s="203" t="s">
        <v>114</v>
      </c>
      <c r="F25" s="163">
        <v>10</v>
      </c>
      <c r="G25" s="164" t="str">
        <f t="shared" si="8"/>
        <v>United StatesFemale55</v>
      </c>
      <c r="H25" s="165">
        <f>VLOOKUP(G25,'Appen1a. py 2020'!$F$4:$G$33,2,FALSE)</f>
        <v>21929073.600000001</v>
      </c>
      <c r="I25" s="166">
        <f t="shared" si="9"/>
        <v>7.7259077647493504E-3</v>
      </c>
      <c r="J25" s="167">
        <f t="shared" si="10"/>
        <v>7.4358036904813116E-2</v>
      </c>
      <c r="K25" s="165">
        <f>VLOOKUP(G25,'Appen2a. Deaths 2020'!$F$4:$G$33,2,FALSE)</f>
        <v>169422</v>
      </c>
      <c r="L25" s="168">
        <f t="shared" si="11"/>
        <v>6915</v>
      </c>
      <c r="M25" s="166">
        <f t="shared" si="12"/>
        <v>0.92564196309518687</v>
      </c>
      <c r="N25" s="190">
        <f>VLOOKUP(G25,'Appen4b. 2020 LT NCHS_raw'!$F$6:$H$72,3,FALSE)</f>
        <v>92996</v>
      </c>
      <c r="O25" s="201">
        <f>SUM('Appen4b. 2020 LT NCHS_raw'!$J$42:$J$43)</f>
        <v>898354</v>
      </c>
      <c r="P25" s="201">
        <f t="shared" si="13"/>
        <v>2630992</v>
      </c>
      <c r="Q25" s="169">
        <f t="shared" si="14"/>
        <v>28.291453395844982</v>
      </c>
      <c r="R25" s="202">
        <f t="shared" si="15"/>
        <v>5.4293564714389007</v>
      </c>
    </row>
    <row r="26" spans="2:18">
      <c r="B26" s="188" t="s">
        <v>42</v>
      </c>
      <c r="C26" s="188" t="s">
        <v>35</v>
      </c>
      <c r="D26" s="188">
        <v>65</v>
      </c>
      <c r="E26" s="204" t="s">
        <v>117</v>
      </c>
      <c r="F26" s="163">
        <v>10</v>
      </c>
      <c r="G26" s="164" t="str">
        <f t="shared" si="8"/>
        <v>United StatesFemale65</v>
      </c>
      <c r="H26" s="165">
        <f>VLOOKUP(G26,'Appen1a. py 2020'!$F$4:$G$33,2,FALSE)</f>
        <v>17369154.699999999</v>
      </c>
      <c r="I26" s="166">
        <f t="shared" si="9"/>
        <v>1.6264925085847731E-2</v>
      </c>
      <c r="J26" s="167">
        <f t="shared" si="10"/>
        <v>0.15256560681218853</v>
      </c>
      <c r="K26" s="165">
        <f>VLOOKUP(G26,'Appen2a. Deaths 2020'!$F$4:$G$33,2,FALSE)</f>
        <v>282508</v>
      </c>
      <c r="L26" s="168">
        <f t="shared" si="11"/>
        <v>13133</v>
      </c>
      <c r="M26" s="166">
        <f t="shared" si="12"/>
        <v>0.84743439318781144</v>
      </c>
      <c r="N26" s="190">
        <f>VLOOKUP(G26,'Appen4b. 2020 LT NCHS_raw'!$F$6:$H$72,3,FALSE)</f>
        <v>86081</v>
      </c>
      <c r="O26" s="201">
        <f>SUM('Appen4b. 2020 LT NCHS_raw'!$J$44:$J$45)</f>
        <v>800892</v>
      </c>
      <c r="P26" s="201">
        <f t="shared" si="13"/>
        <v>1732638</v>
      </c>
      <c r="Q26" s="169">
        <f t="shared" si="14"/>
        <v>20.127995724956726</v>
      </c>
      <c r="R26" s="202">
        <f t="shared" si="15"/>
        <v>5.4375999390847483</v>
      </c>
    </row>
    <row r="27" spans="2:18">
      <c r="B27" s="188" t="s">
        <v>42</v>
      </c>
      <c r="C27" s="188" t="s">
        <v>35</v>
      </c>
      <c r="D27" s="188">
        <v>75</v>
      </c>
      <c r="E27" s="204" t="s">
        <v>116</v>
      </c>
      <c r="F27" s="163">
        <v>10</v>
      </c>
      <c r="G27" s="164" t="str">
        <f t="shared" si="8"/>
        <v>United StatesFemale75</v>
      </c>
      <c r="H27" s="165">
        <f>VLOOKUP(G27,'Appen1a. py 2020'!$F$4:$G$33,2,FALSE)</f>
        <v>9235949.0099999998</v>
      </c>
      <c r="I27" s="166">
        <f t="shared" si="9"/>
        <v>4.2575592348360093E-2</v>
      </c>
      <c r="J27" s="167">
        <f t="shared" si="10"/>
        <v>0.36183308658222296</v>
      </c>
      <c r="K27" s="165">
        <f>VLOOKUP(G27,'Appen2a. Deaths 2020'!$F$4:$G$33,2,FALSE)</f>
        <v>393226</v>
      </c>
      <c r="L27" s="168">
        <f t="shared" si="11"/>
        <v>26395</v>
      </c>
      <c r="M27" s="166">
        <f t="shared" si="12"/>
        <v>0.63816691341777709</v>
      </c>
      <c r="N27" s="190">
        <f>VLOOKUP(G27,'Appen4b. 2020 LT NCHS_raw'!$F$6:$H$72,3,FALSE)</f>
        <v>72948</v>
      </c>
      <c r="O27" s="201">
        <f>SUM('Appen4b. 2020 LT NCHS_raw'!$J$46:$J$47)</f>
        <v>607963</v>
      </c>
      <c r="P27" s="201">
        <f t="shared" si="13"/>
        <v>931746</v>
      </c>
      <c r="Q27" s="169">
        <f t="shared" si="14"/>
        <v>12.772742227340023</v>
      </c>
      <c r="R27" s="202">
        <f t="shared" si="15"/>
        <v>5.396211403674938</v>
      </c>
    </row>
    <row r="28" spans="2:18">
      <c r="B28" s="205" t="s">
        <v>42</v>
      </c>
      <c r="C28" s="205" t="s">
        <v>35</v>
      </c>
      <c r="D28" s="205">
        <v>85</v>
      </c>
      <c r="E28" s="206" t="s">
        <v>115</v>
      </c>
      <c r="F28" s="177" t="s">
        <v>37</v>
      </c>
      <c r="G28" s="178" t="str">
        <f t="shared" si="8"/>
        <v>United StatesFemale85</v>
      </c>
      <c r="H28" s="179">
        <f>VLOOKUP(G28,'Appen1a. py 2020'!$F$4:$G$33,2,FALSE)</f>
        <v>4271744.18</v>
      </c>
      <c r="I28" s="180">
        <f t="shared" si="9"/>
        <v>0.14464466362309178</v>
      </c>
      <c r="J28" s="181">
        <f t="shared" si="10"/>
        <v>1</v>
      </c>
      <c r="K28" s="179">
        <f>VLOOKUP(G28,'Appen2a. Deaths 2020'!$F$4:$G$33,2,FALSE)</f>
        <v>617885</v>
      </c>
      <c r="L28" s="181">
        <f t="shared" si="11"/>
        <v>46553</v>
      </c>
      <c r="M28" s="181">
        <f t="shared" si="12"/>
        <v>0</v>
      </c>
      <c r="N28" s="207">
        <f>VLOOKUP(G28,'Appen4b. 2020 LT NCHS_raw'!$F$6:$H$72,3,FALSE)</f>
        <v>46553</v>
      </c>
      <c r="O28" s="208">
        <f>SUM('Appen4b. 2020 LT NCHS_raw'!$J$48)</f>
        <v>323783</v>
      </c>
      <c r="P28" s="208">
        <f>O28</f>
        <v>323783</v>
      </c>
      <c r="Q28" s="182">
        <f t="shared" si="14"/>
        <v>6.9551478959465554</v>
      </c>
      <c r="R28" s="209">
        <f>O28/L28</f>
        <v>6.9551478959465554</v>
      </c>
    </row>
    <row r="29" spans="2:18" ht="16.05" customHeight="1">
      <c r="B29" s="193"/>
      <c r="C29" s="193"/>
      <c r="D29" s="193"/>
      <c r="E29" s="210"/>
      <c r="F29" s="210"/>
      <c r="G29" s="210"/>
      <c r="H29" s="210"/>
      <c r="I29" s="210"/>
      <c r="J29" s="210"/>
      <c r="K29" s="210"/>
      <c r="L29" s="210"/>
      <c r="M29" s="210"/>
      <c r="N29" s="210"/>
      <c r="O29" s="210"/>
      <c r="P29" s="210"/>
      <c r="Q29" s="193"/>
      <c r="R29" s="193"/>
    </row>
    <row r="30" spans="2:18" s="188" customFormat="1" ht="16.05" hidden="1" customHeight="1">
      <c r="B30" s="193" t="s">
        <v>122</v>
      </c>
      <c r="C30" s="193" t="s">
        <v>0</v>
      </c>
      <c r="D30" s="193"/>
      <c r="E30" s="193" t="s">
        <v>2</v>
      </c>
      <c r="F30" s="193" t="s">
        <v>5</v>
      </c>
      <c r="G30" s="193" t="s">
        <v>36</v>
      </c>
      <c r="H30" s="194" t="s">
        <v>312</v>
      </c>
      <c r="I30" s="194" t="s">
        <v>313</v>
      </c>
      <c r="J30" s="194" t="s">
        <v>314</v>
      </c>
      <c r="K30" s="194" t="s">
        <v>315</v>
      </c>
      <c r="L30" s="194" t="s">
        <v>316</v>
      </c>
      <c r="M30" s="194" t="s">
        <v>317</v>
      </c>
      <c r="N30" s="193" t="s">
        <v>318</v>
      </c>
      <c r="O30" s="194" t="s">
        <v>319</v>
      </c>
      <c r="P30" s="193" t="s">
        <v>320</v>
      </c>
      <c r="Q30" s="193" t="s">
        <v>321</v>
      </c>
      <c r="R30" s="194" t="s">
        <v>322</v>
      </c>
    </row>
    <row r="31" spans="2:18">
      <c r="B31" s="195" t="s">
        <v>42</v>
      </c>
      <c r="C31" s="195" t="s">
        <v>34</v>
      </c>
      <c r="D31" s="195">
        <v>0</v>
      </c>
      <c r="E31" s="196" t="s">
        <v>108</v>
      </c>
      <c r="F31" s="170">
        <v>5</v>
      </c>
      <c r="G31" s="171" t="str">
        <f>_xlfn.CONCAT(B31,C31,D31)</f>
        <v>United StatesMale0</v>
      </c>
      <c r="H31" s="172">
        <f>VLOOKUP(G31,'Appen1a. py 2020'!$F$4:$G$33,2,FALSE)</f>
        <v>9907528.2899999991</v>
      </c>
      <c r="I31" s="173">
        <f>K31/H31</f>
        <v>1.3005261880508847E-3</v>
      </c>
      <c r="J31" s="173">
        <f>L31/N31</f>
        <v>6.8300000000000001E-3</v>
      </c>
      <c r="K31" s="172">
        <f>VLOOKUP(G31,'Appen2a. Deaths 2020'!$F$4:$G$33,2,FALSE)</f>
        <v>12885</v>
      </c>
      <c r="L31" s="175">
        <f>N31-N32</f>
        <v>683</v>
      </c>
      <c r="M31" s="173">
        <f>N32/N31</f>
        <v>0.99317</v>
      </c>
      <c r="N31" s="197">
        <f>VLOOKUP(G31,'Appen4b. 2020 LT NCHS_raw'!$F$6:$H$72,3,FALSE)</f>
        <v>100000</v>
      </c>
      <c r="O31" s="198">
        <f>SUM('Appen4b. 2020 LT NCHS_raw'!$J$54:$J$55)</f>
        <v>496945</v>
      </c>
      <c r="P31" s="198">
        <f>O31+P32</f>
        <v>7448506</v>
      </c>
      <c r="Q31" s="176">
        <f>P31/N31</f>
        <v>74.485060000000004</v>
      </c>
      <c r="R31" s="199">
        <f>(O31-N32*F31)/L31</f>
        <v>0.52708638360175697</v>
      </c>
    </row>
    <row r="32" spans="2:18">
      <c r="B32" s="188" t="s">
        <v>42</v>
      </c>
      <c r="C32" s="188" t="s">
        <v>34</v>
      </c>
      <c r="D32" s="188">
        <v>5</v>
      </c>
      <c r="E32" s="200" t="s">
        <v>109</v>
      </c>
      <c r="F32" s="163">
        <v>10</v>
      </c>
      <c r="G32" s="164" t="str">
        <f t="shared" ref="G32:G40" si="16">_xlfn.CONCAT(B32,C32,D32)</f>
        <v>United StatesMale5</v>
      </c>
      <c r="H32" s="165">
        <f>VLOOKUP(G32,'Appen1a. py 2020'!$F$4:$G$33,2,FALSE)</f>
        <v>20937180.300000001</v>
      </c>
      <c r="I32" s="166">
        <f t="shared" ref="I32:I40" si="17">K32/H32</f>
        <v>1.6057558619772693E-4</v>
      </c>
      <c r="J32" s="166">
        <f t="shared" ref="J32:J40" si="18">L32/N32</f>
        <v>1.6009343818278845E-3</v>
      </c>
      <c r="K32" s="165">
        <f>VLOOKUP(G32,'Appen2a. Deaths 2020'!$F$4:$G$33,2,FALSE)</f>
        <v>3362</v>
      </c>
      <c r="L32" s="168">
        <f t="shared" ref="L32:L40" si="19">N32-N33</f>
        <v>159</v>
      </c>
      <c r="M32" s="166">
        <f t="shared" ref="M32:M40" si="20">N33/N32</f>
        <v>0.99839906561817215</v>
      </c>
      <c r="N32" s="190">
        <f>VLOOKUP(G32,'Appen4b. 2020 LT NCHS_raw'!$F$6:$H$72,3,FALSE)</f>
        <v>99317</v>
      </c>
      <c r="O32" s="201">
        <f>SUM('Appen4b. 2020 LT NCHS_raw'!$J$56:$J$57)</f>
        <v>992474</v>
      </c>
      <c r="P32" s="201">
        <f t="shared" ref="P32:P39" si="21">O32+P33</f>
        <v>6951561</v>
      </c>
      <c r="Q32" s="169">
        <f t="shared" ref="Q32:Q40" si="22">P32/N32</f>
        <v>69.993666743860572</v>
      </c>
      <c r="R32" s="202">
        <f t="shared" ref="R32:R39" si="23">(O32-N33*F32)/L32</f>
        <v>5.6226415094339623</v>
      </c>
    </row>
    <row r="33" spans="2:18">
      <c r="B33" s="188" t="s">
        <v>42</v>
      </c>
      <c r="C33" s="188" t="s">
        <v>34</v>
      </c>
      <c r="D33" s="188">
        <v>15</v>
      </c>
      <c r="E33" s="203" t="s">
        <v>110</v>
      </c>
      <c r="F33" s="163">
        <v>10</v>
      </c>
      <c r="G33" s="164" t="str">
        <f t="shared" si="16"/>
        <v>United StatesMale15</v>
      </c>
      <c r="H33" s="165">
        <f>VLOOKUP(G33,'Appen1a. py 2020'!$F$4:$G$33,2,FALSE)</f>
        <v>21756402</v>
      </c>
      <c r="I33" s="166">
        <f t="shared" si="17"/>
        <v>1.2172968673772437E-3</v>
      </c>
      <c r="J33" s="166">
        <f t="shared" si="18"/>
        <v>1.201113374614252E-2</v>
      </c>
      <c r="K33" s="165">
        <f>VLOOKUP(G33,'Appen2a. Deaths 2020'!$F$4:$G$33,2,FALSE)</f>
        <v>26484</v>
      </c>
      <c r="L33" s="168">
        <f t="shared" si="19"/>
        <v>1191</v>
      </c>
      <c r="M33" s="166">
        <f t="shared" si="20"/>
        <v>0.98798886625385751</v>
      </c>
      <c r="N33" s="190">
        <f>VLOOKUP(G33,'Appen4b. 2020 LT NCHS_raw'!$F$6:$H$72,3,FALSE)</f>
        <v>99158</v>
      </c>
      <c r="O33" s="201">
        <f>SUM('Appen4b. 2020 LT NCHS_raw'!$J$58:$J$59)</f>
        <v>986539</v>
      </c>
      <c r="P33" s="201">
        <f t="shared" si="21"/>
        <v>5959087</v>
      </c>
      <c r="Q33" s="169">
        <f t="shared" si="22"/>
        <v>60.09688577825289</v>
      </c>
      <c r="R33" s="202">
        <f t="shared" si="23"/>
        <v>5.7674223341729638</v>
      </c>
    </row>
    <row r="34" spans="2:18">
      <c r="B34" s="188" t="s">
        <v>42</v>
      </c>
      <c r="C34" s="188" t="s">
        <v>34</v>
      </c>
      <c r="D34" s="188">
        <v>25</v>
      </c>
      <c r="E34" s="203" t="s">
        <v>111</v>
      </c>
      <c r="F34" s="163">
        <v>10</v>
      </c>
      <c r="G34" s="164" t="str">
        <f t="shared" si="16"/>
        <v>United StatesMale25</v>
      </c>
      <c r="H34" s="165">
        <f>VLOOKUP(G34,'Appen1a. py 2020'!$F$4:$G$33,2,FALSE)</f>
        <v>23427859.600000001</v>
      </c>
      <c r="I34" s="166">
        <f t="shared" si="17"/>
        <v>2.2124086828657621E-3</v>
      </c>
      <c r="J34" s="166">
        <f t="shared" si="18"/>
        <v>2.1844090356956933E-2</v>
      </c>
      <c r="K34" s="165">
        <f>VLOOKUP(G34,'Appen2a. Deaths 2020'!$F$4:$G$33,2,FALSE)</f>
        <v>51832</v>
      </c>
      <c r="L34" s="168">
        <f t="shared" si="19"/>
        <v>2140</v>
      </c>
      <c r="M34" s="166">
        <f t="shared" si="20"/>
        <v>0.97815590964304311</v>
      </c>
      <c r="N34" s="190">
        <f>VLOOKUP(G34,'Appen4b. 2020 LT NCHS_raw'!$F$6:$H$72,3,FALSE)</f>
        <v>97967</v>
      </c>
      <c r="O34" s="201">
        <f>SUM('Appen4b. 2020 LT NCHS_raw'!$J$60:$J$61)</f>
        <v>969499</v>
      </c>
      <c r="P34" s="201">
        <f t="shared" si="21"/>
        <v>4972548</v>
      </c>
      <c r="Q34" s="169">
        <f t="shared" si="22"/>
        <v>50.757377484254903</v>
      </c>
      <c r="R34" s="202">
        <f t="shared" si="23"/>
        <v>5.2471962616822427</v>
      </c>
    </row>
    <row r="35" spans="2:18">
      <c r="B35" s="188" t="s">
        <v>42</v>
      </c>
      <c r="C35" s="188" t="s">
        <v>34</v>
      </c>
      <c r="D35" s="188">
        <v>35</v>
      </c>
      <c r="E35" s="203" t="s">
        <v>112</v>
      </c>
      <c r="F35" s="163">
        <v>10</v>
      </c>
      <c r="G35" s="164" t="str">
        <f t="shared" si="16"/>
        <v>United StatesMale35</v>
      </c>
      <c r="H35" s="165">
        <f>VLOOKUP(G35,'Appen1a. py 2020'!$F$4:$G$33,2,FALSE)</f>
        <v>21040612.300000001</v>
      </c>
      <c r="I35" s="166">
        <f t="shared" si="17"/>
        <v>3.2553235154663251E-3</v>
      </c>
      <c r="J35" s="166">
        <f t="shared" si="18"/>
        <v>3.2057770774416398E-2</v>
      </c>
      <c r="K35" s="165">
        <f>VLOOKUP(G35,'Appen2a. Deaths 2020'!$F$4:$G$33,2,FALSE)</f>
        <v>68494</v>
      </c>
      <c r="L35" s="168">
        <f t="shared" si="19"/>
        <v>3072</v>
      </c>
      <c r="M35" s="166">
        <f t="shared" si="20"/>
        <v>0.96794222922558359</v>
      </c>
      <c r="N35" s="190">
        <f>VLOOKUP(G35,'Appen4b. 2020 LT NCHS_raw'!$F$6:$H$72,3,FALSE)</f>
        <v>95827</v>
      </c>
      <c r="O35" s="201">
        <f>SUM('Appen4b. 2020 LT NCHS_raw'!$J$62:$J$63)</f>
        <v>943637</v>
      </c>
      <c r="P35" s="201">
        <f t="shared" si="21"/>
        <v>4003049</v>
      </c>
      <c r="Q35" s="169">
        <f t="shared" si="22"/>
        <v>41.773706784100511</v>
      </c>
      <c r="R35" s="202">
        <f t="shared" si="23"/>
        <v>5.236653645833333</v>
      </c>
    </row>
    <row r="36" spans="2:18">
      <c r="B36" s="188" t="s">
        <v>42</v>
      </c>
      <c r="C36" s="188" t="s">
        <v>34</v>
      </c>
      <c r="D36" s="188">
        <v>45</v>
      </c>
      <c r="E36" s="203" t="s">
        <v>113</v>
      </c>
      <c r="F36" s="163">
        <v>10</v>
      </c>
      <c r="G36" s="164" t="str">
        <f t="shared" si="16"/>
        <v>United StatesMale45</v>
      </c>
      <c r="H36" s="165">
        <f>VLOOKUP(G36,'Appen1a. py 2020'!$F$4:$G$33,2,FALSE)</f>
        <v>19943075.100000001</v>
      </c>
      <c r="I36" s="166">
        <f t="shared" si="17"/>
        <v>6.0093039513249387E-3</v>
      </c>
      <c r="J36" s="166">
        <f t="shared" si="18"/>
        <v>5.8088512748638889E-2</v>
      </c>
      <c r="K36" s="165">
        <f>VLOOKUP(G36,'Appen2a. Deaths 2020'!$F$4:$G$33,2,FALSE)</f>
        <v>119844</v>
      </c>
      <c r="L36" s="168">
        <f t="shared" si="19"/>
        <v>5388</v>
      </c>
      <c r="M36" s="166">
        <f t="shared" si="20"/>
        <v>0.94191148725136109</v>
      </c>
      <c r="N36" s="190">
        <f>VLOOKUP(G36,'Appen4b. 2020 LT NCHS_raw'!$F$6:$H$72,3,FALSE)</f>
        <v>92755</v>
      </c>
      <c r="O36" s="201">
        <f>SUM('Appen4b. 2020 LT NCHS_raw'!$J$64:$J$65)</f>
        <v>902940</v>
      </c>
      <c r="P36" s="201">
        <f t="shared" si="21"/>
        <v>3059412</v>
      </c>
      <c r="Q36" s="169">
        <f t="shared" si="22"/>
        <v>32.983796021777799</v>
      </c>
      <c r="R36" s="202">
        <f t="shared" si="23"/>
        <v>5.4324424647364511</v>
      </c>
    </row>
    <row r="37" spans="2:18">
      <c r="B37" s="188" t="s">
        <v>42</v>
      </c>
      <c r="C37" s="188" t="s">
        <v>34</v>
      </c>
      <c r="D37" s="188">
        <v>55</v>
      </c>
      <c r="E37" s="203" t="s">
        <v>114</v>
      </c>
      <c r="F37" s="163">
        <v>10</v>
      </c>
      <c r="G37" s="164" t="str">
        <f t="shared" si="16"/>
        <v>United StatesMale55</v>
      </c>
      <c r="H37" s="165">
        <f>VLOOKUP(G37,'Appen1a. py 2020'!$F$4:$G$33,2,FALSE)</f>
        <v>20505021.5</v>
      </c>
      <c r="I37" s="166">
        <f t="shared" si="17"/>
        <v>1.3222468457299593E-2</v>
      </c>
      <c r="J37" s="166">
        <f t="shared" si="18"/>
        <v>0.12414298304851946</v>
      </c>
      <c r="K37" s="165">
        <f>VLOOKUP(G37,'Appen2a. Deaths 2020'!$F$4:$G$33,2,FALSE)</f>
        <v>271127</v>
      </c>
      <c r="L37" s="168">
        <f t="shared" si="19"/>
        <v>10846</v>
      </c>
      <c r="M37" s="166">
        <f t="shared" si="20"/>
        <v>0.87585701695148055</v>
      </c>
      <c r="N37" s="190">
        <f>VLOOKUP(G37,'Appen4b. 2020 LT NCHS_raw'!$F$6:$H$72,3,FALSE)</f>
        <v>87367</v>
      </c>
      <c r="O37" s="201">
        <f>SUM('Appen4b. 2020 LT NCHS_raw'!$J$66:$J$67)</f>
        <v>823630</v>
      </c>
      <c r="P37" s="201">
        <f t="shared" si="21"/>
        <v>2156472</v>
      </c>
      <c r="Q37" s="169">
        <f t="shared" si="22"/>
        <v>24.682912312429178</v>
      </c>
      <c r="R37" s="202">
        <f t="shared" si="23"/>
        <v>5.3863175364189564</v>
      </c>
    </row>
    <row r="38" spans="2:18">
      <c r="B38" s="188" t="s">
        <v>42</v>
      </c>
      <c r="C38" s="188" t="s">
        <v>34</v>
      </c>
      <c r="D38" s="188">
        <v>65</v>
      </c>
      <c r="E38" s="204" t="s">
        <v>117</v>
      </c>
      <c r="F38" s="163">
        <v>10</v>
      </c>
      <c r="G38" s="164" t="str">
        <f t="shared" si="16"/>
        <v>United StatesMale65</v>
      </c>
      <c r="H38" s="165">
        <f>VLOOKUP(G38,'Appen1a. py 2020'!$F$4:$G$33,2,FALSE)</f>
        <v>15199796.800000001</v>
      </c>
      <c r="I38" s="166">
        <f t="shared" si="17"/>
        <v>2.5789752663009282E-2</v>
      </c>
      <c r="J38" s="166">
        <f t="shared" si="18"/>
        <v>0.2306295003985834</v>
      </c>
      <c r="K38" s="165">
        <f>VLOOKUP(G38,'Appen2a. Deaths 2020'!$F$4:$G$33,2,FALSE)</f>
        <v>391999</v>
      </c>
      <c r="L38" s="168">
        <f t="shared" si="19"/>
        <v>17648</v>
      </c>
      <c r="M38" s="166">
        <f t="shared" si="20"/>
        <v>0.76937049960141657</v>
      </c>
      <c r="N38" s="190">
        <f>VLOOKUP(G38,'Appen4b. 2020 LT NCHS_raw'!$F$6:$H$72,3,FALSE)</f>
        <v>76521</v>
      </c>
      <c r="O38" s="201">
        <f>SUM('Appen4b. 2020 LT NCHS_raw'!$J$68:$J$69)</f>
        <v>681757</v>
      </c>
      <c r="P38" s="201">
        <f t="shared" si="21"/>
        <v>1332842</v>
      </c>
      <c r="Q38" s="169">
        <f t="shared" si="22"/>
        <v>17.417989832856339</v>
      </c>
      <c r="R38" s="202">
        <f t="shared" si="23"/>
        <v>5.2712488667271078</v>
      </c>
    </row>
    <row r="39" spans="2:18">
      <c r="B39" s="188" t="s">
        <v>42</v>
      </c>
      <c r="C39" s="188" t="s">
        <v>34</v>
      </c>
      <c r="D39" s="188">
        <v>75</v>
      </c>
      <c r="E39" s="204" t="s">
        <v>116</v>
      </c>
      <c r="F39" s="163">
        <v>10</v>
      </c>
      <c r="G39" s="164" t="str">
        <f t="shared" si="16"/>
        <v>United StatesMale75</v>
      </c>
      <c r="H39" s="165">
        <f>VLOOKUP(G39,'Appen1a. py 2020'!$F$4:$G$33,2,FALSE)</f>
        <v>7231108.4400000004</v>
      </c>
      <c r="I39" s="166">
        <f t="shared" si="17"/>
        <v>5.9307366714030356E-2</v>
      </c>
      <c r="J39" s="166">
        <f t="shared" si="18"/>
        <v>0.46782056290659557</v>
      </c>
      <c r="K39" s="165">
        <f>VLOOKUP(G39,'Appen2a. Deaths 2020'!$F$4:$G$33,2,FALSE)</f>
        <v>428858</v>
      </c>
      <c r="L39" s="168">
        <f t="shared" si="19"/>
        <v>27542</v>
      </c>
      <c r="M39" s="166">
        <f t="shared" si="20"/>
        <v>0.53217943709340443</v>
      </c>
      <c r="N39" s="190">
        <f>VLOOKUP(G39,'Appen4b. 2020 LT NCHS_raw'!$F$6:$H$72,3,FALSE)</f>
        <v>58873</v>
      </c>
      <c r="O39" s="201">
        <f>SUM('Appen4b. 2020 LT NCHS_raw'!$J$70:$J$71)</f>
        <v>456809</v>
      </c>
      <c r="P39" s="201">
        <f t="shared" si="21"/>
        <v>651085</v>
      </c>
      <c r="Q39" s="169">
        <f t="shared" si="22"/>
        <v>11.059144259677611</v>
      </c>
      <c r="R39" s="202">
        <f t="shared" si="23"/>
        <v>5.2101880763924191</v>
      </c>
    </row>
    <row r="40" spans="2:18">
      <c r="B40" s="205" t="s">
        <v>42</v>
      </c>
      <c r="C40" s="205" t="s">
        <v>34</v>
      </c>
      <c r="D40" s="205">
        <v>85</v>
      </c>
      <c r="E40" s="206" t="s">
        <v>115</v>
      </c>
      <c r="F40" s="177" t="s">
        <v>37</v>
      </c>
      <c r="G40" s="178" t="str">
        <f t="shared" si="16"/>
        <v>United StatesMale85</v>
      </c>
      <c r="H40" s="179">
        <f>VLOOKUP(G40,'Appen1a. py 2020'!$F$4:$G$33,2,FALSE)</f>
        <v>2432963.15</v>
      </c>
      <c r="I40" s="180">
        <f t="shared" si="17"/>
        <v>0.16232058426367865</v>
      </c>
      <c r="J40" s="181">
        <f t="shared" si="18"/>
        <v>1</v>
      </c>
      <c r="K40" s="179">
        <f>VLOOKUP(G40,'Appen2a. Deaths 2020'!$F$4:$G$33,2,FALSE)</f>
        <v>394920</v>
      </c>
      <c r="L40" s="181">
        <f t="shared" si="19"/>
        <v>31331</v>
      </c>
      <c r="M40" s="181">
        <f t="shared" si="20"/>
        <v>0</v>
      </c>
      <c r="N40" s="207">
        <f>VLOOKUP(G40,'Appen4b. 2020 LT NCHS_raw'!$F$6:$H$72,3,FALSE)</f>
        <v>31331</v>
      </c>
      <c r="O40" s="208">
        <f>SUM('Appen4b. 2020 LT NCHS_raw'!$J$72)</f>
        <v>194276</v>
      </c>
      <c r="P40" s="208">
        <f>O40</f>
        <v>194276</v>
      </c>
      <c r="Q40" s="182">
        <f t="shared" si="22"/>
        <v>6.2007596310363535</v>
      </c>
      <c r="R40" s="209">
        <f>O40/L40</f>
        <v>6.2007596310363535</v>
      </c>
    </row>
    <row r="42" spans="2:18">
      <c r="B42" s="211" t="s">
        <v>302</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7D021-1B5B-024A-ACAB-5724CCB90D9A}">
  <dimension ref="A1:L77"/>
  <sheetViews>
    <sheetView zoomScaleNormal="100" workbookViewId="0">
      <pane xSplit="4" ySplit="5" topLeftCell="E27" activePane="bottomRight" state="frozen"/>
      <selection pane="topRight" activeCell="D1" sqref="D1"/>
      <selection pane="bottomLeft" activeCell="A5" sqref="A5"/>
      <selection pane="bottomRight"/>
    </sheetView>
  </sheetViews>
  <sheetFormatPr defaultColWidth="11.19921875" defaultRowHeight="13.8"/>
  <cols>
    <col min="1" max="2" width="11.19921875" style="122"/>
    <col min="3" max="5" width="11.19921875" style="124"/>
    <col min="6" max="6" width="0" style="122" hidden="1" customWidth="1"/>
    <col min="7" max="7" width="11.19921875" style="183"/>
    <col min="8" max="11" width="11.19921875" style="122"/>
    <col min="12" max="12" width="10.796875" style="183"/>
    <col min="13" max="16384" width="11.19921875" style="122"/>
  </cols>
  <sheetData>
    <row r="1" spans="1:12">
      <c r="A1" s="139" t="s">
        <v>341</v>
      </c>
    </row>
    <row r="2" spans="1:12">
      <c r="B2" s="122" t="s">
        <v>303</v>
      </c>
    </row>
    <row r="3" spans="1:12">
      <c r="B3" s="122" t="s">
        <v>304</v>
      </c>
    </row>
    <row r="4" spans="1:12" ht="48.6">
      <c r="G4" s="186" t="s">
        <v>306</v>
      </c>
      <c r="H4" s="186" t="s">
        <v>307</v>
      </c>
      <c r="I4" s="186" t="s">
        <v>308</v>
      </c>
      <c r="J4" s="186" t="s">
        <v>309</v>
      </c>
      <c r="K4" s="186" t="s">
        <v>310</v>
      </c>
      <c r="L4" s="186" t="s">
        <v>311</v>
      </c>
    </row>
    <row r="5" spans="1:12">
      <c r="B5" s="141" t="s">
        <v>1</v>
      </c>
      <c r="C5" s="162" t="s">
        <v>0</v>
      </c>
      <c r="D5" s="162" t="s">
        <v>305</v>
      </c>
      <c r="E5" s="162" t="s">
        <v>5</v>
      </c>
      <c r="F5" s="162" t="s">
        <v>36</v>
      </c>
      <c r="G5" s="185" t="s">
        <v>120</v>
      </c>
      <c r="H5" s="185" t="s">
        <v>153</v>
      </c>
      <c r="I5" s="185" t="s">
        <v>152</v>
      </c>
      <c r="J5" s="185" t="s">
        <v>154</v>
      </c>
      <c r="K5" s="185" t="s">
        <v>155</v>
      </c>
      <c r="L5" s="185" t="s">
        <v>38</v>
      </c>
    </row>
    <row r="6" spans="1:12">
      <c r="B6" s="122" t="s">
        <v>42</v>
      </c>
      <c r="C6" s="124" t="s">
        <v>3</v>
      </c>
      <c r="D6" s="124">
        <v>0</v>
      </c>
      <c r="E6" s="124">
        <v>1</v>
      </c>
      <c r="F6" s="122" t="str">
        <f>_xlfn.CONCAT(B6,C6,D6)</f>
        <v>United StatesTotal0</v>
      </c>
      <c r="G6" s="183" t="s">
        <v>46</v>
      </c>
      <c r="H6" s="130">
        <v>100000</v>
      </c>
      <c r="I6" s="122">
        <v>537</v>
      </c>
      <c r="J6" s="130">
        <v>99516</v>
      </c>
      <c r="K6" s="130">
        <v>7729110</v>
      </c>
      <c r="L6" s="183">
        <v>77.3</v>
      </c>
    </row>
    <row r="7" spans="1:12">
      <c r="B7" s="122" t="s">
        <v>42</v>
      </c>
      <c r="C7" s="124" t="s">
        <v>3</v>
      </c>
      <c r="D7" s="124">
        <v>1</v>
      </c>
      <c r="E7" s="124">
        <v>4</v>
      </c>
      <c r="F7" s="122" t="str">
        <f t="shared" ref="F7:F24" si="0">_xlfn.CONCAT(B7,C7,D7)</f>
        <v>United StatesTotal1</v>
      </c>
      <c r="G7" s="183" t="s">
        <v>47</v>
      </c>
      <c r="H7" s="130">
        <v>99463</v>
      </c>
      <c r="I7" s="122">
        <v>90</v>
      </c>
      <c r="J7" s="130">
        <v>397671</v>
      </c>
      <c r="K7" s="130">
        <v>7629594</v>
      </c>
      <c r="L7" s="183">
        <v>76.7</v>
      </c>
    </row>
    <row r="8" spans="1:12">
      <c r="B8" s="122" t="s">
        <v>42</v>
      </c>
      <c r="C8" s="124" t="s">
        <v>3</v>
      </c>
      <c r="D8" s="124">
        <v>5</v>
      </c>
      <c r="E8" s="124">
        <v>5</v>
      </c>
      <c r="F8" s="122" t="str">
        <f t="shared" si="0"/>
        <v>United StatesTotal5</v>
      </c>
      <c r="G8" s="183" t="s">
        <v>48</v>
      </c>
      <c r="H8" s="130">
        <v>99373</v>
      </c>
      <c r="I8" s="122">
        <v>54</v>
      </c>
      <c r="J8" s="130">
        <v>496729</v>
      </c>
      <c r="K8" s="130">
        <v>7231923</v>
      </c>
      <c r="L8" s="183">
        <v>72.8</v>
      </c>
    </row>
    <row r="9" spans="1:12">
      <c r="B9" s="122" t="s">
        <v>42</v>
      </c>
      <c r="C9" s="124" t="s">
        <v>3</v>
      </c>
      <c r="D9" s="124">
        <v>10</v>
      </c>
      <c r="E9" s="124">
        <v>5</v>
      </c>
      <c r="F9" s="122" t="str">
        <f t="shared" si="0"/>
        <v>United StatesTotal10</v>
      </c>
      <c r="G9" s="183" t="s">
        <v>49</v>
      </c>
      <c r="H9" s="130">
        <v>99319</v>
      </c>
      <c r="I9" s="122">
        <v>81</v>
      </c>
      <c r="J9" s="130">
        <v>496390</v>
      </c>
      <c r="K9" s="130">
        <v>6735194</v>
      </c>
      <c r="L9" s="183">
        <v>67.8</v>
      </c>
    </row>
    <row r="10" spans="1:12">
      <c r="B10" s="122" t="s">
        <v>42</v>
      </c>
      <c r="C10" s="124" t="s">
        <v>3</v>
      </c>
      <c r="D10" s="124">
        <v>15</v>
      </c>
      <c r="E10" s="124">
        <v>5</v>
      </c>
      <c r="F10" s="122" t="str">
        <f t="shared" si="0"/>
        <v>United StatesTotal15</v>
      </c>
      <c r="G10" s="183" t="s">
        <v>50</v>
      </c>
      <c r="H10" s="130">
        <v>99237</v>
      </c>
      <c r="I10" s="122">
        <v>289</v>
      </c>
      <c r="J10" s="130">
        <v>495463</v>
      </c>
      <c r="K10" s="130">
        <v>6238804</v>
      </c>
      <c r="L10" s="183">
        <v>62.9</v>
      </c>
    </row>
    <row r="11" spans="1:12">
      <c r="B11" s="122" t="s">
        <v>42</v>
      </c>
      <c r="C11" s="124" t="s">
        <v>3</v>
      </c>
      <c r="D11" s="124">
        <v>20</v>
      </c>
      <c r="E11" s="124">
        <v>5</v>
      </c>
      <c r="F11" s="122" t="str">
        <f t="shared" si="0"/>
        <v>United StatesTotal20</v>
      </c>
      <c r="G11" s="183" t="s">
        <v>51</v>
      </c>
      <c r="H11" s="130">
        <v>98948</v>
      </c>
      <c r="I11" s="122">
        <v>536</v>
      </c>
      <c r="J11" s="130">
        <v>493399</v>
      </c>
      <c r="K11" s="130">
        <v>5743341</v>
      </c>
      <c r="L11" s="183">
        <v>58</v>
      </c>
    </row>
    <row r="12" spans="1:12">
      <c r="B12" s="122" t="s">
        <v>42</v>
      </c>
      <c r="C12" s="124" t="s">
        <v>3</v>
      </c>
      <c r="D12" s="124">
        <v>25</v>
      </c>
      <c r="E12" s="124">
        <v>5</v>
      </c>
      <c r="F12" s="122" t="str">
        <f t="shared" si="0"/>
        <v>United StatesTotal25</v>
      </c>
      <c r="G12" s="183" t="s">
        <v>52</v>
      </c>
      <c r="H12" s="130">
        <v>98412</v>
      </c>
      <c r="I12" s="122">
        <v>688</v>
      </c>
      <c r="J12" s="130">
        <v>490340</v>
      </c>
      <c r="K12" s="130">
        <v>5249942</v>
      </c>
      <c r="L12" s="183">
        <v>53.3</v>
      </c>
    </row>
    <row r="13" spans="1:12">
      <c r="B13" s="122" t="s">
        <v>42</v>
      </c>
      <c r="C13" s="124" t="s">
        <v>3</v>
      </c>
      <c r="D13" s="124">
        <v>30</v>
      </c>
      <c r="E13" s="124">
        <v>5</v>
      </c>
      <c r="F13" s="122" t="str">
        <f t="shared" si="0"/>
        <v>United StatesTotal30</v>
      </c>
      <c r="G13" s="183" t="s">
        <v>53</v>
      </c>
      <c r="H13" s="130">
        <v>97724</v>
      </c>
      <c r="I13" s="122">
        <v>867</v>
      </c>
      <c r="J13" s="130">
        <v>486452</v>
      </c>
      <c r="K13" s="130">
        <v>4759602</v>
      </c>
      <c r="L13" s="183">
        <v>48.7</v>
      </c>
    </row>
    <row r="14" spans="1:12">
      <c r="B14" s="122" t="s">
        <v>42</v>
      </c>
      <c r="C14" s="124" t="s">
        <v>3</v>
      </c>
      <c r="D14" s="124">
        <v>35</v>
      </c>
      <c r="E14" s="124">
        <v>5</v>
      </c>
      <c r="F14" s="122" t="str">
        <f t="shared" si="0"/>
        <v>United StatesTotal35</v>
      </c>
      <c r="G14" s="183" t="s">
        <v>54</v>
      </c>
      <c r="H14" s="130">
        <v>96857</v>
      </c>
      <c r="I14" s="130">
        <v>1058</v>
      </c>
      <c r="J14" s="130">
        <v>481639</v>
      </c>
      <c r="K14" s="130">
        <v>4273150</v>
      </c>
      <c r="L14" s="183">
        <v>44.1</v>
      </c>
    </row>
    <row r="15" spans="1:12">
      <c r="B15" s="122" t="s">
        <v>42</v>
      </c>
      <c r="C15" s="124" t="s">
        <v>3</v>
      </c>
      <c r="D15" s="124">
        <v>40</v>
      </c>
      <c r="E15" s="124">
        <v>5</v>
      </c>
      <c r="F15" s="122" t="str">
        <f t="shared" si="0"/>
        <v>United StatesTotal40</v>
      </c>
      <c r="G15" s="183" t="s">
        <v>55</v>
      </c>
      <c r="H15" s="130">
        <v>95799</v>
      </c>
      <c r="I15" s="130">
        <v>1317</v>
      </c>
      <c r="J15" s="130">
        <v>475702</v>
      </c>
      <c r="K15" s="130">
        <v>3791510</v>
      </c>
      <c r="L15" s="183">
        <v>39.6</v>
      </c>
    </row>
    <row r="16" spans="1:12">
      <c r="B16" s="122" t="s">
        <v>42</v>
      </c>
      <c r="C16" s="124" t="s">
        <v>3</v>
      </c>
      <c r="D16" s="124">
        <v>45</v>
      </c>
      <c r="E16" s="124">
        <v>5</v>
      </c>
      <c r="F16" s="122" t="str">
        <f t="shared" si="0"/>
        <v>United StatesTotal45</v>
      </c>
      <c r="G16" s="183" t="s">
        <v>56</v>
      </c>
      <c r="H16" s="130">
        <v>94482</v>
      </c>
      <c r="I16" s="130">
        <v>1785</v>
      </c>
      <c r="J16" s="130">
        <v>467945</v>
      </c>
      <c r="K16" s="130">
        <v>3315809</v>
      </c>
      <c r="L16" s="183">
        <v>35.1</v>
      </c>
    </row>
    <row r="17" spans="2:12">
      <c r="B17" s="122" t="s">
        <v>42</v>
      </c>
      <c r="C17" s="124" t="s">
        <v>3</v>
      </c>
      <c r="D17" s="124">
        <v>50</v>
      </c>
      <c r="E17" s="124">
        <v>5</v>
      </c>
      <c r="F17" s="122" t="str">
        <f t="shared" si="0"/>
        <v>United StatesTotal50</v>
      </c>
      <c r="G17" s="183" t="s">
        <v>57</v>
      </c>
      <c r="H17" s="130">
        <v>92696</v>
      </c>
      <c r="I17" s="130">
        <v>2562</v>
      </c>
      <c r="J17" s="130">
        <v>457076</v>
      </c>
      <c r="K17" s="130">
        <v>2847863</v>
      </c>
      <c r="L17" s="183">
        <v>30.7</v>
      </c>
    </row>
    <row r="18" spans="2:12">
      <c r="B18" s="122" t="s">
        <v>42</v>
      </c>
      <c r="C18" s="124" t="s">
        <v>3</v>
      </c>
      <c r="D18" s="124">
        <v>55</v>
      </c>
      <c r="E18" s="124">
        <v>5</v>
      </c>
      <c r="F18" s="122" t="str">
        <f t="shared" si="0"/>
        <v>United StatesTotal55</v>
      </c>
      <c r="G18" s="183" t="s">
        <v>58</v>
      </c>
      <c r="H18" s="130">
        <v>90134</v>
      </c>
      <c r="I18" s="130">
        <v>3732</v>
      </c>
      <c r="J18" s="130">
        <v>441341</v>
      </c>
      <c r="K18" s="130">
        <v>2390787</v>
      </c>
      <c r="L18" s="183">
        <v>26.5</v>
      </c>
    </row>
    <row r="19" spans="2:12">
      <c r="B19" s="122" t="s">
        <v>42</v>
      </c>
      <c r="C19" s="124" t="s">
        <v>3</v>
      </c>
      <c r="D19" s="124">
        <v>60</v>
      </c>
      <c r="E19" s="124">
        <v>5</v>
      </c>
      <c r="F19" s="122" t="str">
        <f t="shared" si="0"/>
        <v>United StatesTotal60</v>
      </c>
      <c r="G19" s="183" t="s">
        <v>59</v>
      </c>
      <c r="H19" s="130">
        <v>86402</v>
      </c>
      <c r="I19" s="130">
        <v>5166</v>
      </c>
      <c r="J19" s="130">
        <v>419096</v>
      </c>
      <c r="K19" s="130">
        <v>1949446</v>
      </c>
      <c r="L19" s="183">
        <v>22.6</v>
      </c>
    </row>
    <row r="20" spans="2:12">
      <c r="B20" s="122" t="s">
        <v>42</v>
      </c>
      <c r="C20" s="124" t="s">
        <v>3</v>
      </c>
      <c r="D20" s="124">
        <v>65</v>
      </c>
      <c r="E20" s="124">
        <v>5</v>
      </c>
      <c r="F20" s="122" t="str">
        <f t="shared" si="0"/>
        <v>United StatesTotal65</v>
      </c>
      <c r="G20" s="183" t="s">
        <v>60</v>
      </c>
      <c r="H20" s="130">
        <v>81236</v>
      </c>
      <c r="I20" s="130">
        <v>6651</v>
      </c>
      <c r="J20" s="130">
        <v>389554</v>
      </c>
      <c r="K20" s="130">
        <v>1530350</v>
      </c>
      <c r="L20" s="183">
        <v>18.8</v>
      </c>
    </row>
    <row r="21" spans="2:12">
      <c r="B21" s="122" t="s">
        <v>42</v>
      </c>
      <c r="C21" s="124" t="s">
        <v>3</v>
      </c>
      <c r="D21" s="124">
        <v>70</v>
      </c>
      <c r="E21" s="124">
        <v>5</v>
      </c>
      <c r="F21" s="122" t="str">
        <f t="shared" si="0"/>
        <v>United StatesTotal70</v>
      </c>
      <c r="G21" s="183" t="s">
        <v>61</v>
      </c>
      <c r="H21" s="130">
        <v>74585</v>
      </c>
      <c r="I21" s="130">
        <v>8773</v>
      </c>
      <c r="J21" s="130">
        <v>350994</v>
      </c>
      <c r="K21" s="130">
        <v>1140796</v>
      </c>
      <c r="L21" s="183">
        <v>15.3</v>
      </c>
    </row>
    <row r="22" spans="2:12">
      <c r="B22" s="122" t="s">
        <v>42</v>
      </c>
      <c r="C22" s="124" t="s">
        <v>3</v>
      </c>
      <c r="D22" s="124">
        <v>75</v>
      </c>
      <c r="E22" s="124">
        <v>5</v>
      </c>
      <c r="F22" s="122" t="str">
        <f t="shared" si="0"/>
        <v>United StatesTotal75</v>
      </c>
      <c r="G22" s="183" t="s">
        <v>62</v>
      </c>
      <c r="H22" s="130">
        <v>65812</v>
      </c>
      <c r="I22" s="130">
        <v>11883</v>
      </c>
      <c r="J22" s="130">
        <v>299354</v>
      </c>
      <c r="K22" s="130">
        <v>789803</v>
      </c>
      <c r="L22" s="183">
        <v>12</v>
      </c>
    </row>
    <row r="23" spans="2:12">
      <c r="B23" s="122" t="s">
        <v>42</v>
      </c>
      <c r="C23" s="124" t="s">
        <v>3</v>
      </c>
      <c r="D23" s="124">
        <v>80</v>
      </c>
      <c r="E23" s="124">
        <v>5</v>
      </c>
      <c r="F23" s="122" t="str">
        <f t="shared" si="0"/>
        <v>United StatesTotal80</v>
      </c>
      <c r="G23" s="183" t="s">
        <v>63</v>
      </c>
      <c r="H23" s="130">
        <v>53929</v>
      </c>
      <c r="I23" s="130">
        <v>15110</v>
      </c>
      <c r="J23" s="130">
        <v>231873</v>
      </c>
      <c r="K23" s="130">
        <v>490448</v>
      </c>
      <c r="L23" s="183">
        <v>9.1</v>
      </c>
    </row>
    <row r="24" spans="2:12">
      <c r="B24" s="122" t="s">
        <v>42</v>
      </c>
      <c r="C24" s="124" t="s">
        <v>3</v>
      </c>
      <c r="D24" s="124">
        <v>85</v>
      </c>
      <c r="E24" s="124" t="s">
        <v>37</v>
      </c>
      <c r="F24" s="122" t="str">
        <f t="shared" si="0"/>
        <v>United StatesTotal85</v>
      </c>
      <c r="G24" s="183" t="s">
        <v>64</v>
      </c>
      <c r="H24" s="130">
        <v>38820</v>
      </c>
      <c r="I24" s="130">
        <v>38820</v>
      </c>
      <c r="J24" s="130">
        <v>258575</v>
      </c>
      <c r="K24" s="130">
        <v>258575</v>
      </c>
      <c r="L24" s="183">
        <v>6.7</v>
      </c>
    </row>
    <row r="25" spans="2:12">
      <c r="H25" s="130"/>
      <c r="I25" s="130"/>
      <c r="J25" s="130"/>
      <c r="K25" s="130"/>
    </row>
    <row r="26" spans="2:12">
      <c r="B26" s="139" t="s">
        <v>68</v>
      </c>
      <c r="E26" s="161"/>
      <c r="F26" s="139"/>
    </row>
    <row r="27" spans="2:12">
      <c r="B27" s="139" t="s">
        <v>89</v>
      </c>
      <c r="E27" s="161"/>
      <c r="F27" s="139"/>
    </row>
    <row r="28" spans="2:12" ht="48.6">
      <c r="G28" s="186" t="s">
        <v>306</v>
      </c>
      <c r="H28" s="186" t="s">
        <v>307</v>
      </c>
      <c r="I28" s="186" t="s">
        <v>308</v>
      </c>
      <c r="J28" s="186" t="s">
        <v>309</v>
      </c>
      <c r="K28" s="186" t="s">
        <v>310</v>
      </c>
      <c r="L28" s="186" t="s">
        <v>311</v>
      </c>
    </row>
    <row r="29" spans="2:12">
      <c r="B29" s="141" t="s">
        <v>1</v>
      </c>
      <c r="C29" s="162" t="s">
        <v>0</v>
      </c>
      <c r="D29" s="162" t="s">
        <v>70</v>
      </c>
      <c r="E29" s="162" t="s">
        <v>5</v>
      </c>
      <c r="F29" s="162" t="s">
        <v>36</v>
      </c>
      <c r="G29" s="185" t="s">
        <v>120</v>
      </c>
      <c r="H29" s="185" t="s">
        <v>153</v>
      </c>
      <c r="I29" s="185" t="s">
        <v>152</v>
      </c>
      <c r="J29" s="185" t="s">
        <v>154</v>
      </c>
      <c r="K29" s="185" t="s">
        <v>155</v>
      </c>
      <c r="L29" s="185" t="s">
        <v>38</v>
      </c>
    </row>
    <row r="30" spans="2:12">
      <c r="B30" s="122" t="s">
        <v>42</v>
      </c>
      <c r="C30" s="124" t="s">
        <v>35</v>
      </c>
      <c r="D30" s="124">
        <v>0</v>
      </c>
      <c r="E30" s="124">
        <v>1</v>
      </c>
      <c r="F30" s="122" t="str">
        <f>_xlfn.CONCAT(B30,C30,D30)</f>
        <v>United StatesFemale0</v>
      </c>
      <c r="G30" s="183" t="s">
        <v>90</v>
      </c>
      <c r="H30" s="130">
        <v>100000</v>
      </c>
      <c r="I30" s="122">
        <v>490</v>
      </c>
      <c r="J30" s="130">
        <v>99559</v>
      </c>
      <c r="K30" s="130">
        <v>8017554</v>
      </c>
      <c r="L30" s="183">
        <v>80.2</v>
      </c>
    </row>
    <row r="31" spans="2:12">
      <c r="B31" s="122" t="s">
        <v>42</v>
      </c>
      <c r="C31" s="124" t="s">
        <v>35</v>
      </c>
      <c r="D31" s="124">
        <v>1</v>
      </c>
      <c r="E31" s="124">
        <v>4</v>
      </c>
      <c r="F31" s="122" t="str">
        <f t="shared" ref="F31:F48" si="1">_xlfn.CONCAT(B31,C31,D31)</f>
        <v>United StatesFemale1</v>
      </c>
      <c r="G31" s="183" t="s">
        <v>91</v>
      </c>
      <c r="H31" s="130">
        <v>99510</v>
      </c>
      <c r="I31" s="122">
        <v>78</v>
      </c>
      <c r="J31" s="130">
        <v>397883</v>
      </c>
      <c r="K31" s="130">
        <v>7917995</v>
      </c>
      <c r="L31" s="183">
        <v>79.599999999999994</v>
      </c>
    </row>
    <row r="32" spans="2:12">
      <c r="B32" s="122" t="s">
        <v>42</v>
      </c>
      <c r="C32" s="124" t="s">
        <v>35</v>
      </c>
      <c r="D32" s="124">
        <v>5</v>
      </c>
      <c r="E32" s="124">
        <v>5</v>
      </c>
      <c r="F32" s="122" t="str">
        <f t="shared" si="1"/>
        <v>United StatesFemale5</v>
      </c>
      <c r="G32" s="183" t="s">
        <v>92</v>
      </c>
      <c r="H32" s="130">
        <v>99432</v>
      </c>
      <c r="I32" s="122">
        <v>48</v>
      </c>
      <c r="J32" s="130">
        <v>497037</v>
      </c>
      <c r="K32" s="130">
        <v>7520112</v>
      </c>
      <c r="L32" s="183">
        <v>75.599999999999994</v>
      </c>
    </row>
    <row r="33" spans="2:12">
      <c r="B33" s="122" t="s">
        <v>42</v>
      </c>
      <c r="C33" s="124" t="s">
        <v>35</v>
      </c>
      <c r="D33" s="124">
        <v>10</v>
      </c>
      <c r="E33" s="124">
        <v>5</v>
      </c>
      <c r="F33" s="122" t="str">
        <f t="shared" si="1"/>
        <v>United StatesFemale10</v>
      </c>
      <c r="G33" s="183" t="s">
        <v>93</v>
      </c>
      <c r="H33" s="130">
        <v>99383</v>
      </c>
      <c r="I33" s="122">
        <v>63</v>
      </c>
      <c r="J33" s="130">
        <v>496758</v>
      </c>
      <c r="K33" s="130">
        <v>7023075</v>
      </c>
      <c r="L33" s="183">
        <v>70.7</v>
      </c>
    </row>
    <row r="34" spans="2:12">
      <c r="B34" s="122" t="s">
        <v>42</v>
      </c>
      <c r="C34" s="124" t="s">
        <v>35</v>
      </c>
      <c r="D34" s="124">
        <v>15</v>
      </c>
      <c r="E34" s="124">
        <v>5</v>
      </c>
      <c r="F34" s="122" t="str">
        <f t="shared" si="1"/>
        <v>United StatesFemale15</v>
      </c>
      <c r="G34" s="183" t="s">
        <v>94</v>
      </c>
      <c r="H34" s="130">
        <v>99320</v>
      </c>
      <c r="I34" s="122">
        <v>160</v>
      </c>
      <c r="J34" s="130">
        <v>496199</v>
      </c>
      <c r="K34" s="130">
        <v>6526317</v>
      </c>
      <c r="L34" s="183">
        <v>65.7</v>
      </c>
    </row>
    <row r="35" spans="2:12">
      <c r="B35" s="122" t="s">
        <v>42</v>
      </c>
      <c r="C35" s="124" t="s">
        <v>35</v>
      </c>
      <c r="D35" s="124">
        <v>20</v>
      </c>
      <c r="E35" s="124">
        <v>5</v>
      </c>
      <c r="F35" s="122" t="str">
        <f t="shared" si="1"/>
        <v>United StatesFemale20</v>
      </c>
      <c r="G35" s="183" t="s">
        <v>95</v>
      </c>
      <c r="H35" s="130">
        <v>99160</v>
      </c>
      <c r="I35" s="122">
        <v>281</v>
      </c>
      <c r="J35" s="130">
        <v>495097</v>
      </c>
      <c r="K35" s="130">
        <v>6030119</v>
      </c>
      <c r="L35" s="183">
        <v>60.8</v>
      </c>
    </row>
    <row r="36" spans="2:12">
      <c r="B36" s="122" t="s">
        <v>42</v>
      </c>
      <c r="C36" s="124" t="s">
        <v>35</v>
      </c>
      <c r="D36" s="124">
        <v>25</v>
      </c>
      <c r="E36" s="124">
        <v>5</v>
      </c>
      <c r="F36" s="122" t="str">
        <f t="shared" si="1"/>
        <v>United StatesFemale25</v>
      </c>
      <c r="G36" s="183" t="s">
        <v>96</v>
      </c>
      <c r="H36" s="130">
        <v>98879</v>
      </c>
      <c r="I36" s="122">
        <v>396</v>
      </c>
      <c r="J36" s="130">
        <v>493405</v>
      </c>
      <c r="K36" s="130">
        <v>5535022</v>
      </c>
      <c r="L36" s="183">
        <v>56</v>
      </c>
    </row>
    <row r="37" spans="2:12">
      <c r="B37" s="122" t="s">
        <v>42</v>
      </c>
      <c r="C37" s="124" t="s">
        <v>35</v>
      </c>
      <c r="D37" s="124">
        <v>30</v>
      </c>
      <c r="E37" s="124">
        <v>5</v>
      </c>
      <c r="F37" s="122" t="str">
        <f t="shared" si="1"/>
        <v>United StatesFemale30</v>
      </c>
      <c r="G37" s="183" t="s">
        <v>97</v>
      </c>
      <c r="H37" s="130">
        <v>98483</v>
      </c>
      <c r="I37" s="122">
        <v>544</v>
      </c>
      <c r="J37" s="130">
        <v>491055</v>
      </c>
      <c r="K37" s="130">
        <v>5041617</v>
      </c>
      <c r="L37" s="183">
        <v>51.2</v>
      </c>
    </row>
    <row r="38" spans="2:12">
      <c r="B38" s="122" t="s">
        <v>42</v>
      </c>
      <c r="C38" s="124" t="s">
        <v>35</v>
      </c>
      <c r="D38" s="124">
        <v>35</v>
      </c>
      <c r="E38" s="124">
        <v>5</v>
      </c>
      <c r="F38" s="122" t="str">
        <f t="shared" si="1"/>
        <v>United StatesFemale35</v>
      </c>
      <c r="G38" s="183" t="s">
        <v>98</v>
      </c>
      <c r="H38" s="130">
        <v>97939</v>
      </c>
      <c r="I38" s="122">
        <v>715</v>
      </c>
      <c r="J38" s="130">
        <v>487906</v>
      </c>
      <c r="K38" s="130">
        <v>4550561</v>
      </c>
      <c r="L38" s="183">
        <v>46.5</v>
      </c>
    </row>
    <row r="39" spans="2:12">
      <c r="B39" s="122" t="s">
        <v>42</v>
      </c>
      <c r="C39" s="124" t="s">
        <v>35</v>
      </c>
      <c r="D39" s="124">
        <v>40</v>
      </c>
      <c r="E39" s="124">
        <v>5</v>
      </c>
      <c r="F39" s="122" t="str">
        <f t="shared" si="1"/>
        <v>United StatesFemale40</v>
      </c>
      <c r="G39" s="183" t="s">
        <v>99</v>
      </c>
      <c r="H39" s="130">
        <v>97224</v>
      </c>
      <c r="I39" s="122">
        <v>945</v>
      </c>
      <c r="J39" s="130">
        <v>483756</v>
      </c>
      <c r="K39" s="130">
        <v>4062655</v>
      </c>
      <c r="L39" s="183">
        <v>41.8</v>
      </c>
    </row>
    <row r="40" spans="2:12">
      <c r="B40" s="122" t="s">
        <v>42</v>
      </c>
      <c r="C40" s="124" t="s">
        <v>35</v>
      </c>
      <c r="D40" s="124">
        <v>45</v>
      </c>
      <c r="E40" s="124">
        <v>5</v>
      </c>
      <c r="F40" s="122" t="str">
        <f t="shared" si="1"/>
        <v>United StatesFemale45</v>
      </c>
      <c r="G40" s="183" t="s">
        <v>100</v>
      </c>
      <c r="H40" s="130">
        <v>96279</v>
      </c>
      <c r="I40" s="130">
        <v>1334</v>
      </c>
      <c r="J40" s="130">
        <v>478058</v>
      </c>
      <c r="K40" s="130">
        <v>3578899</v>
      </c>
      <c r="L40" s="183">
        <v>37.200000000000003</v>
      </c>
    </row>
    <row r="41" spans="2:12">
      <c r="B41" s="122" t="s">
        <v>42</v>
      </c>
      <c r="C41" s="124" t="s">
        <v>35</v>
      </c>
      <c r="D41" s="124">
        <v>50</v>
      </c>
      <c r="E41" s="124">
        <v>5</v>
      </c>
      <c r="F41" s="122" t="str">
        <f t="shared" si="1"/>
        <v>United StatesFemale50</v>
      </c>
      <c r="G41" s="183" t="s">
        <v>101</v>
      </c>
      <c r="H41" s="130">
        <v>94944</v>
      </c>
      <c r="I41" s="130">
        <v>1948</v>
      </c>
      <c r="J41" s="130">
        <v>469851</v>
      </c>
      <c r="K41" s="130">
        <v>3100841</v>
      </c>
      <c r="L41" s="183">
        <v>32.700000000000003</v>
      </c>
    </row>
    <row r="42" spans="2:12">
      <c r="B42" s="122" t="s">
        <v>42</v>
      </c>
      <c r="C42" s="124" t="s">
        <v>35</v>
      </c>
      <c r="D42" s="124">
        <v>55</v>
      </c>
      <c r="E42" s="124">
        <v>5</v>
      </c>
      <c r="F42" s="122" t="str">
        <f t="shared" si="1"/>
        <v>United StatesFemale55</v>
      </c>
      <c r="G42" s="183" t="s">
        <v>102</v>
      </c>
      <c r="H42" s="130">
        <v>92996</v>
      </c>
      <c r="I42" s="130">
        <v>2864</v>
      </c>
      <c r="J42" s="130">
        <v>457820</v>
      </c>
      <c r="K42" s="130">
        <v>2630990</v>
      </c>
      <c r="L42" s="183">
        <v>28.3</v>
      </c>
    </row>
    <row r="43" spans="2:12">
      <c r="B43" s="122" t="s">
        <v>42</v>
      </c>
      <c r="C43" s="124" t="s">
        <v>35</v>
      </c>
      <c r="D43" s="124">
        <v>60</v>
      </c>
      <c r="E43" s="124">
        <v>5</v>
      </c>
      <c r="F43" s="122" t="str">
        <f t="shared" si="1"/>
        <v>United StatesFemale60</v>
      </c>
      <c r="G43" s="183" t="s">
        <v>103</v>
      </c>
      <c r="H43" s="130">
        <v>90132</v>
      </c>
      <c r="I43" s="130">
        <v>4051</v>
      </c>
      <c r="J43" s="130">
        <v>440534</v>
      </c>
      <c r="K43" s="130">
        <v>2173170</v>
      </c>
      <c r="L43" s="183">
        <v>24.1</v>
      </c>
    </row>
    <row r="44" spans="2:12">
      <c r="B44" s="122" t="s">
        <v>42</v>
      </c>
      <c r="C44" s="124" t="s">
        <v>35</v>
      </c>
      <c r="D44" s="124">
        <v>65</v>
      </c>
      <c r="E44" s="124">
        <v>5</v>
      </c>
      <c r="F44" s="122" t="str">
        <f t="shared" si="1"/>
        <v>United StatesFemale65</v>
      </c>
      <c r="G44" s="183" t="s">
        <v>104</v>
      </c>
      <c r="H44" s="130">
        <v>86081</v>
      </c>
      <c r="I44" s="130">
        <v>5418</v>
      </c>
      <c r="J44" s="130">
        <v>416863</v>
      </c>
      <c r="K44" s="130">
        <v>1732636</v>
      </c>
      <c r="L44" s="183">
        <v>20.100000000000001</v>
      </c>
    </row>
    <row r="45" spans="2:12">
      <c r="B45" s="122" t="s">
        <v>42</v>
      </c>
      <c r="C45" s="124" t="s">
        <v>35</v>
      </c>
      <c r="D45" s="124">
        <v>70</v>
      </c>
      <c r="E45" s="124">
        <v>5</v>
      </c>
      <c r="F45" s="122" t="str">
        <f t="shared" si="1"/>
        <v>United StatesFemale70</v>
      </c>
      <c r="G45" s="183" t="s">
        <v>105</v>
      </c>
      <c r="H45" s="130">
        <v>80664</v>
      </c>
      <c r="I45" s="130">
        <v>7716</v>
      </c>
      <c r="J45" s="130">
        <v>384029</v>
      </c>
      <c r="K45" s="130">
        <v>1315774</v>
      </c>
      <c r="L45" s="183">
        <v>16.3</v>
      </c>
    </row>
    <row r="46" spans="2:12">
      <c r="B46" s="122" t="s">
        <v>42</v>
      </c>
      <c r="C46" s="124" t="s">
        <v>35</v>
      </c>
      <c r="D46" s="124">
        <v>75</v>
      </c>
      <c r="E46" s="124">
        <v>5</v>
      </c>
      <c r="F46" s="122" t="str">
        <f t="shared" si="1"/>
        <v>United StatesFemale75</v>
      </c>
      <c r="G46" s="183" t="s">
        <v>106</v>
      </c>
      <c r="H46" s="130">
        <v>72948</v>
      </c>
      <c r="I46" s="130">
        <v>11106</v>
      </c>
      <c r="J46" s="130">
        <v>336975</v>
      </c>
      <c r="K46" s="130">
        <v>931745</v>
      </c>
      <c r="L46" s="183">
        <v>12.8</v>
      </c>
    </row>
    <row r="47" spans="2:12">
      <c r="B47" s="122" t="s">
        <v>42</v>
      </c>
      <c r="C47" s="124" t="s">
        <v>35</v>
      </c>
      <c r="D47" s="124">
        <v>80</v>
      </c>
      <c r="E47" s="124">
        <v>5</v>
      </c>
      <c r="F47" s="122" t="str">
        <f t="shared" si="1"/>
        <v>United StatesFemale80</v>
      </c>
      <c r="G47" s="183" t="s">
        <v>107</v>
      </c>
      <c r="H47" s="130">
        <v>61842</v>
      </c>
      <c r="I47" s="130">
        <v>15289</v>
      </c>
      <c r="J47" s="130">
        <v>270988</v>
      </c>
      <c r="K47" s="130">
        <v>594771</v>
      </c>
      <c r="L47" s="183">
        <v>9.6</v>
      </c>
    </row>
    <row r="48" spans="2:12">
      <c r="B48" s="122" t="s">
        <v>42</v>
      </c>
      <c r="C48" s="124" t="s">
        <v>35</v>
      </c>
      <c r="D48" s="124">
        <v>85</v>
      </c>
      <c r="E48" s="124" t="s">
        <v>37</v>
      </c>
      <c r="F48" s="122" t="str">
        <f t="shared" si="1"/>
        <v>United StatesFemale85</v>
      </c>
      <c r="G48" s="183" t="s">
        <v>64</v>
      </c>
      <c r="H48" s="130">
        <v>46553</v>
      </c>
      <c r="I48" s="130">
        <v>46553</v>
      </c>
      <c r="J48" s="130">
        <v>323783</v>
      </c>
      <c r="K48" s="130">
        <v>323783</v>
      </c>
      <c r="L48" s="183">
        <v>7</v>
      </c>
    </row>
    <row r="49" spans="2:12">
      <c r="I49" s="130"/>
      <c r="J49" s="130"/>
      <c r="K49" s="130"/>
      <c r="L49" s="184"/>
    </row>
    <row r="50" spans="2:12">
      <c r="B50" s="139" t="s">
        <v>68</v>
      </c>
      <c r="E50" s="161"/>
      <c r="F50" s="139"/>
    </row>
    <row r="51" spans="2:12">
      <c r="B51" s="139" t="s">
        <v>69</v>
      </c>
      <c r="E51" s="161"/>
      <c r="F51" s="139"/>
    </row>
    <row r="52" spans="2:12" ht="63.45" customHeight="1">
      <c r="G52" s="186" t="s">
        <v>306</v>
      </c>
      <c r="H52" s="186" t="s">
        <v>307</v>
      </c>
      <c r="I52" s="186" t="s">
        <v>308</v>
      </c>
      <c r="J52" s="186" t="s">
        <v>309</v>
      </c>
      <c r="K52" s="186" t="s">
        <v>310</v>
      </c>
      <c r="L52" s="186" t="s">
        <v>311</v>
      </c>
    </row>
    <row r="53" spans="2:12">
      <c r="B53" s="141" t="s">
        <v>1</v>
      </c>
      <c r="C53" s="162" t="s">
        <v>0</v>
      </c>
      <c r="D53" s="162" t="s">
        <v>70</v>
      </c>
      <c r="E53" s="162" t="s">
        <v>5</v>
      </c>
      <c r="F53" s="162" t="s">
        <v>36</v>
      </c>
      <c r="G53" s="185" t="s">
        <v>120</v>
      </c>
      <c r="H53" s="185" t="s">
        <v>153</v>
      </c>
      <c r="I53" s="185" t="s">
        <v>152</v>
      </c>
      <c r="J53" s="185" t="s">
        <v>154</v>
      </c>
      <c r="K53" s="185" t="s">
        <v>155</v>
      </c>
      <c r="L53" s="185" t="s">
        <v>38</v>
      </c>
    </row>
    <row r="54" spans="2:12">
      <c r="B54" s="122" t="s">
        <v>42</v>
      </c>
      <c r="C54" s="124" t="s">
        <v>34</v>
      </c>
      <c r="D54" s="124">
        <v>0</v>
      </c>
      <c r="E54" s="124">
        <v>1</v>
      </c>
      <c r="F54" s="122" t="str">
        <f>_xlfn.CONCAT(B54,C54,D54)</f>
        <v>United StatesMale0</v>
      </c>
      <c r="G54" s="183" t="s">
        <v>71</v>
      </c>
      <c r="H54" s="130">
        <v>100000</v>
      </c>
      <c r="I54" s="122">
        <v>582</v>
      </c>
      <c r="J54" s="130">
        <v>99476</v>
      </c>
      <c r="K54" s="130">
        <v>7448505</v>
      </c>
      <c r="L54" s="183">
        <v>74.5</v>
      </c>
    </row>
    <row r="55" spans="2:12">
      <c r="B55" s="122" t="s">
        <v>42</v>
      </c>
      <c r="C55" s="124" t="s">
        <v>34</v>
      </c>
      <c r="D55" s="124">
        <v>1</v>
      </c>
      <c r="E55" s="124">
        <v>4</v>
      </c>
      <c r="F55" s="122" t="str">
        <f t="shared" ref="F55:F72" si="2">_xlfn.CONCAT(B55,C55,D55)</f>
        <v>United StatesMale1</v>
      </c>
      <c r="G55" s="183" t="s">
        <v>72</v>
      </c>
      <c r="H55" s="130">
        <v>99418</v>
      </c>
      <c r="I55" s="122">
        <v>101</v>
      </c>
      <c r="J55" s="130">
        <v>397469</v>
      </c>
      <c r="K55" s="130">
        <v>7349029</v>
      </c>
      <c r="L55" s="183">
        <v>73.900000000000006</v>
      </c>
    </row>
    <row r="56" spans="2:12">
      <c r="B56" s="122" t="s">
        <v>42</v>
      </c>
      <c r="C56" s="124" t="s">
        <v>34</v>
      </c>
      <c r="D56" s="124">
        <v>5</v>
      </c>
      <c r="E56" s="124">
        <v>5</v>
      </c>
      <c r="F56" s="122" t="str">
        <f t="shared" si="2"/>
        <v>United StatesMale5</v>
      </c>
      <c r="G56" s="183" t="s">
        <v>73</v>
      </c>
      <c r="H56" s="130">
        <v>99317</v>
      </c>
      <c r="I56" s="122">
        <v>60</v>
      </c>
      <c r="J56" s="130">
        <v>496435</v>
      </c>
      <c r="K56" s="130">
        <v>6951561</v>
      </c>
      <c r="L56" s="183">
        <v>70</v>
      </c>
    </row>
    <row r="57" spans="2:12">
      <c r="B57" s="122" t="s">
        <v>42</v>
      </c>
      <c r="C57" s="124" t="s">
        <v>34</v>
      </c>
      <c r="D57" s="124">
        <v>10</v>
      </c>
      <c r="E57" s="124">
        <v>5</v>
      </c>
      <c r="F57" s="122" t="str">
        <f t="shared" si="2"/>
        <v>United StatesMale10</v>
      </c>
      <c r="G57" s="183" t="s">
        <v>74</v>
      </c>
      <c r="H57" s="130">
        <v>99257</v>
      </c>
      <c r="I57" s="122">
        <v>99</v>
      </c>
      <c r="J57" s="130">
        <v>496039</v>
      </c>
      <c r="K57" s="130">
        <v>6455126</v>
      </c>
      <c r="L57" s="183">
        <v>65</v>
      </c>
    </row>
    <row r="58" spans="2:12">
      <c r="B58" s="122" t="s">
        <v>42</v>
      </c>
      <c r="C58" s="124" t="s">
        <v>34</v>
      </c>
      <c r="D58" s="124">
        <v>15</v>
      </c>
      <c r="E58" s="124">
        <v>5</v>
      </c>
      <c r="F58" s="122" t="str">
        <f t="shared" si="2"/>
        <v>United StatesMale15</v>
      </c>
      <c r="G58" s="183" t="s">
        <v>75</v>
      </c>
      <c r="H58" s="130">
        <v>99158</v>
      </c>
      <c r="I58" s="122">
        <v>413</v>
      </c>
      <c r="J58" s="130">
        <v>494759</v>
      </c>
      <c r="K58" s="130">
        <v>5959087</v>
      </c>
      <c r="L58" s="183">
        <v>60.1</v>
      </c>
    </row>
    <row r="59" spans="2:12">
      <c r="B59" s="122" t="s">
        <v>42</v>
      </c>
      <c r="C59" s="124" t="s">
        <v>34</v>
      </c>
      <c r="D59" s="124">
        <v>20</v>
      </c>
      <c r="E59" s="124">
        <v>5</v>
      </c>
      <c r="F59" s="122" t="str">
        <f t="shared" si="2"/>
        <v>United StatesMale20</v>
      </c>
      <c r="G59" s="183" t="s">
        <v>76</v>
      </c>
      <c r="H59" s="130">
        <v>98745</v>
      </c>
      <c r="I59" s="122">
        <v>779</v>
      </c>
      <c r="J59" s="130">
        <v>491780</v>
      </c>
      <c r="K59" s="130">
        <v>5464328</v>
      </c>
      <c r="L59" s="183">
        <v>55.3</v>
      </c>
    </row>
    <row r="60" spans="2:12">
      <c r="B60" s="122" t="s">
        <v>42</v>
      </c>
      <c r="C60" s="124" t="s">
        <v>34</v>
      </c>
      <c r="D60" s="124">
        <v>25</v>
      </c>
      <c r="E60" s="124">
        <v>5</v>
      </c>
      <c r="F60" s="122" t="str">
        <f t="shared" si="2"/>
        <v>United StatesMale25</v>
      </c>
      <c r="G60" s="183" t="s">
        <v>77</v>
      </c>
      <c r="H60" s="130">
        <v>97967</v>
      </c>
      <c r="I60" s="122">
        <v>964</v>
      </c>
      <c r="J60" s="130">
        <v>487424</v>
      </c>
      <c r="K60" s="130">
        <v>4972548</v>
      </c>
      <c r="L60" s="183">
        <v>50.8</v>
      </c>
    </row>
    <row r="61" spans="2:12">
      <c r="B61" s="122" t="s">
        <v>42</v>
      </c>
      <c r="C61" s="124" t="s">
        <v>34</v>
      </c>
      <c r="D61" s="124">
        <v>30</v>
      </c>
      <c r="E61" s="124">
        <v>5</v>
      </c>
      <c r="F61" s="122" t="str">
        <f t="shared" si="2"/>
        <v>United StatesMale30</v>
      </c>
      <c r="G61" s="183" t="s">
        <v>78</v>
      </c>
      <c r="H61" s="130">
        <v>97003</v>
      </c>
      <c r="I61" s="130">
        <v>1176</v>
      </c>
      <c r="J61" s="130">
        <v>482075</v>
      </c>
      <c r="K61" s="130">
        <v>4485124</v>
      </c>
      <c r="L61" s="183">
        <v>46.2</v>
      </c>
    </row>
    <row r="62" spans="2:12">
      <c r="B62" s="122" t="s">
        <v>42</v>
      </c>
      <c r="C62" s="124" t="s">
        <v>34</v>
      </c>
      <c r="D62" s="124">
        <v>35</v>
      </c>
      <c r="E62" s="124">
        <v>5</v>
      </c>
      <c r="F62" s="122" t="str">
        <f t="shared" si="2"/>
        <v>United StatesMale35</v>
      </c>
      <c r="G62" s="183" t="s">
        <v>79</v>
      </c>
      <c r="H62" s="130">
        <v>95827</v>
      </c>
      <c r="I62" s="130">
        <v>1391</v>
      </c>
      <c r="J62" s="130">
        <v>475658</v>
      </c>
      <c r="K62" s="130">
        <v>4003049</v>
      </c>
      <c r="L62" s="183">
        <v>41.8</v>
      </c>
    </row>
    <row r="63" spans="2:12">
      <c r="B63" s="122" t="s">
        <v>42</v>
      </c>
      <c r="C63" s="124" t="s">
        <v>34</v>
      </c>
      <c r="D63" s="124">
        <v>40</v>
      </c>
      <c r="E63" s="124">
        <v>5</v>
      </c>
      <c r="F63" s="122" t="str">
        <f t="shared" si="2"/>
        <v>United StatesMale40</v>
      </c>
      <c r="G63" s="183" t="s">
        <v>80</v>
      </c>
      <c r="H63" s="130">
        <v>94436</v>
      </c>
      <c r="I63" s="130">
        <v>1681</v>
      </c>
      <c r="J63" s="130">
        <v>467979</v>
      </c>
      <c r="K63" s="130">
        <v>3527392</v>
      </c>
      <c r="L63" s="183">
        <v>37.4</v>
      </c>
    </row>
    <row r="64" spans="2:12">
      <c r="B64" s="122" t="s">
        <v>42</v>
      </c>
      <c r="C64" s="124" t="s">
        <v>34</v>
      </c>
      <c r="D64" s="124">
        <v>45</v>
      </c>
      <c r="E64" s="124">
        <v>5</v>
      </c>
      <c r="F64" s="122" t="str">
        <f t="shared" si="2"/>
        <v>United StatesMale45</v>
      </c>
      <c r="G64" s="183" t="s">
        <v>81</v>
      </c>
      <c r="H64" s="130">
        <v>92755</v>
      </c>
      <c r="I64" s="130">
        <v>2228</v>
      </c>
      <c r="J64" s="130">
        <v>458206</v>
      </c>
      <c r="K64" s="130">
        <v>3059412</v>
      </c>
      <c r="L64" s="183">
        <v>33</v>
      </c>
    </row>
    <row r="65" spans="2:12">
      <c r="B65" s="122" t="s">
        <v>42</v>
      </c>
      <c r="C65" s="124" t="s">
        <v>34</v>
      </c>
      <c r="D65" s="124">
        <v>50</v>
      </c>
      <c r="E65" s="124">
        <v>5</v>
      </c>
      <c r="F65" s="122" t="str">
        <f t="shared" si="2"/>
        <v>United StatesMale50</v>
      </c>
      <c r="G65" s="183" t="s">
        <v>82</v>
      </c>
      <c r="H65" s="130">
        <v>90527</v>
      </c>
      <c r="I65" s="130">
        <v>3160</v>
      </c>
      <c r="J65" s="130">
        <v>444734</v>
      </c>
      <c r="K65" s="130">
        <v>2601206</v>
      </c>
      <c r="L65" s="183">
        <v>28.7</v>
      </c>
    </row>
    <row r="66" spans="2:12">
      <c r="B66" s="122" t="s">
        <v>42</v>
      </c>
      <c r="C66" s="124" t="s">
        <v>34</v>
      </c>
      <c r="D66" s="124">
        <v>55</v>
      </c>
      <c r="E66" s="124">
        <v>5</v>
      </c>
      <c r="F66" s="122" t="str">
        <f t="shared" si="2"/>
        <v>United StatesMale55</v>
      </c>
      <c r="G66" s="183" t="s">
        <v>83</v>
      </c>
      <c r="H66" s="130">
        <v>87367</v>
      </c>
      <c r="I66" s="130">
        <v>4584</v>
      </c>
      <c r="J66" s="130">
        <v>425372</v>
      </c>
      <c r="K66" s="130">
        <v>2156472</v>
      </c>
      <c r="L66" s="183">
        <v>24.7</v>
      </c>
    </row>
    <row r="67" spans="2:12">
      <c r="B67" s="122" t="s">
        <v>42</v>
      </c>
      <c r="C67" s="124" t="s">
        <v>34</v>
      </c>
      <c r="D67" s="124">
        <v>60</v>
      </c>
      <c r="E67" s="124">
        <v>5</v>
      </c>
      <c r="F67" s="122" t="str">
        <f t="shared" si="2"/>
        <v>United StatesMale60</v>
      </c>
      <c r="G67" s="183" t="s">
        <v>84</v>
      </c>
      <c r="H67" s="130">
        <v>82782</v>
      </c>
      <c r="I67" s="130">
        <v>6261</v>
      </c>
      <c r="J67" s="130">
        <v>398258</v>
      </c>
      <c r="K67" s="130">
        <v>1731100</v>
      </c>
      <c r="L67" s="183">
        <v>20.9</v>
      </c>
    </row>
    <row r="68" spans="2:12">
      <c r="B68" s="122" t="s">
        <v>42</v>
      </c>
      <c r="C68" s="124" t="s">
        <v>34</v>
      </c>
      <c r="D68" s="124">
        <v>65</v>
      </c>
      <c r="E68" s="124">
        <v>5</v>
      </c>
      <c r="F68" s="122" t="str">
        <f t="shared" si="2"/>
        <v>United StatesMale65</v>
      </c>
      <c r="G68" s="183" t="s">
        <v>85</v>
      </c>
      <c r="H68" s="130">
        <v>76521</v>
      </c>
      <c r="I68" s="130">
        <v>7867</v>
      </c>
      <c r="J68" s="130">
        <v>362938</v>
      </c>
      <c r="K68" s="130">
        <v>1332842</v>
      </c>
      <c r="L68" s="183">
        <v>17.399999999999999</v>
      </c>
    </row>
    <row r="69" spans="2:12">
      <c r="B69" s="122" t="s">
        <v>42</v>
      </c>
      <c r="C69" s="124" t="s">
        <v>34</v>
      </c>
      <c r="D69" s="124">
        <v>70</v>
      </c>
      <c r="E69" s="124">
        <v>5</v>
      </c>
      <c r="F69" s="122" t="str">
        <f t="shared" si="2"/>
        <v>United StatesMale70</v>
      </c>
      <c r="G69" s="183" t="s">
        <v>86</v>
      </c>
      <c r="H69" s="130">
        <v>68654</v>
      </c>
      <c r="I69" s="130">
        <v>9781</v>
      </c>
      <c r="J69" s="130">
        <v>318819</v>
      </c>
      <c r="K69" s="130">
        <v>969903</v>
      </c>
      <c r="L69" s="183">
        <v>14.1</v>
      </c>
    </row>
    <row r="70" spans="2:12">
      <c r="B70" s="122" t="s">
        <v>42</v>
      </c>
      <c r="C70" s="124" t="s">
        <v>34</v>
      </c>
      <c r="D70" s="124">
        <v>75</v>
      </c>
      <c r="E70" s="124">
        <v>5</v>
      </c>
      <c r="F70" s="122" t="str">
        <f t="shared" si="2"/>
        <v>United StatesMale75</v>
      </c>
      <c r="G70" s="183" t="s">
        <v>87</v>
      </c>
      <c r="H70" s="130">
        <v>58873</v>
      </c>
      <c r="I70" s="130">
        <v>12614</v>
      </c>
      <c r="J70" s="130">
        <v>262833</v>
      </c>
      <c r="K70" s="130">
        <v>651085</v>
      </c>
      <c r="L70" s="183">
        <v>11.1</v>
      </c>
    </row>
    <row r="71" spans="2:12">
      <c r="B71" s="122" t="s">
        <v>42</v>
      </c>
      <c r="C71" s="124" t="s">
        <v>34</v>
      </c>
      <c r="D71" s="124">
        <v>80</v>
      </c>
      <c r="E71" s="124">
        <v>5</v>
      </c>
      <c r="F71" s="122" t="str">
        <f t="shared" si="2"/>
        <v>United StatesMale80</v>
      </c>
      <c r="G71" s="183" t="s">
        <v>88</v>
      </c>
      <c r="H71" s="130">
        <v>46260</v>
      </c>
      <c r="I71" s="130">
        <v>14929</v>
      </c>
      <c r="J71" s="130">
        <v>193976</v>
      </c>
      <c r="K71" s="130">
        <v>388252</v>
      </c>
      <c r="L71" s="183">
        <v>8.4</v>
      </c>
    </row>
    <row r="72" spans="2:12">
      <c r="B72" s="122" t="s">
        <v>42</v>
      </c>
      <c r="C72" s="124" t="s">
        <v>34</v>
      </c>
      <c r="D72" s="124">
        <v>85</v>
      </c>
      <c r="E72" s="124" t="s">
        <v>37</v>
      </c>
      <c r="F72" s="122" t="str">
        <f t="shared" si="2"/>
        <v>United StatesMale85</v>
      </c>
      <c r="G72" s="183" t="s">
        <v>64</v>
      </c>
      <c r="H72" s="130">
        <v>31331</v>
      </c>
      <c r="I72" s="130">
        <v>31331</v>
      </c>
      <c r="J72" s="130">
        <v>194276</v>
      </c>
      <c r="K72" s="130">
        <v>194276</v>
      </c>
      <c r="L72" s="183">
        <v>6.2</v>
      </c>
    </row>
    <row r="74" spans="2:12">
      <c r="C74" s="124" t="s">
        <v>65</v>
      </c>
    </row>
    <row r="75" spans="2:12">
      <c r="C75" s="124" t="s">
        <v>66</v>
      </c>
    </row>
    <row r="76" spans="2:12">
      <c r="C76" s="124" t="s">
        <v>67</v>
      </c>
    </row>
    <row r="77" spans="2:12">
      <c r="C77" s="124" t="s">
        <v>68</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7BAE1-37EF-0944-8431-E010ED582901}">
  <dimension ref="B2:P40"/>
  <sheetViews>
    <sheetView workbookViewId="0"/>
  </sheetViews>
  <sheetFormatPr defaultColWidth="11.19921875" defaultRowHeight="13.8"/>
  <cols>
    <col min="1" max="4" width="11.19921875" style="190"/>
    <col min="5" max="5" width="20.796875" style="190" customWidth="1"/>
    <col min="6" max="6" width="12.69921875" style="190" customWidth="1"/>
    <col min="7" max="7" width="10.796875" style="188"/>
    <col min="8" max="14" width="11.19921875" style="190"/>
    <col min="15" max="16" width="11" style="190"/>
    <col min="17" max="16384" width="11.19921875" style="190"/>
  </cols>
  <sheetData>
    <row r="2" spans="2:16">
      <c r="B2" s="189" t="s">
        <v>340</v>
      </c>
      <c r="K2" s="201"/>
      <c r="P2" s="228"/>
    </row>
    <row r="3" spans="2:16">
      <c r="K3" s="201"/>
      <c r="P3" s="225"/>
    </row>
    <row r="4" spans="2:16" ht="15.6">
      <c r="B4" s="191" t="s">
        <v>122</v>
      </c>
      <c r="C4" s="191" t="s">
        <v>0</v>
      </c>
      <c r="D4" s="191" t="s">
        <v>118</v>
      </c>
      <c r="E4" s="191" t="s">
        <v>36</v>
      </c>
      <c r="F4" s="192" t="s">
        <v>158</v>
      </c>
      <c r="G4" s="192" t="s">
        <v>5</v>
      </c>
      <c r="H4" s="192" t="s">
        <v>316</v>
      </c>
      <c r="I4" s="191" t="s">
        <v>336</v>
      </c>
      <c r="J4" s="191" t="s">
        <v>318</v>
      </c>
      <c r="K4" s="192" t="s">
        <v>319</v>
      </c>
      <c r="L4" s="191" t="s">
        <v>320</v>
      </c>
      <c r="M4" s="191" t="s">
        <v>321</v>
      </c>
      <c r="N4" s="217" t="s">
        <v>328</v>
      </c>
      <c r="O4" s="192" t="s">
        <v>314</v>
      </c>
      <c r="P4" s="217" t="s">
        <v>323</v>
      </c>
    </row>
    <row r="5" spans="2:16">
      <c r="B5" s="190" t="s">
        <v>42</v>
      </c>
      <c r="C5" s="190" t="s">
        <v>3</v>
      </c>
      <c r="D5" s="190">
        <v>0</v>
      </c>
      <c r="E5" s="190" t="str">
        <f>_xlfn.CONCAT(B5,C5,D5)</f>
        <v>United StatesTotal0</v>
      </c>
      <c r="F5" s="229" t="s">
        <v>108</v>
      </c>
      <c r="G5" s="230">
        <v>5</v>
      </c>
      <c r="H5" s="231">
        <f>J5-J6</f>
        <v>650.65625</v>
      </c>
      <c r="I5" s="232">
        <f>J6/J5</f>
        <v>0.99349343749999997</v>
      </c>
      <c r="J5" s="190">
        <f>VLOOKUP(D5,'Appen5b. LT 2019 NCHS_complete'!$C$8:$F$108,4,FALSE)</f>
        <v>100000</v>
      </c>
      <c r="K5" s="201">
        <f>SUM('Appen5b. LT 2019 NCHS_complete'!$H$8:$H$12)</f>
        <v>497059.515625</v>
      </c>
      <c r="L5" s="201">
        <f t="shared" ref="L5:L12" si="0">K5+L6</f>
        <v>7884822.7890625</v>
      </c>
      <c r="M5" s="233">
        <f>L5/J5</f>
        <v>78.848227890624997</v>
      </c>
      <c r="N5" s="233">
        <f t="shared" ref="N5:N13" si="1">(K5-J6*G5)/H5</f>
        <v>0.48074059843427308</v>
      </c>
      <c r="O5" s="232">
        <f>1-I5</f>
        <v>6.5065625000000349E-3</v>
      </c>
      <c r="P5" s="232">
        <f t="shared" ref="P5:P13" si="2">O5/(G5-(O5*(G5-N5)))</f>
        <v>1.3090107513219454E-3</v>
      </c>
    </row>
    <row r="6" spans="2:16">
      <c r="B6" s="190" t="s">
        <v>42</v>
      </c>
      <c r="C6" s="190" t="s">
        <v>3</v>
      </c>
      <c r="D6" s="190">
        <v>5</v>
      </c>
      <c r="E6" s="190" t="str">
        <f t="shared" ref="E6:E14" si="3">_xlfn.CONCAT(B6,C6,D6)</f>
        <v>United StatesTotal5</v>
      </c>
      <c r="F6" s="234" t="s">
        <v>109</v>
      </c>
      <c r="G6" s="230">
        <v>10</v>
      </c>
      <c r="H6" s="231">
        <f t="shared" ref="H6:H14" si="4">J6-J7</f>
        <v>132.8046875</v>
      </c>
      <c r="I6" s="232">
        <f t="shared" ref="I6:I14" si="5">J7/J6</f>
        <v>0.9986632555134517</v>
      </c>
      <c r="J6" s="231">
        <f>VLOOKUP(D6,'Appen5b. LT 2019 NCHS_complete'!$C$8:$F$108,4,FALSE)</f>
        <v>99349.34375</v>
      </c>
      <c r="K6" s="201">
        <f>SUM('Appen5b. LT 2019 NCHS_complete'!$H$13:$H$22)</f>
        <v>992902.515625</v>
      </c>
      <c r="L6" s="201">
        <f t="shared" si="0"/>
        <v>7387763.2734375</v>
      </c>
      <c r="M6" s="233">
        <f t="shared" ref="M6:M14" si="6">L6/J6</f>
        <v>74.361470288398351</v>
      </c>
      <c r="N6" s="233">
        <f t="shared" si="1"/>
        <v>5.5504441437731629</v>
      </c>
      <c r="O6" s="232">
        <f t="shared" ref="O6:O14" si="7">1-I6</f>
        <v>1.3367444865483025E-3</v>
      </c>
      <c r="P6" s="232">
        <f t="shared" si="2"/>
        <v>1.3375400445672989E-4</v>
      </c>
    </row>
    <row r="7" spans="2:16">
      <c r="B7" s="190" t="s">
        <v>42</v>
      </c>
      <c r="C7" s="190" t="s">
        <v>3</v>
      </c>
      <c r="D7" s="190">
        <v>15</v>
      </c>
      <c r="E7" s="190" t="str">
        <f t="shared" si="3"/>
        <v>United StatesTotal15</v>
      </c>
      <c r="F7" s="234" t="s">
        <v>110</v>
      </c>
      <c r="G7" s="230">
        <v>10</v>
      </c>
      <c r="H7" s="231">
        <f t="shared" si="4"/>
        <v>685.6953125</v>
      </c>
      <c r="I7" s="232">
        <f t="shared" si="5"/>
        <v>0.99308890111488313</v>
      </c>
      <c r="J7" s="231">
        <f>VLOOKUP(D7,'Appen5b. LT 2019 NCHS_complete'!$C$8:$F$108,4,FALSE)</f>
        <v>99216.5390625</v>
      </c>
      <c r="K7" s="201">
        <f>SUM('Appen5b. LT 2019 NCHS_complete'!$H$23:$H$32)</f>
        <v>989394.0078125</v>
      </c>
      <c r="L7" s="201">
        <f t="shared" si="0"/>
        <v>6394860.7578125</v>
      </c>
      <c r="M7" s="233">
        <f t="shared" si="6"/>
        <v>64.453576170240638</v>
      </c>
      <c r="N7" s="233">
        <f t="shared" si="1"/>
        <v>5.9582882338866794</v>
      </c>
      <c r="O7" s="232">
        <f t="shared" si="7"/>
        <v>6.9110988851168731E-3</v>
      </c>
      <c r="P7" s="232">
        <f t="shared" si="2"/>
        <v>6.9304575031340244E-4</v>
      </c>
    </row>
    <row r="8" spans="2:16">
      <c r="B8" s="190" t="s">
        <v>42</v>
      </c>
      <c r="C8" s="190" t="s">
        <v>3</v>
      </c>
      <c r="D8" s="190">
        <v>25</v>
      </c>
      <c r="E8" s="190" t="str">
        <f t="shared" si="3"/>
        <v>United StatesTotal25</v>
      </c>
      <c r="F8" s="234" t="s">
        <v>111</v>
      </c>
      <c r="G8" s="230">
        <v>10</v>
      </c>
      <c r="H8" s="231">
        <f t="shared" si="4"/>
        <v>1264.8671875</v>
      </c>
      <c r="I8" s="232">
        <f t="shared" si="5"/>
        <v>0.98716272854915033</v>
      </c>
      <c r="J8" s="231">
        <f>VLOOKUP(D8,'Appen5b. LT 2019 NCHS_complete'!$C$8:$F$108,4,FALSE)</f>
        <v>98530.84375</v>
      </c>
      <c r="K8" s="201">
        <f>SUM('Appen5b. LT 2019 NCHS_complete'!$H$33:$H$42)</f>
        <v>979435.015625</v>
      </c>
      <c r="L8" s="201">
        <f t="shared" si="0"/>
        <v>5405466.75</v>
      </c>
      <c r="M8" s="233">
        <f t="shared" si="6"/>
        <v>54.860656260238308</v>
      </c>
      <c r="N8" s="233">
        <f t="shared" si="1"/>
        <v>5.3564912324045881</v>
      </c>
      <c r="O8" s="232">
        <f t="shared" si="7"/>
        <v>1.2837271450849674E-2</v>
      </c>
      <c r="P8" s="232">
        <f t="shared" si="2"/>
        <v>1.2914253292168284E-3</v>
      </c>
    </row>
    <row r="9" spans="2:16">
      <c r="B9" s="190" t="s">
        <v>42</v>
      </c>
      <c r="C9" s="190" t="s">
        <v>3</v>
      </c>
      <c r="D9" s="190">
        <v>35</v>
      </c>
      <c r="E9" s="190" t="str">
        <f t="shared" si="3"/>
        <v>United StatesTotal35</v>
      </c>
      <c r="F9" s="234" t="s">
        <v>112</v>
      </c>
      <c r="G9" s="230">
        <v>10</v>
      </c>
      <c r="H9" s="231">
        <f t="shared" si="4"/>
        <v>1929.484375</v>
      </c>
      <c r="I9" s="232">
        <f t="shared" si="5"/>
        <v>0.98016280262440814</v>
      </c>
      <c r="J9" s="231">
        <f>VLOOKUP(D9,'Appen5b. LT 2019 NCHS_complete'!$C$8:$F$108,4,FALSE)</f>
        <v>97265.9765625</v>
      </c>
      <c r="K9" s="201">
        <f>SUM('Appen5b. LT 2019 NCHS_complete'!$H$43:$H$52)</f>
        <v>963710.6015625</v>
      </c>
      <c r="L9" s="201">
        <f t="shared" si="0"/>
        <v>4426031.734375</v>
      </c>
      <c r="M9" s="233">
        <f t="shared" si="6"/>
        <v>45.504418819369732</v>
      </c>
      <c r="N9" s="233">
        <f t="shared" si="1"/>
        <v>5.3618882959339853</v>
      </c>
      <c r="O9" s="232">
        <f t="shared" si="7"/>
        <v>1.9837197375591864E-2</v>
      </c>
      <c r="P9" s="232">
        <f t="shared" si="2"/>
        <v>2.0021408624867876E-3</v>
      </c>
    </row>
    <row r="10" spans="2:16">
      <c r="B10" s="190" t="s">
        <v>42</v>
      </c>
      <c r="C10" s="190" t="s">
        <v>3</v>
      </c>
      <c r="D10" s="190">
        <v>45</v>
      </c>
      <c r="E10" s="190" t="str">
        <f t="shared" si="3"/>
        <v>United StatesTotal45</v>
      </c>
      <c r="F10" s="234" t="s">
        <v>113</v>
      </c>
      <c r="G10" s="230">
        <v>10</v>
      </c>
      <c r="H10" s="231">
        <f t="shared" si="4"/>
        <v>3662.75</v>
      </c>
      <c r="I10" s="232">
        <f t="shared" si="5"/>
        <v>0.96158081846774468</v>
      </c>
      <c r="J10" s="231">
        <f>VLOOKUP(D10,'Appen5b. LT 2019 NCHS_complete'!$C$8:$F$108,4,FALSE)</f>
        <v>95336.4921875</v>
      </c>
      <c r="K10" s="201">
        <f>SUM('Appen5b. LT 2019 NCHS_complete'!$H$53:$H$62)</f>
        <v>937411.6328125</v>
      </c>
      <c r="L10" s="201">
        <f t="shared" si="0"/>
        <v>3462321.1328125</v>
      </c>
      <c r="M10" s="233">
        <f t="shared" si="6"/>
        <v>36.31685048788129</v>
      </c>
      <c r="N10" s="233">
        <f t="shared" si="1"/>
        <v>5.6444504641321416</v>
      </c>
      <c r="O10" s="232">
        <f t="shared" si="7"/>
        <v>3.841918153225532E-2</v>
      </c>
      <c r="P10" s="232">
        <f t="shared" si="2"/>
        <v>3.9073016290727246E-3</v>
      </c>
    </row>
    <row r="11" spans="2:16">
      <c r="B11" s="190" t="s">
        <v>42</v>
      </c>
      <c r="C11" s="190" t="s">
        <v>3</v>
      </c>
      <c r="D11" s="190">
        <v>55</v>
      </c>
      <c r="E11" s="190" t="str">
        <f t="shared" si="3"/>
        <v>United StatesTotal55</v>
      </c>
      <c r="F11" s="234" t="s">
        <v>114</v>
      </c>
      <c r="G11" s="230">
        <v>10</v>
      </c>
      <c r="H11" s="231">
        <f t="shared" si="4"/>
        <v>7805.453125</v>
      </c>
      <c r="I11" s="232">
        <f t="shared" si="5"/>
        <v>0.91485617431177257</v>
      </c>
      <c r="J11" s="231">
        <f>VLOOKUP(D11,'Appen5b. LT 2019 NCHS_complete'!$C$8:$F$108,4,FALSE)</f>
        <v>91673.7421875</v>
      </c>
      <c r="K11" s="201">
        <f>SUM('Appen5b. LT 2019 NCHS_complete'!$H$63:$H$72)</f>
        <v>881907.75</v>
      </c>
      <c r="L11" s="201">
        <f t="shared" si="0"/>
        <v>2524909.5</v>
      </c>
      <c r="M11" s="233">
        <f t="shared" si="6"/>
        <v>27.542341348254453</v>
      </c>
      <c r="N11" s="233">
        <f t="shared" si="1"/>
        <v>5.5377770749215793</v>
      </c>
      <c r="O11" s="232">
        <f t="shared" si="7"/>
        <v>8.5143825688227426E-2</v>
      </c>
      <c r="P11" s="232">
        <f t="shared" si="2"/>
        <v>8.8506458016725676E-3</v>
      </c>
    </row>
    <row r="12" spans="2:16">
      <c r="B12" s="190" t="s">
        <v>42</v>
      </c>
      <c r="C12" s="190" t="s">
        <v>3</v>
      </c>
      <c r="D12" s="190">
        <v>65</v>
      </c>
      <c r="E12" s="190" t="str">
        <f t="shared" si="3"/>
        <v>United StatesTotal65</v>
      </c>
      <c r="F12" s="229" t="s">
        <v>117</v>
      </c>
      <c r="G12" s="230">
        <v>10</v>
      </c>
      <c r="H12" s="231">
        <f t="shared" si="4"/>
        <v>14014.5</v>
      </c>
      <c r="I12" s="232">
        <f t="shared" si="5"/>
        <v>0.83289870156339818</v>
      </c>
      <c r="J12" s="231">
        <f>VLOOKUP(D12,'Appen5b. LT 2019 NCHS_complete'!$C$8:$F$108,4,FALSE)</f>
        <v>83868.2890625</v>
      </c>
      <c r="K12" s="201">
        <f>SUM('Appen5b. LT 2019 NCHS_complete'!$H$73:$H$82)</f>
        <v>775671.8359375</v>
      </c>
      <c r="L12" s="201">
        <f t="shared" si="0"/>
        <v>1643001.75</v>
      </c>
      <c r="M12" s="233">
        <f t="shared" si="6"/>
        <v>19.590261925763247</v>
      </c>
      <c r="N12" s="233">
        <f t="shared" si="1"/>
        <v>5.5038670885511438</v>
      </c>
      <c r="O12" s="232">
        <f t="shared" si="7"/>
        <v>0.16710129843660182</v>
      </c>
      <c r="P12" s="232">
        <f t="shared" si="2"/>
        <v>1.8067563305378568E-2</v>
      </c>
    </row>
    <row r="13" spans="2:16">
      <c r="B13" s="190" t="s">
        <v>42</v>
      </c>
      <c r="C13" s="190" t="s">
        <v>3</v>
      </c>
      <c r="D13" s="190">
        <v>75</v>
      </c>
      <c r="E13" s="190" t="str">
        <f t="shared" si="3"/>
        <v>United StatesTotal75</v>
      </c>
      <c r="F13" s="229" t="s">
        <v>116</v>
      </c>
      <c r="G13" s="230">
        <v>10</v>
      </c>
      <c r="H13" s="231">
        <f t="shared" si="4"/>
        <v>26558.640625</v>
      </c>
      <c r="I13" s="232">
        <f t="shared" si="5"/>
        <v>0.61979670707286483</v>
      </c>
      <c r="J13" s="231">
        <f>VLOOKUP(D13,'Appen5b. LT 2019 NCHS_complete'!$C$8:$F$108,4,FALSE)</f>
        <v>69853.7890625</v>
      </c>
      <c r="K13" s="201">
        <f>SUM('Appen5b. LT 2019 NCHS_complete'!$H$83:$H$92)</f>
        <v>578518.03515625</v>
      </c>
      <c r="L13" s="201">
        <f>K13+L14</f>
        <v>867329.9140625</v>
      </c>
      <c r="M13" s="233">
        <f t="shared" si="6"/>
        <v>12.416361742188064</v>
      </c>
      <c r="N13" s="233">
        <f t="shared" si="1"/>
        <v>5.4809488496269756</v>
      </c>
      <c r="O13" s="232">
        <f t="shared" si="7"/>
        <v>0.38020329292713517</v>
      </c>
      <c r="P13" s="232">
        <f t="shared" si="2"/>
        <v>4.5908059923882694E-2</v>
      </c>
    </row>
    <row r="14" spans="2:16">
      <c r="B14" s="190" t="s">
        <v>42</v>
      </c>
      <c r="C14" s="190" t="s">
        <v>3</v>
      </c>
      <c r="D14" s="190">
        <v>85</v>
      </c>
      <c r="E14" s="190" t="str">
        <f t="shared" si="3"/>
        <v>United StatesTotal85</v>
      </c>
      <c r="F14" s="229" t="s">
        <v>115</v>
      </c>
      <c r="G14" s="230" t="s">
        <v>37</v>
      </c>
      <c r="H14" s="231">
        <f t="shared" si="4"/>
        <v>43295.1484375</v>
      </c>
      <c r="I14" s="231">
        <f t="shared" si="5"/>
        <v>0</v>
      </c>
      <c r="J14" s="231">
        <f>VLOOKUP(D14,'Appen5b. LT 2019 NCHS_complete'!$C$8:$F$108,4,FALSE)</f>
        <v>43295.1484375</v>
      </c>
      <c r="K14" s="201">
        <f>SUM('Appen5b. LT 2019 NCHS_complete'!$H$93:$H$108)</f>
        <v>288811.87890625</v>
      </c>
      <c r="L14" s="201">
        <f>K14</f>
        <v>288811.87890625</v>
      </c>
      <c r="M14" s="233">
        <f t="shared" si="6"/>
        <v>6.6707677263925538</v>
      </c>
      <c r="N14" s="233">
        <f>K14/H14</f>
        <v>6.6707677263925538</v>
      </c>
      <c r="O14" s="232">
        <f t="shared" si="7"/>
        <v>1</v>
      </c>
      <c r="P14" s="232">
        <f>1/M14</f>
        <v>0.14990778288435239</v>
      </c>
    </row>
    <row r="15" spans="2:16">
      <c r="O15" s="232"/>
      <c r="P15" s="232"/>
    </row>
    <row r="16" spans="2:16" ht="15">
      <c r="B16" s="191" t="s">
        <v>122</v>
      </c>
      <c r="C16" s="191" t="s">
        <v>0</v>
      </c>
      <c r="D16" s="191" t="s">
        <v>118</v>
      </c>
      <c r="E16" s="191" t="s">
        <v>36</v>
      </c>
      <c r="F16" s="192" t="s">
        <v>158</v>
      </c>
      <c r="G16" s="192" t="s">
        <v>5</v>
      </c>
      <c r="H16" s="192" t="s">
        <v>316</v>
      </c>
      <c r="I16" s="192" t="s">
        <v>317</v>
      </c>
      <c r="J16" s="191" t="s">
        <v>318</v>
      </c>
      <c r="K16" s="192" t="s">
        <v>319</v>
      </c>
      <c r="L16" s="191" t="s">
        <v>320</v>
      </c>
      <c r="M16" s="191" t="s">
        <v>321</v>
      </c>
      <c r="N16" s="192" t="s">
        <v>322</v>
      </c>
      <c r="O16" s="192" t="s">
        <v>314</v>
      </c>
      <c r="P16" s="217" t="s">
        <v>323</v>
      </c>
    </row>
    <row r="17" spans="2:16">
      <c r="B17" s="190" t="s">
        <v>42</v>
      </c>
      <c r="C17" s="190" t="s">
        <v>34</v>
      </c>
      <c r="D17" s="190">
        <v>0</v>
      </c>
      <c r="E17" s="190" t="str">
        <f>_xlfn.CONCAT(B17,C17,D17)</f>
        <v>United StatesMale0</v>
      </c>
      <c r="F17" s="229" t="s">
        <v>108</v>
      </c>
      <c r="G17" s="230">
        <v>5</v>
      </c>
      <c r="H17" s="231">
        <f>J17-J18</f>
        <v>709.1875</v>
      </c>
      <c r="I17" s="232">
        <f>J18/J17</f>
        <v>0.99290812500000003</v>
      </c>
      <c r="J17" s="231">
        <f>VLOOKUP(D17,'Appen5b. LT 2019 NCHS_complete'!$C$110:$F$210,4,FALSE)</f>
        <v>100000</v>
      </c>
      <c r="K17" s="201">
        <f>SUM('Appen5b. LT 2019 NCHS_complete'!$H$110:$H$114)</f>
        <v>496793.7578125</v>
      </c>
      <c r="L17" s="201">
        <f t="shared" ref="L17:L24" si="8">K17+L18</f>
        <v>7631130.0256347656</v>
      </c>
      <c r="M17" s="233">
        <f>L17/J17</f>
        <v>76.31130025634765</v>
      </c>
      <c r="N17" s="233">
        <f t="shared" ref="N17:N25" si="9">(K17-J18*G17)/H17</f>
        <v>0.47899224464616197</v>
      </c>
      <c r="O17" s="232">
        <f t="shared" ref="O17:O26" si="10">1-I17</f>
        <v>7.0918749999999697E-3</v>
      </c>
      <c r="P17" s="232">
        <f t="shared" ref="P17:P25" si="11">O17/(G17-(O17*(G17-N17)))</f>
        <v>1.4275290074551594E-3</v>
      </c>
    </row>
    <row r="18" spans="2:16">
      <c r="B18" s="190" t="s">
        <v>42</v>
      </c>
      <c r="C18" s="190" t="s">
        <v>34</v>
      </c>
      <c r="D18" s="190">
        <v>5</v>
      </c>
      <c r="E18" s="190" t="str">
        <f t="shared" ref="E18:E26" si="12">_xlfn.CONCAT(B18,C18,D18)</f>
        <v>United StatesMale5</v>
      </c>
      <c r="F18" s="234" t="s">
        <v>109</v>
      </c>
      <c r="G18" s="230">
        <v>10</v>
      </c>
      <c r="H18" s="231">
        <f t="shared" ref="H18:H26" si="13">J18-J19</f>
        <v>150.453125</v>
      </c>
      <c r="I18" s="232">
        <f t="shared" ref="I18:I26" si="14">J19/J18</f>
        <v>0.99848472259203236</v>
      </c>
      <c r="J18" s="231">
        <f>VLOOKUP(D18,'Appen5b. LT 2019 NCHS_complete'!$C$110:$F$210,4,FALSE)</f>
        <v>99290.8125</v>
      </c>
      <c r="K18" s="201">
        <f>SUM('Appen5b. LT 2019 NCHS_complete'!$H$115:$H$124)</f>
        <v>992266.5078125</v>
      </c>
      <c r="L18" s="201">
        <f t="shared" si="8"/>
        <v>7134336.2678222656</v>
      </c>
      <c r="M18" s="233">
        <f t="shared" ref="M18:M26" si="15">L18/J18</f>
        <v>71.852934709566057</v>
      </c>
      <c r="N18" s="233">
        <f t="shared" si="9"/>
        <v>5.7354346245716066</v>
      </c>
      <c r="O18" s="232">
        <f t="shared" si="10"/>
        <v>1.5152774079676412E-3</v>
      </c>
      <c r="P18" s="232">
        <f t="shared" si="11"/>
        <v>1.5162572133134105E-4</v>
      </c>
    </row>
    <row r="19" spans="2:16">
      <c r="B19" s="190" t="s">
        <v>42</v>
      </c>
      <c r="C19" s="190" t="s">
        <v>34</v>
      </c>
      <c r="D19" s="190">
        <v>15</v>
      </c>
      <c r="E19" s="190" t="str">
        <f t="shared" si="12"/>
        <v>United StatesMale15</v>
      </c>
      <c r="F19" s="234" t="s">
        <v>110</v>
      </c>
      <c r="G19" s="230">
        <v>10</v>
      </c>
      <c r="H19" s="231">
        <f t="shared" si="13"/>
        <v>977.65625</v>
      </c>
      <c r="I19" s="232">
        <f t="shared" si="14"/>
        <v>0.99013866546214546</v>
      </c>
      <c r="J19" s="231">
        <f>VLOOKUP(D19,'Appen5b. LT 2019 NCHS_complete'!$C$110:$F$210,4,FALSE)</f>
        <v>99140.359375</v>
      </c>
      <c r="K19" s="201">
        <f>SUM('Appen5b. LT 2019 NCHS_complete'!$H$125:$H$134)</f>
        <v>987484.484375</v>
      </c>
      <c r="L19" s="201">
        <f t="shared" si="8"/>
        <v>6142069.7600097656</v>
      </c>
      <c r="M19" s="233">
        <f t="shared" si="15"/>
        <v>61.953273104218717</v>
      </c>
      <c r="N19" s="233">
        <f t="shared" si="9"/>
        <v>5.991321719673965</v>
      </c>
      <c r="O19" s="232">
        <f t="shared" si="10"/>
        <v>9.8613345378545381E-3</v>
      </c>
      <c r="P19" s="232">
        <f t="shared" si="11"/>
        <v>9.9004720121630856E-4</v>
      </c>
    </row>
    <row r="20" spans="2:16">
      <c r="B20" s="190" t="s">
        <v>42</v>
      </c>
      <c r="C20" s="190" t="s">
        <v>34</v>
      </c>
      <c r="D20" s="190">
        <v>25</v>
      </c>
      <c r="E20" s="190" t="str">
        <f t="shared" si="12"/>
        <v>United StatesMale25</v>
      </c>
      <c r="F20" s="234" t="s">
        <v>111</v>
      </c>
      <c r="G20" s="230">
        <v>10</v>
      </c>
      <c r="H20" s="231">
        <f t="shared" si="13"/>
        <v>1727.3125</v>
      </c>
      <c r="I20" s="232">
        <f t="shared" si="14"/>
        <v>0.98240357646019139</v>
      </c>
      <c r="J20" s="231">
        <f>VLOOKUP(D20,'Appen5b. LT 2019 NCHS_complete'!$C$110:$F$210,4,FALSE)</f>
        <v>98162.703125</v>
      </c>
      <c r="K20" s="201">
        <f>SUM('Appen5b. LT 2019 NCHS_complete'!$H$135:$H$144)</f>
        <v>973464.71875</v>
      </c>
      <c r="L20" s="201">
        <f t="shared" si="8"/>
        <v>5154585.2756347656</v>
      </c>
      <c r="M20" s="233">
        <f t="shared" si="15"/>
        <v>52.510628900173387</v>
      </c>
      <c r="N20" s="233">
        <f t="shared" si="9"/>
        <v>5.2745594673806853</v>
      </c>
      <c r="O20" s="232">
        <f t="shared" si="10"/>
        <v>1.7596423539808614E-2</v>
      </c>
      <c r="P20" s="232">
        <f t="shared" si="11"/>
        <v>1.7743966131797673E-3</v>
      </c>
    </row>
    <row r="21" spans="2:16">
      <c r="B21" s="190" t="s">
        <v>42</v>
      </c>
      <c r="C21" s="190" t="s">
        <v>34</v>
      </c>
      <c r="D21" s="190">
        <v>35</v>
      </c>
      <c r="E21" s="190" t="str">
        <f t="shared" si="12"/>
        <v>United StatesMale35</v>
      </c>
      <c r="F21" s="234" t="s">
        <v>112</v>
      </c>
      <c r="G21" s="230">
        <v>10</v>
      </c>
      <c r="H21" s="231">
        <f t="shared" si="13"/>
        <v>2460.9140625</v>
      </c>
      <c r="I21" s="232">
        <f t="shared" si="14"/>
        <v>0.97448121434930934</v>
      </c>
      <c r="J21" s="231">
        <f>VLOOKUP(D21,'Appen5b. LT 2019 NCHS_complete'!$C$110:$F$210,4,FALSE)</f>
        <v>96435.390625</v>
      </c>
      <c r="K21" s="201">
        <f>SUM('Appen5b. LT 2019 NCHS_complete'!$H$145:$H$154)</f>
        <v>952842.2890625</v>
      </c>
      <c r="L21" s="201">
        <f t="shared" si="8"/>
        <v>4181120.5568847656</v>
      </c>
      <c r="M21" s="233">
        <f t="shared" si="15"/>
        <v>43.356702656429619</v>
      </c>
      <c r="N21" s="233">
        <f t="shared" si="9"/>
        <v>5.3222189417676997</v>
      </c>
      <c r="O21" s="232">
        <f t="shared" si="10"/>
        <v>2.5518785650690656E-2</v>
      </c>
      <c r="P21" s="232">
        <f t="shared" si="11"/>
        <v>2.5827086924545377E-3</v>
      </c>
    </row>
    <row r="22" spans="2:16">
      <c r="B22" s="190" t="s">
        <v>42</v>
      </c>
      <c r="C22" s="190" t="s">
        <v>34</v>
      </c>
      <c r="D22" s="190">
        <v>45</v>
      </c>
      <c r="E22" s="190" t="str">
        <f t="shared" si="12"/>
        <v>United StatesMale45</v>
      </c>
      <c r="F22" s="234" t="s">
        <v>113</v>
      </c>
      <c r="G22" s="230">
        <v>10</v>
      </c>
      <c r="H22" s="231">
        <f t="shared" si="13"/>
        <v>4489.59375</v>
      </c>
      <c r="I22" s="232">
        <f t="shared" si="14"/>
        <v>0.95222539231687997</v>
      </c>
      <c r="J22" s="231">
        <f>VLOOKUP(D22,'Appen5b. LT 2019 NCHS_complete'!$C$110:$F$210,4,FALSE)</f>
        <v>93974.4765625</v>
      </c>
      <c r="K22" s="201">
        <f>SUM('Appen5b. LT 2019 NCHS_complete'!$H$155:$H$164)</f>
        <v>920158.734375</v>
      </c>
      <c r="L22" s="201">
        <f t="shared" si="8"/>
        <v>3228278.2678222656</v>
      </c>
      <c r="M22" s="233">
        <f t="shared" si="15"/>
        <v>34.352713480401469</v>
      </c>
      <c r="N22" s="233">
        <f t="shared" si="9"/>
        <v>5.6374602379112808</v>
      </c>
      <c r="O22" s="232">
        <f t="shared" si="10"/>
        <v>4.7774607683120029E-2</v>
      </c>
      <c r="P22" s="232">
        <f t="shared" si="11"/>
        <v>4.879151370605057E-3</v>
      </c>
    </row>
    <row r="23" spans="2:16">
      <c r="B23" s="190" t="s">
        <v>42</v>
      </c>
      <c r="C23" s="190" t="s">
        <v>34</v>
      </c>
      <c r="D23" s="190">
        <v>55</v>
      </c>
      <c r="E23" s="190" t="str">
        <f t="shared" si="12"/>
        <v>United StatesMale55</v>
      </c>
      <c r="F23" s="234" t="s">
        <v>114</v>
      </c>
      <c r="G23" s="230">
        <v>10</v>
      </c>
      <c r="H23" s="231">
        <f t="shared" si="13"/>
        <v>9500.6328125</v>
      </c>
      <c r="I23" s="232">
        <f t="shared" si="14"/>
        <v>0.89382974516034264</v>
      </c>
      <c r="J23" s="231">
        <f>VLOOKUP(D23,'Appen5b. LT 2019 NCHS_complete'!$C$110:$F$210,4,FALSE)</f>
        <v>89484.8828125</v>
      </c>
      <c r="K23" s="201">
        <f>SUM('Appen5b. LT 2019 NCHS_complete'!$H$165:$H$174)</f>
        <v>852321.2421875</v>
      </c>
      <c r="L23" s="201">
        <f t="shared" si="8"/>
        <v>2308119.5334472656</v>
      </c>
      <c r="M23" s="233">
        <f t="shared" si="15"/>
        <v>25.79340175573039</v>
      </c>
      <c r="N23" s="233">
        <f t="shared" si="9"/>
        <v>5.5237101804896218</v>
      </c>
      <c r="O23" s="232">
        <f t="shared" si="10"/>
        <v>0.10617025483965736</v>
      </c>
      <c r="P23" s="232">
        <f t="shared" si="11"/>
        <v>1.1146774645808932E-2</v>
      </c>
    </row>
    <row r="24" spans="2:16">
      <c r="B24" s="190" t="s">
        <v>42</v>
      </c>
      <c r="C24" s="190" t="s">
        <v>34</v>
      </c>
      <c r="D24" s="190">
        <v>65</v>
      </c>
      <c r="E24" s="190" t="str">
        <f t="shared" si="12"/>
        <v>United StatesMale65</v>
      </c>
      <c r="F24" s="229" t="s">
        <v>117</v>
      </c>
      <c r="G24" s="230">
        <v>10</v>
      </c>
      <c r="H24" s="231">
        <f t="shared" si="13"/>
        <v>16140.484375</v>
      </c>
      <c r="I24" s="232">
        <f t="shared" si="14"/>
        <v>0.79820421676767617</v>
      </c>
      <c r="J24" s="231">
        <f>VLOOKUP(D24,'Appen5b. LT 2019 NCHS_complete'!$C$110:$F$210,4,FALSE)</f>
        <v>79984.25</v>
      </c>
      <c r="K24" s="201">
        <f>SUM('Appen5b. LT 2019 NCHS_complete'!$H$175:$H$184)</f>
        <v>725711.96484375</v>
      </c>
      <c r="L24" s="201">
        <f t="shared" si="8"/>
        <v>1455798.2912597656</v>
      </c>
      <c r="M24" s="233">
        <f t="shared" si="15"/>
        <v>18.201061974823364</v>
      </c>
      <c r="N24" s="233">
        <f t="shared" si="9"/>
        <v>5.407167874647504</v>
      </c>
      <c r="O24" s="232">
        <f t="shared" si="10"/>
        <v>0.20179578323232383</v>
      </c>
      <c r="P24" s="232">
        <f t="shared" si="11"/>
        <v>2.2240896053677628E-2</v>
      </c>
    </row>
    <row r="25" spans="2:16">
      <c r="B25" s="190" t="s">
        <v>42</v>
      </c>
      <c r="C25" s="190" t="s">
        <v>34</v>
      </c>
      <c r="D25" s="190">
        <v>75</v>
      </c>
      <c r="E25" s="190" t="str">
        <f t="shared" si="12"/>
        <v>United StatesMale75</v>
      </c>
      <c r="F25" s="229" t="s">
        <v>116</v>
      </c>
      <c r="G25" s="230">
        <v>10</v>
      </c>
      <c r="H25" s="231">
        <f t="shared" si="13"/>
        <v>27592.07421875</v>
      </c>
      <c r="I25" s="232">
        <f t="shared" si="14"/>
        <v>0.56781881600126871</v>
      </c>
      <c r="J25" s="231">
        <f>VLOOKUP(D25,'Appen5b. LT 2019 NCHS_complete'!$C$110:$F$210,4,FALSE)</f>
        <v>63843.765625</v>
      </c>
      <c r="K25" s="201">
        <f>SUM('Appen5b. LT 2019 NCHS_complete'!$H$185:$H$194)</f>
        <v>511073.01171875</v>
      </c>
      <c r="L25" s="201">
        <f>K25+L26</f>
        <v>730086.32641601563</v>
      </c>
      <c r="M25" s="233">
        <f t="shared" si="15"/>
        <v>11.435514795670633</v>
      </c>
      <c r="N25" s="233">
        <f t="shared" si="9"/>
        <v>5.3840134119130392</v>
      </c>
      <c r="O25" s="232">
        <f t="shared" si="10"/>
        <v>0.43218118399873129</v>
      </c>
      <c r="P25" s="232">
        <f t="shared" si="11"/>
        <v>5.3988517464378008E-2</v>
      </c>
    </row>
    <row r="26" spans="2:16">
      <c r="B26" s="190" t="s">
        <v>42</v>
      </c>
      <c r="C26" s="190" t="s">
        <v>34</v>
      </c>
      <c r="D26" s="190">
        <v>85</v>
      </c>
      <c r="E26" s="190" t="str">
        <f t="shared" si="12"/>
        <v>United StatesMale85</v>
      </c>
      <c r="F26" s="229" t="s">
        <v>115</v>
      </c>
      <c r="G26" s="230" t="s">
        <v>37</v>
      </c>
      <c r="H26" s="231">
        <f t="shared" si="13"/>
        <v>36251.69140625</v>
      </c>
      <c r="I26" s="231">
        <f t="shared" si="14"/>
        <v>0</v>
      </c>
      <c r="J26" s="231">
        <f>VLOOKUP(D26,'Appen5b. LT 2019 NCHS_complete'!$C$110:$F$210,4,FALSE)</f>
        <v>36251.69140625</v>
      </c>
      <c r="K26" s="201">
        <f>SUM('Appen5b. LT 2019 NCHS_complete'!$H$195:$H$210)</f>
        <v>219013.31469726563</v>
      </c>
      <c r="L26" s="201">
        <f>K26</f>
        <v>219013.31469726563</v>
      </c>
      <c r="M26" s="233">
        <f t="shared" si="15"/>
        <v>6.0414647207193886</v>
      </c>
      <c r="N26" s="233">
        <f>K26/H26</f>
        <v>6.0414647207193886</v>
      </c>
      <c r="O26" s="232">
        <f t="shared" si="10"/>
        <v>1</v>
      </c>
      <c r="P26" s="232">
        <f>1/M26</f>
        <v>0.16552277406677049</v>
      </c>
    </row>
    <row r="27" spans="2:16">
      <c r="O27" s="232"/>
      <c r="P27" s="232"/>
    </row>
    <row r="28" spans="2:16" ht="15">
      <c r="B28" s="191" t="s">
        <v>122</v>
      </c>
      <c r="C28" s="191" t="s">
        <v>0</v>
      </c>
      <c r="D28" s="191" t="s">
        <v>118</v>
      </c>
      <c r="E28" s="191" t="s">
        <v>36</v>
      </c>
      <c r="F28" s="192" t="s">
        <v>158</v>
      </c>
      <c r="G28" s="192" t="s">
        <v>5</v>
      </c>
      <c r="H28" s="192" t="s">
        <v>316</v>
      </c>
      <c r="I28" s="192" t="s">
        <v>317</v>
      </c>
      <c r="J28" s="191" t="s">
        <v>318</v>
      </c>
      <c r="K28" s="192" t="s">
        <v>319</v>
      </c>
      <c r="L28" s="191" t="s">
        <v>320</v>
      </c>
      <c r="M28" s="191" t="s">
        <v>321</v>
      </c>
      <c r="N28" s="192" t="s">
        <v>322</v>
      </c>
      <c r="O28" s="192" t="s">
        <v>314</v>
      </c>
      <c r="P28" s="217" t="s">
        <v>323</v>
      </c>
    </row>
    <row r="29" spans="2:16">
      <c r="B29" s="190" t="s">
        <v>42</v>
      </c>
      <c r="C29" s="190" t="s">
        <v>35</v>
      </c>
      <c r="D29" s="190">
        <v>0</v>
      </c>
      <c r="E29" s="190" t="str">
        <f>_xlfn.CONCAT(B29,C29,D29)</f>
        <v>United StatesFemale0</v>
      </c>
      <c r="F29" s="229" t="s">
        <v>108</v>
      </c>
      <c r="G29" s="230">
        <v>5</v>
      </c>
      <c r="H29" s="231">
        <f>J29-J30</f>
        <v>589</v>
      </c>
      <c r="I29" s="232">
        <f>J30/J29</f>
        <v>0.99411000000000005</v>
      </c>
      <c r="J29" s="190">
        <f>VLOOKUP(D29,'Appen5b. LT 2019 NCHS_complete'!$C$212:$F$312,4,FALSE)</f>
        <v>100000</v>
      </c>
      <c r="K29" s="201">
        <f>SUM('Appen5b. LT 2019 NCHS_complete'!$H$212:$H$216)</f>
        <v>497338</v>
      </c>
      <c r="L29" s="201">
        <f t="shared" ref="L29:L36" si="16">K29+L30</f>
        <v>8138600</v>
      </c>
      <c r="M29" s="233">
        <f>L29/J29</f>
        <v>81.385999999999996</v>
      </c>
      <c r="N29" s="233">
        <f t="shared" ref="N29:N37" si="17">(K29-J30*G29)/H29</f>
        <v>0.48047538200339557</v>
      </c>
      <c r="O29" s="232">
        <f t="shared" ref="O29:O38" si="18">1-I29</f>
        <v>5.8899999999999508E-3</v>
      </c>
      <c r="P29" s="232">
        <f t="shared" ref="P29:P37" si="19">O29/(G29-(O29*(G29-N29)))</f>
        <v>1.1843052411036256E-3</v>
      </c>
    </row>
    <row r="30" spans="2:16">
      <c r="B30" s="190" t="s">
        <v>42</v>
      </c>
      <c r="C30" s="190" t="s">
        <v>35</v>
      </c>
      <c r="D30" s="190">
        <v>5</v>
      </c>
      <c r="E30" s="190" t="str">
        <f t="shared" ref="E30:E38" si="20">_xlfn.CONCAT(B30,C30,D30)</f>
        <v>United StatesFemale5</v>
      </c>
      <c r="F30" s="234" t="s">
        <v>109</v>
      </c>
      <c r="G30" s="230">
        <v>10</v>
      </c>
      <c r="H30" s="231">
        <f t="shared" ref="H30:H38" si="21">J30-J31</f>
        <v>115</v>
      </c>
      <c r="I30" s="232">
        <f t="shared" ref="I30:I38" si="22">J31/J30</f>
        <v>0.99884318636770575</v>
      </c>
      <c r="J30" s="231">
        <f>VLOOKUP(D30,'Appen5b. LT 2019 NCHS_complete'!$C$212:$F$312,4,FALSE)</f>
        <v>99411</v>
      </c>
      <c r="K30" s="201">
        <f>SUM('Appen5b. LT 2019 NCHS_complete'!$H$217:$H$226)</f>
        <v>993569</v>
      </c>
      <c r="L30" s="201">
        <f t="shared" si="16"/>
        <v>7641262</v>
      </c>
      <c r="M30" s="233">
        <f t="shared" ref="M30:M38" si="23">L30/J30</f>
        <v>76.865356952449929</v>
      </c>
      <c r="N30" s="233">
        <f t="shared" si="17"/>
        <v>5.2956521739130435</v>
      </c>
      <c r="O30" s="232">
        <f t="shared" si="18"/>
        <v>1.1568136322942513E-3</v>
      </c>
      <c r="P30" s="232">
        <f t="shared" si="19"/>
        <v>1.1574435192724795E-4</v>
      </c>
    </row>
    <row r="31" spans="2:16">
      <c r="B31" s="190" t="s">
        <v>42</v>
      </c>
      <c r="C31" s="190" t="s">
        <v>35</v>
      </c>
      <c r="D31" s="190">
        <v>15</v>
      </c>
      <c r="E31" s="190" t="str">
        <f t="shared" si="20"/>
        <v>United StatesFemale15</v>
      </c>
      <c r="F31" s="234" t="s">
        <v>110</v>
      </c>
      <c r="G31" s="230">
        <v>10</v>
      </c>
      <c r="H31" s="231">
        <f t="shared" si="21"/>
        <v>379</v>
      </c>
      <c r="I31" s="232">
        <f t="shared" si="22"/>
        <v>0.99618312922977759</v>
      </c>
      <c r="J31" s="231">
        <f>VLOOKUP(D31,'Appen5b. LT 2019 NCHS_complete'!$C$212:$F$312,4,FALSE)</f>
        <v>99296</v>
      </c>
      <c r="K31" s="201">
        <f>SUM('Appen5b. LT 2019 NCHS_complete'!$H$227:$H$236)</f>
        <v>991395</v>
      </c>
      <c r="L31" s="201">
        <f t="shared" si="16"/>
        <v>6647693</v>
      </c>
      <c r="M31" s="233">
        <f t="shared" si="23"/>
        <v>66.948245649371572</v>
      </c>
      <c r="N31" s="233">
        <f t="shared" si="17"/>
        <v>5.8707124010554086</v>
      </c>
      <c r="O31" s="232">
        <f t="shared" si="18"/>
        <v>3.8168707702224136E-3</v>
      </c>
      <c r="P31" s="232">
        <f t="shared" si="19"/>
        <v>3.8228960202543364E-4</v>
      </c>
    </row>
    <row r="32" spans="2:16">
      <c r="B32" s="190" t="s">
        <v>42</v>
      </c>
      <c r="C32" s="190" t="s">
        <v>35</v>
      </c>
      <c r="D32" s="190">
        <v>25</v>
      </c>
      <c r="E32" s="190" t="str">
        <f t="shared" si="20"/>
        <v>United StatesFemale25</v>
      </c>
      <c r="F32" s="234" t="s">
        <v>111</v>
      </c>
      <c r="G32" s="230">
        <v>10</v>
      </c>
      <c r="H32" s="231">
        <f t="shared" si="21"/>
        <v>780</v>
      </c>
      <c r="I32" s="232">
        <f t="shared" si="22"/>
        <v>0.99211460113024053</v>
      </c>
      <c r="J32" s="231">
        <f>VLOOKUP(D32,'Appen5b. LT 2019 NCHS_complete'!$C$212:$F$312,4,FALSE)</f>
        <v>98917</v>
      </c>
      <c r="K32" s="201">
        <f>SUM('Appen5b. LT 2019 NCHS_complete'!$H$237:$H$246)</f>
        <v>985706</v>
      </c>
      <c r="L32" s="201">
        <f t="shared" si="16"/>
        <v>5656298</v>
      </c>
      <c r="M32" s="233">
        <f t="shared" si="23"/>
        <v>57.182263918234483</v>
      </c>
      <c r="N32" s="233">
        <f t="shared" si="17"/>
        <v>5.5589743589743588</v>
      </c>
      <c r="O32" s="232">
        <f t="shared" si="18"/>
        <v>7.8853988697594746E-3</v>
      </c>
      <c r="P32" s="232">
        <f t="shared" si="19"/>
        <v>7.9131099942579021E-4</v>
      </c>
    </row>
    <row r="33" spans="2:16">
      <c r="B33" s="190" t="s">
        <v>42</v>
      </c>
      <c r="C33" s="190" t="s">
        <v>35</v>
      </c>
      <c r="D33" s="190">
        <v>35</v>
      </c>
      <c r="E33" s="190" t="str">
        <f t="shared" si="20"/>
        <v>United StatesFemale35</v>
      </c>
      <c r="F33" s="234" t="s">
        <v>112</v>
      </c>
      <c r="G33" s="230">
        <v>10</v>
      </c>
      <c r="H33" s="231">
        <f t="shared" si="21"/>
        <v>1389</v>
      </c>
      <c r="I33" s="232">
        <f t="shared" si="22"/>
        <v>0.98584631688354041</v>
      </c>
      <c r="J33" s="231">
        <f>VLOOKUP(D33,'Appen5b. LT 2019 NCHS_complete'!$C$212:$F$312,4,FALSE)</f>
        <v>98137</v>
      </c>
      <c r="K33" s="201">
        <f>SUM('Appen5b. LT 2019 NCHS_complete'!$H$247:$H$256)</f>
        <v>975033</v>
      </c>
      <c r="L33" s="201">
        <f t="shared" si="16"/>
        <v>4670592</v>
      </c>
      <c r="M33" s="233">
        <f t="shared" si="23"/>
        <v>47.592569571109777</v>
      </c>
      <c r="N33" s="233">
        <f t="shared" si="17"/>
        <v>5.4377249820014395</v>
      </c>
      <c r="O33" s="232">
        <f t="shared" si="18"/>
        <v>1.4153683116459592E-2</v>
      </c>
      <c r="P33" s="232">
        <f t="shared" si="19"/>
        <v>1.4245671684958304E-3</v>
      </c>
    </row>
    <row r="34" spans="2:16">
      <c r="B34" s="190" t="s">
        <v>42</v>
      </c>
      <c r="C34" s="190" t="s">
        <v>35</v>
      </c>
      <c r="D34" s="190">
        <v>45</v>
      </c>
      <c r="E34" s="190" t="str">
        <f t="shared" si="20"/>
        <v>United StatesFemale45</v>
      </c>
      <c r="F34" s="234" t="s">
        <v>113</v>
      </c>
      <c r="G34" s="230">
        <v>10</v>
      </c>
      <c r="H34" s="231">
        <f t="shared" si="21"/>
        <v>2827</v>
      </c>
      <c r="I34" s="232">
        <f t="shared" si="22"/>
        <v>0.97077975772108982</v>
      </c>
      <c r="J34" s="231">
        <f>VLOOKUP(D34,'Appen5b. LT 2019 NCHS_complete'!$C$212:$F$312,4,FALSE)</f>
        <v>96748</v>
      </c>
      <c r="K34" s="201">
        <f>SUM('Appen5b. LT 2019 NCHS_complete'!$H$257:$H$266)</f>
        <v>955195</v>
      </c>
      <c r="L34" s="201">
        <f t="shared" si="16"/>
        <v>3695559</v>
      </c>
      <c r="M34" s="233">
        <f t="shared" si="23"/>
        <v>38.197781866291812</v>
      </c>
      <c r="N34" s="233">
        <f t="shared" si="17"/>
        <v>5.6544039617969579</v>
      </c>
      <c r="O34" s="232">
        <f t="shared" si="18"/>
        <v>2.922024227891018E-2</v>
      </c>
      <c r="P34" s="232">
        <f t="shared" si="19"/>
        <v>2.9596051068106538E-3</v>
      </c>
    </row>
    <row r="35" spans="2:16">
      <c r="B35" s="190" t="s">
        <v>42</v>
      </c>
      <c r="C35" s="190" t="s">
        <v>35</v>
      </c>
      <c r="D35" s="190">
        <v>55</v>
      </c>
      <c r="E35" s="190" t="str">
        <f t="shared" si="20"/>
        <v>United StatesFemale55</v>
      </c>
      <c r="F35" s="234" t="s">
        <v>114</v>
      </c>
      <c r="G35" s="230">
        <v>10</v>
      </c>
      <c r="H35" s="231">
        <f t="shared" si="21"/>
        <v>6119</v>
      </c>
      <c r="I35" s="232">
        <f t="shared" si="22"/>
        <v>0.93484950117652066</v>
      </c>
      <c r="J35" s="231">
        <f>VLOOKUP(D35,'Appen5b. LT 2019 NCHS_complete'!$C$212:$F$312,4,FALSE)</f>
        <v>93921</v>
      </c>
      <c r="K35" s="201">
        <f>SUM('Appen5b. LT 2019 NCHS_complete'!$H$267:$H$276)</f>
        <v>912060</v>
      </c>
      <c r="L35" s="201">
        <f t="shared" si="16"/>
        <v>2740364</v>
      </c>
      <c r="M35" s="233">
        <f t="shared" si="23"/>
        <v>29.1773298836256</v>
      </c>
      <c r="N35" s="233">
        <f t="shared" si="17"/>
        <v>5.5630004902761891</v>
      </c>
      <c r="O35" s="232">
        <f t="shared" si="18"/>
        <v>6.5150498823479341E-2</v>
      </c>
      <c r="P35" s="232">
        <f t="shared" si="19"/>
        <v>6.7089884437427404E-3</v>
      </c>
    </row>
    <row r="36" spans="2:16">
      <c r="B36" s="190" t="s">
        <v>42</v>
      </c>
      <c r="C36" s="190" t="s">
        <v>35</v>
      </c>
      <c r="D36" s="190">
        <v>65</v>
      </c>
      <c r="E36" s="190" t="str">
        <f t="shared" si="20"/>
        <v>United StatesFemale65</v>
      </c>
      <c r="F36" s="229" t="s">
        <v>117</v>
      </c>
      <c r="G36" s="230">
        <v>10</v>
      </c>
      <c r="H36" s="231">
        <f t="shared" si="21"/>
        <v>11899</v>
      </c>
      <c r="I36" s="232">
        <f t="shared" si="22"/>
        <v>0.86447916903942967</v>
      </c>
      <c r="J36" s="231">
        <f>VLOOKUP(D36,'Appen5b. LT 2019 NCHS_complete'!$C$212:$F$312,4,FALSE)</f>
        <v>87802</v>
      </c>
      <c r="K36" s="201">
        <f>SUM('Appen5b. LT 2019 NCHS_complete'!$H$277:$H$286)</f>
        <v>825997</v>
      </c>
      <c r="L36" s="201">
        <f t="shared" si="16"/>
        <v>1828304</v>
      </c>
      <c r="M36" s="233">
        <f t="shared" si="23"/>
        <v>20.823033643880549</v>
      </c>
      <c r="N36" s="233">
        <f t="shared" si="17"/>
        <v>5.6279519287335074</v>
      </c>
      <c r="O36" s="232">
        <f t="shared" si="18"/>
        <v>0.13552083096057033</v>
      </c>
      <c r="P36" s="232">
        <f t="shared" si="19"/>
        <v>1.4405621327922493E-2</v>
      </c>
    </row>
    <row r="37" spans="2:16">
      <c r="B37" s="190" t="s">
        <v>42</v>
      </c>
      <c r="C37" s="190" t="s">
        <v>35</v>
      </c>
      <c r="D37" s="190">
        <v>75</v>
      </c>
      <c r="E37" s="190" t="str">
        <f t="shared" si="20"/>
        <v>United StatesFemale75</v>
      </c>
      <c r="F37" s="229" t="s">
        <v>116</v>
      </c>
      <c r="G37" s="230">
        <v>10</v>
      </c>
      <c r="H37" s="231">
        <f t="shared" si="21"/>
        <v>25579</v>
      </c>
      <c r="I37" s="232">
        <f t="shared" si="22"/>
        <v>0.66300409733475618</v>
      </c>
      <c r="J37" s="231">
        <f>VLOOKUP(D37,'Appen5b. LT 2019 NCHS_complete'!$C$212:$F$312,4,FALSE)</f>
        <v>75903</v>
      </c>
      <c r="K37" s="201">
        <f>SUM('Appen5b. LT 2019 NCHS_complete'!$H$287:$H$296)</f>
        <v>646226</v>
      </c>
      <c r="L37" s="201">
        <f>K37+L38</f>
        <v>1002307</v>
      </c>
      <c r="M37" s="233">
        <f t="shared" si="23"/>
        <v>13.205103882586986</v>
      </c>
      <c r="N37" s="233">
        <f t="shared" si="17"/>
        <v>5.5899761523124436</v>
      </c>
      <c r="O37" s="232">
        <f t="shared" si="18"/>
        <v>0.33699590266524382</v>
      </c>
      <c r="P37" s="232">
        <f t="shared" si="19"/>
        <v>3.9582127614797305E-2</v>
      </c>
    </row>
    <row r="38" spans="2:16">
      <c r="B38" s="207" t="s">
        <v>42</v>
      </c>
      <c r="C38" s="207" t="s">
        <v>35</v>
      </c>
      <c r="D38" s="207">
        <v>85</v>
      </c>
      <c r="E38" s="207" t="str">
        <f t="shared" si="20"/>
        <v>United StatesFemale85</v>
      </c>
      <c r="F38" s="235" t="s">
        <v>115</v>
      </c>
      <c r="G38" s="236" t="s">
        <v>37</v>
      </c>
      <c r="H38" s="237">
        <f t="shared" si="21"/>
        <v>50324</v>
      </c>
      <c r="I38" s="237">
        <f t="shared" si="22"/>
        <v>0</v>
      </c>
      <c r="J38" s="237">
        <f>VLOOKUP(D38,'Appen5b. LT 2019 NCHS_complete'!$C$212:$F$312,4,FALSE)</f>
        <v>50324</v>
      </c>
      <c r="K38" s="208">
        <f>SUM('Appen5b. LT 2019 NCHS_complete'!$H$297:$H$312)</f>
        <v>356081</v>
      </c>
      <c r="L38" s="208">
        <f>K38</f>
        <v>356081</v>
      </c>
      <c r="M38" s="238">
        <f t="shared" si="23"/>
        <v>7.0757690167713214</v>
      </c>
      <c r="N38" s="238">
        <f>K38/H38</f>
        <v>7.0757690167713214</v>
      </c>
      <c r="O38" s="239">
        <f t="shared" si="18"/>
        <v>1</v>
      </c>
      <c r="P38" s="239">
        <f>1/M38</f>
        <v>0.14132739460965343</v>
      </c>
    </row>
    <row r="40" spans="2:16">
      <c r="B40" s="240" t="s">
        <v>301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42464-18F4-6C4D-8074-B2EE6E82E54D}">
  <dimension ref="A1:J312"/>
  <sheetViews>
    <sheetView workbookViewId="0">
      <pane xSplit="4" ySplit="7" topLeftCell="E69" activePane="bottomRight" state="frozen"/>
      <selection activeCell="C3" sqref="C3:H3"/>
      <selection pane="topRight" activeCell="C3" sqref="C3:H3"/>
      <selection pane="bottomLeft" activeCell="C3" sqref="C3:H3"/>
      <selection pane="bottomRight"/>
    </sheetView>
  </sheetViews>
  <sheetFormatPr defaultColWidth="11" defaultRowHeight="13.8"/>
  <cols>
    <col min="1" max="4" width="11" style="124"/>
    <col min="5" max="9" width="11" style="122"/>
    <col min="10" max="10" width="11" style="153"/>
    <col min="11" max="16384" width="11" style="122"/>
  </cols>
  <sheetData>
    <row r="1" spans="1:10">
      <c r="A1" s="322" t="s">
        <v>369</v>
      </c>
    </row>
    <row r="2" spans="1:10">
      <c r="D2" s="332" t="s">
        <v>159</v>
      </c>
      <c r="E2" s="333"/>
      <c r="F2" s="333"/>
      <c r="G2" s="333"/>
      <c r="H2" s="333"/>
      <c r="I2" s="333"/>
      <c r="J2" s="333"/>
    </row>
    <row r="3" spans="1:10">
      <c r="D3" s="335" t="s">
        <v>261</v>
      </c>
      <c r="E3" s="336"/>
      <c r="F3" s="336"/>
      <c r="G3" s="336"/>
      <c r="H3" s="336"/>
      <c r="I3" s="336"/>
      <c r="J3" s="336"/>
    </row>
    <row r="4" spans="1:10">
      <c r="D4" s="335" t="s">
        <v>262</v>
      </c>
      <c r="E4" s="335"/>
      <c r="F4" s="335"/>
      <c r="G4" s="335"/>
      <c r="H4" s="335"/>
      <c r="I4" s="335"/>
      <c r="J4" s="335"/>
    </row>
    <row r="5" spans="1:10">
      <c r="D5" s="331" t="s">
        <v>131</v>
      </c>
      <c r="E5" s="331"/>
      <c r="F5" s="331"/>
      <c r="G5" s="331"/>
      <c r="H5" s="331"/>
      <c r="I5" s="331"/>
      <c r="J5" s="331"/>
    </row>
    <row r="6" spans="1:10" ht="48.6">
      <c r="A6" s="161"/>
      <c r="B6" s="161"/>
      <c r="C6" s="161"/>
      <c r="D6" s="334" t="s">
        <v>132</v>
      </c>
      <c r="E6" s="241" t="s">
        <v>337</v>
      </c>
      <c r="F6" s="242" t="s">
        <v>307</v>
      </c>
      <c r="G6" s="242" t="s">
        <v>338</v>
      </c>
      <c r="H6" s="242" t="s">
        <v>339</v>
      </c>
      <c r="I6" s="242" t="s">
        <v>310</v>
      </c>
      <c r="J6" s="243" t="s">
        <v>311</v>
      </c>
    </row>
    <row r="7" spans="1:10" ht="15">
      <c r="A7" s="161" t="s">
        <v>266</v>
      </c>
      <c r="B7" s="161" t="s">
        <v>0</v>
      </c>
      <c r="C7" s="161" t="s">
        <v>157</v>
      </c>
      <c r="D7" s="334"/>
      <c r="E7" s="136" t="s">
        <v>295</v>
      </c>
      <c r="F7" s="137" t="s">
        <v>296</v>
      </c>
      <c r="G7" s="137" t="s">
        <v>297</v>
      </c>
      <c r="H7" s="137" t="s">
        <v>298</v>
      </c>
      <c r="I7" s="137" t="s">
        <v>299</v>
      </c>
      <c r="J7" s="145" t="s">
        <v>300</v>
      </c>
    </row>
    <row r="8" spans="1:10">
      <c r="A8" s="123">
        <v>1</v>
      </c>
      <c r="B8" s="123" t="s">
        <v>3</v>
      </c>
      <c r="C8" s="123">
        <v>0</v>
      </c>
      <c r="D8" s="154" t="s">
        <v>160</v>
      </c>
      <c r="E8" s="138">
        <v>5.5746231228113174E-3</v>
      </c>
      <c r="F8" s="129">
        <v>100000</v>
      </c>
      <c r="G8" s="129">
        <v>557.46234130859375</v>
      </c>
      <c r="H8" s="129">
        <v>99513.3359375</v>
      </c>
      <c r="I8" s="129">
        <v>7884823</v>
      </c>
      <c r="J8" s="148">
        <v>78.848228454589844</v>
      </c>
    </row>
    <row r="9" spans="1:10">
      <c r="A9" s="124">
        <v>1</v>
      </c>
      <c r="B9" s="124" t="s">
        <v>3</v>
      </c>
      <c r="C9" s="124">
        <v>1</v>
      </c>
      <c r="D9" s="155" t="s">
        <v>161</v>
      </c>
      <c r="E9" s="128">
        <v>3.7901959149166942E-4</v>
      </c>
      <c r="F9" s="130">
        <v>99442.5390625</v>
      </c>
      <c r="G9" s="130">
        <v>37.690670013427734</v>
      </c>
      <c r="H9" s="130">
        <v>99423.6953125</v>
      </c>
      <c r="I9" s="130">
        <v>7785309.5</v>
      </c>
      <c r="J9" s="149">
        <v>78.289527893066406</v>
      </c>
    </row>
    <row r="10" spans="1:10">
      <c r="A10" s="124">
        <v>1</v>
      </c>
      <c r="B10" s="124" t="s">
        <v>3</v>
      </c>
      <c r="C10" s="124">
        <v>2</v>
      </c>
      <c r="D10" s="155" t="s">
        <v>162</v>
      </c>
      <c r="E10" s="128">
        <v>2.335858007427305E-4</v>
      </c>
      <c r="F10" s="130">
        <v>99404.8515625</v>
      </c>
      <c r="G10" s="130">
        <v>23.219562530517578</v>
      </c>
      <c r="H10" s="130">
        <v>99393.2421875</v>
      </c>
      <c r="I10" s="130">
        <v>7685886</v>
      </c>
      <c r="J10" s="149">
        <v>77.319023132324219</v>
      </c>
    </row>
    <row r="11" spans="1:10">
      <c r="A11" s="124">
        <v>1</v>
      </c>
      <c r="B11" s="124" t="s">
        <v>3</v>
      </c>
      <c r="C11" s="124">
        <v>3</v>
      </c>
      <c r="D11" s="155" t="s">
        <v>163</v>
      </c>
      <c r="E11" s="128">
        <v>1.7982609278988093E-4</v>
      </c>
      <c r="F11" s="130">
        <v>99381.6328125</v>
      </c>
      <c r="G11" s="130">
        <v>17.871410369873047</v>
      </c>
      <c r="H11" s="130">
        <v>99372.6953125</v>
      </c>
      <c r="I11" s="130">
        <v>7586492.5</v>
      </c>
      <c r="J11" s="149">
        <v>76.336967468261719</v>
      </c>
    </row>
    <row r="12" spans="1:10">
      <c r="A12" s="124">
        <v>1</v>
      </c>
      <c r="B12" s="124" t="s">
        <v>3</v>
      </c>
      <c r="C12" s="124">
        <v>4</v>
      </c>
      <c r="D12" s="155" t="s">
        <v>164</v>
      </c>
      <c r="E12" s="128">
        <v>1.4504537102766335E-4</v>
      </c>
      <c r="F12" s="130">
        <v>99363.7578125</v>
      </c>
      <c r="G12" s="130">
        <v>14.412253379821777</v>
      </c>
      <c r="H12" s="130">
        <v>99356.546875</v>
      </c>
      <c r="I12" s="130">
        <v>7487120</v>
      </c>
      <c r="J12" s="149">
        <v>75.350608825683594</v>
      </c>
    </row>
    <row r="13" spans="1:10">
      <c r="A13" s="124">
        <v>1</v>
      </c>
      <c r="B13" s="124" t="s">
        <v>3</v>
      </c>
      <c r="C13" s="124">
        <v>5</v>
      </c>
      <c r="D13" s="155" t="s">
        <v>165</v>
      </c>
      <c r="E13" s="128">
        <v>1.3698161637876183E-4</v>
      </c>
      <c r="F13" s="130">
        <v>99349.34375</v>
      </c>
      <c r="G13" s="130">
        <v>13.609033584594727</v>
      </c>
      <c r="H13" s="130">
        <v>99342.5390625</v>
      </c>
      <c r="I13" s="130">
        <v>7387763.5</v>
      </c>
      <c r="J13" s="149">
        <v>74.361473083496094</v>
      </c>
    </row>
    <row r="14" spans="1:10">
      <c r="A14" s="124">
        <v>1</v>
      </c>
      <c r="B14" s="124" t="s">
        <v>3</v>
      </c>
      <c r="C14" s="124">
        <v>6</v>
      </c>
      <c r="D14" s="155" t="s">
        <v>166</v>
      </c>
      <c r="E14" s="128">
        <v>1.2438830162864178E-4</v>
      </c>
      <c r="F14" s="130">
        <v>99335.734375</v>
      </c>
      <c r="G14" s="130">
        <v>12.356203079223633</v>
      </c>
      <c r="H14" s="130">
        <v>99329.5546875</v>
      </c>
      <c r="I14" s="130">
        <v>7288420.5</v>
      </c>
      <c r="J14" s="149">
        <v>73.371589660644531</v>
      </c>
    </row>
    <row r="15" spans="1:10">
      <c r="A15" s="124">
        <v>1</v>
      </c>
      <c r="B15" s="124" t="s">
        <v>3</v>
      </c>
      <c r="C15" s="124">
        <v>7</v>
      </c>
      <c r="D15" s="155" t="s">
        <v>167</v>
      </c>
      <c r="E15" s="128">
        <v>1.143699701060541E-4</v>
      </c>
      <c r="F15" s="130">
        <v>99323.375</v>
      </c>
      <c r="G15" s="130">
        <v>11.359611511230469</v>
      </c>
      <c r="H15" s="130">
        <v>99317.6953125</v>
      </c>
      <c r="I15" s="130">
        <v>7189091</v>
      </c>
      <c r="J15" s="149">
        <v>72.380653381347656</v>
      </c>
    </row>
    <row r="16" spans="1:10">
      <c r="A16" s="124">
        <v>1</v>
      </c>
      <c r="B16" s="124" t="s">
        <v>3</v>
      </c>
      <c r="C16" s="124">
        <v>8</v>
      </c>
      <c r="D16" s="155" t="s">
        <v>168</v>
      </c>
      <c r="E16" s="128">
        <v>1.0507213301025331E-4</v>
      </c>
      <c r="F16" s="130">
        <v>99312.015625</v>
      </c>
      <c r="G16" s="130">
        <v>10.434925079345703</v>
      </c>
      <c r="H16" s="130">
        <v>99306.796875</v>
      </c>
      <c r="I16" s="130">
        <v>7089773.5</v>
      </c>
      <c r="J16" s="149">
        <v>71.388877868652344</v>
      </c>
    </row>
    <row r="17" spans="1:10">
      <c r="A17" s="124">
        <v>1</v>
      </c>
      <c r="B17" s="124" t="s">
        <v>3</v>
      </c>
      <c r="C17" s="124">
        <v>9</v>
      </c>
      <c r="D17" s="155" t="s">
        <v>169</v>
      </c>
      <c r="E17" s="128">
        <v>9.7375486802775413E-5</v>
      </c>
      <c r="F17" s="130">
        <v>99301.578125</v>
      </c>
      <c r="G17" s="130">
        <v>9.6695394515991211</v>
      </c>
      <c r="H17" s="130">
        <v>99296.7421875</v>
      </c>
      <c r="I17" s="130">
        <v>6990466.5</v>
      </c>
      <c r="J17" s="149">
        <v>70.396331787109375</v>
      </c>
    </row>
    <row r="18" spans="1:10">
      <c r="A18" s="124">
        <v>1</v>
      </c>
      <c r="B18" s="124" t="s">
        <v>3</v>
      </c>
      <c r="C18" s="124">
        <v>10</v>
      </c>
      <c r="D18" s="155" t="s">
        <v>170</v>
      </c>
      <c r="E18" s="128">
        <v>9.4967945187818259E-5</v>
      </c>
      <c r="F18" s="130">
        <v>99291.90625</v>
      </c>
      <c r="G18" s="130">
        <v>9.4295482635498047</v>
      </c>
      <c r="H18" s="130">
        <v>99287.1875</v>
      </c>
      <c r="I18" s="130">
        <v>6891170</v>
      </c>
      <c r="J18" s="149">
        <v>69.40313720703125</v>
      </c>
    </row>
    <row r="19" spans="1:10">
      <c r="A19" s="124">
        <v>1</v>
      </c>
      <c r="B19" s="124" t="s">
        <v>3</v>
      </c>
      <c r="C19" s="124">
        <v>11</v>
      </c>
      <c r="D19" s="155" t="s">
        <v>171</v>
      </c>
      <c r="E19" s="128">
        <v>1.0389441013103351E-4</v>
      </c>
      <c r="F19" s="130">
        <v>99282.4765625</v>
      </c>
      <c r="G19" s="130">
        <v>10.314894676208496</v>
      </c>
      <c r="H19" s="130">
        <v>99277.3203125</v>
      </c>
      <c r="I19" s="130">
        <v>6791883</v>
      </c>
      <c r="J19" s="149">
        <v>68.409683227539063</v>
      </c>
    </row>
    <row r="20" spans="1:10">
      <c r="A20" s="124">
        <v>1</v>
      </c>
      <c r="B20" s="124" t="s">
        <v>3</v>
      </c>
      <c r="C20" s="124">
        <v>12</v>
      </c>
      <c r="D20" s="155" t="s">
        <v>172</v>
      </c>
      <c r="E20" s="128">
        <v>1.3115744513925165E-4</v>
      </c>
      <c r="F20" s="130">
        <v>99272.1640625</v>
      </c>
      <c r="G20" s="130">
        <v>13.020283699035645</v>
      </c>
      <c r="H20" s="130">
        <v>99265.65625</v>
      </c>
      <c r="I20" s="130">
        <v>6692605.5</v>
      </c>
      <c r="J20" s="149">
        <v>67.416740417480469</v>
      </c>
    </row>
    <row r="21" spans="1:10">
      <c r="A21" s="124">
        <v>1</v>
      </c>
      <c r="B21" s="124" t="s">
        <v>3</v>
      </c>
      <c r="C21" s="124">
        <v>13</v>
      </c>
      <c r="D21" s="155" t="s">
        <v>173</v>
      </c>
      <c r="E21" s="128">
        <v>1.8084223847836256E-4</v>
      </c>
      <c r="F21" s="130">
        <v>99259.140625</v>
      </c>
      <c r="G21" s="130">
        <v>17.950244903564453</v>
      </c>
      <c r="H21" s="130">
        <v>99250.1640625</v>
      </c>
      <c r="I21" s="130">
        <v>6593340</v>
      </c>
      <c r="J21" s="149">
        <v>66.425521850585938</v>
      </c>
    </row>
    <row r="22" spans="1:10">
      <c r="A22" s="124">
        <v>1</v>
      </c>
      <c r="B22" s="124" t="s">
        <v>3</v>
      </c>
      <c r="C22" s="124">
        <v>14</v>
      </c>
      <c r="D22" s="155" t="s">
        <v>174</v>
      </c>
      <c r="E22" s="128">
        <v>2.4840509286150336E-4</v>
      </c>
      <c r="F22" s="130">
        <v>99241.1875</v>
      </c>
      <c r="G22" s="130">
        <v>24.652015686035156</v>
      </c>
      <c r="H22" s="130">
        <v>99228.859375</v>
      </c>
      <c r="I22" s="130">
        <v>6494089.5</v>
      </c>
      <c r="J22" s="149">
        <v>65.43743896484375</v>
      </c>
    </row>
    <row r="23" spans="1:10">
      <c r="A23" s="124">
        <v>1</v>
      </c>
      <c r="B23" s="124" t="s">
        <v>3</v>
      </c>
      <c r="C23" s="124">
        <v>15</v>
      </c>
      <c r="D23" s="155" t="s">
        <v>175</v>
      </c>
      <c r="E23" s="128">
        <v>3.236070042476058E-4</v>
      </c>
      <c r="F23" s="130">
        <v>99216.5390625</v>
      </c>
      <c r="G23" s="130">
        <v>32.107166290283203</v>
      </c>
      <c r="H23" s="130">
        <v>99200.484375</v>
      </c>
      <c r="I23" s="130">
        <v>6394861</v>
      </c>
      <c r="J23" s="149">
        <v>64.453575134277344</v>
      </c>
    </row>
    <row r="24" spans="1:10">
      <c r="A24" s="124">
        <v>1</v>
      </c>
      <c r="B24" s="124" t="s">
        <v>3</v>
      </c>
      <c r="C24" s="124">
        <v>16</v>
      </c>
      <c r="D24" s="155" t="s">
        <v>176</v>
      </c>
      <c r="E24" s="128">
        <v>4.0088381501846015E-4</v>
      </c>
      <c r="F24" s="130">
        <v>99184.4296875</v>
      </c>
      <c r="G24" s="130">
        <v>39.761432647705078</v>
      </c>
      <c r="H24" s="130">
        <v>99164.546875</v>
      </c>
      <c r="I24" s="130">
        <v>6295660.5</v>
      </c>
      <c r="J24" s="149">
        <v>63.474281311035156</v>
      </c>
    </row>
    <row r="25" spans="1:10">
      <c r="A25" s="124">
        <v>1</v>
      </c>
      <c r="B25" s="124" t="s">
        <v>3</v>
      </c>
      <c r="C25" s="124">
        <v>17</v>
      </c>
      <c r="D25" s="155" t="s">
        <v>177</v>
      </c>
      <c r="E25" s="128">
        <v>4.8330056597478688E-4</v>
      </c>
      <c r="F25" s="130">
        <v>99144.671875</v>
      </c>
      <c r="G25" s="130">
        <v>47.916675567626953</v>
      </c>
      <c r="H25" s="130">
        <v>99120.71875</v>
      </c>
      <c r="I25" s="130">
        <v>6196495.5</v>
      </c>
      <c r="J25" s="149">
        <v>62.499530792236328</v>
      </c>
    </row>
    <row r="26" spans="1:10">
      <c r="A26" s="124">
        <v>1</v>
      </c>
      <c r="B26" s="124" t="s">
        <v>3</v>
      </c>
      <c r="C26" s="124">
        <v>18</v>
      </c>
      <c r="D26" s="155" t="s">
        <v>178</v>
      </c>
      <c r="E26" s="128">
        <v>5.6912412401288748E-4</v>
      </c>
      <c r="F26" s="130">
        <v>99096.7578125</v>
      </c>
      <c r="G26" s="130">
        <v>56.398353576660156</v>
      </c>
      <c r="H26" s="130">
        <v>99068.5625</v>
      </c>
      <c r="I26" s="130">
        <v>6097375</v>
      </c>
      <c r="J26" s="149">
        <v>61.529510498046875</v>
      </c>
    </row>
    <row r="27" spans="1:10">
      <c r="A27" s="124">
        <v>1</v>
      </c>
      <c r="B27" s="124" t="s">
        <v>3</v>
      </c>
      <c r="C27" s="124">
        <v>19</v>
      </c>
      <c r="D27" s="155" t="s">
        <v>179</v>
      </c>
      <c r="E27" s="128">
        <v>6.5652106422930956E-4</v>
      </c>
      <c r="F27" s="130">
        <v>99040.359375</v>
      </c>
      <c r="G27" s="130">
        <v>65.022079467773438</v>
      </c>
      <c r="H27" s="130">
        <v>99007.84375</v>
      </c>
      <c r="I27" s="130">
        <v>5998306.5</v>
      </c>
      <c r="J27" s="149">
        <v>60.564262390136719</v>
      </c>
    </row>
    <row r="28" spans="1:10">
      <c r="A28" s="124">
        <v>1</v>
      </c>
      <c r="B28" s="124" t="s">
        <v>3</v>
      </c>
      <c r="C28" s="124">
        <v>20</v>
      </c>
      <c r="D28" s="155" t="s">
        <v>180</v>
      </c>
      <c r="E28" s="128">
        <v>7.4816955020651221E-4</v>
      </c>
      <c r="F28" s="130">
        <v>98975.3359375</v>
      </c>
      <c r="G28" s="130">
        <v>74.050331115722656</v>
      </c>
      <c r="H28" s="130">
        <v>98938.3125</v>
      </c>
      <c r="I28" s="130">
        <v>5899298.5</v>
      </c>
      <c r="J28" s="149">
        <v>59.603721618652344</v>
      </c>
    </row>
    <row r="29" spans="1:10">
      <c r="A29" s="124">
        <v>1</v>
      </c>
      <c r="B29" s="124" t="s">
        <v>3</v>
      </c>
      <c r="C29" s="124">
        <v>21</v>
      </c>
      <c r="D29" s="155" t="s">
        <v>181</v>
      </c>
      <c r="E29" s="128">
        <v>8.3879783051088452E-4</v>
      </c>
      <c r="F29" s="130">
        <v>98901.2890625</v>
      </c>
      <c r="G29" s="130">
        <v>82.958183288574219</v>
      </c>
      <c r="H29" s="130">
        <v>98859.8125</v>
      </c>
      <c r="I29" s="130">
        <v>5800360.5</v>
      </c>
      <c r="J29" s="149">
        <v>58.647975921630859</v>
      </c>
    </row>
    <row r="30" spans="1:10">
      <c r="A30" s="124">
        <v>1</v>
      </c>
      <c r="B30" s="124" t="s">
        <v>3</v>
      </c>
      <c r="C30" s="124">
        <v>22</v>
      </c>
      <c r="D30" s="155" t="s">
        <v>182</v>
      </c>
      <c r="E30" s="128">
        <v>9.1679289471358061E-4</v>
      </c>
      <c r="F30" s="130">
        <v>98818.328125</v>
      </c>
      <c r="G30" s="130">
        <v>90.595939636230469</v>
      </c>
      <c r="H30" s="130">
        <v>98773.03125</v>
      </c>
      <c r="I30" s="130">
        <v>5701500.5</v>
      </c>
      <c r="J30" s="149">
        <v>57.696792602539063</v>
      </c>
    </row>
    <row r="31" spans="1:10">
      <c r="A31" s="124">
        <v>1</v>
      </c>
      <c r="B31" s="124" t="s">
        <v>3</v>
      </c>
      <c r="C31" s="124">
        <v>23</v>
      </c>
      <c r="D31" s="155" t="s">
        <v>183</v>
      </c>
      <c r="E31" s="128">
        <v>9.7567238844931126E-4</v>
      </c>
      <c r="F31" s="130">
        <v>98727.734375</v>
      </c>
      <c r="G31" s="130">
        <v>96.325927734375</v>
      </c>
      <c r="H31" s="130">
        <v>98679.5703125</v>
      </c>
      <c r="I31" s="130">
        <v>5602727.5</v>
      </c>
      <c r="J31" s="149">
        <v>56.749275207519531</v>
      </c>
    </row>
    <row r="32" spans="1:10">
      <c r="A32" s="124">
        <v>1</v>
      </c>
      <c r="B32" s="124" t="s">
        <v>3</v>
      </c>
      <c r="C32" s="124">
        <v>24</v>
      </c>
      <c r="D32" s="155" t="s">
        <v>184</v>
      </c>
      <c r="E32" s="128">
        <v>1.0196035727858543E-3</v>
      </c>
      <c r="F32" s="130">
        <v>98631.40625</v>
      </c>
      <c r="G32" s="130">
        <v>100.56493377685547</v>
      </c>
      <c r="H32" s="130">
        <v>98581.125</v>
      </c>
      <c r="I32" s="130">
        <v>5504048</v>
      </c>
      <c r="J32" s="149">
        <v>55.804214477539063</v>
      </c>
    </row>
    <row r="33" spans="1:10">
      <c r="A33" s="124">
        <v>1</v>
      </c>
      <c r="B33" s="124" t="s">
        <v>3</v>
      </c>
      <c r="C33" s="124">
        <v>25</v>
      </c>
      <c r="D33" s="155" t="s">
        <v>185</v>
      </c>
      <c r="E33" s="128">
        <v>1.057477667927742E-3</v>
      </c>
      <c r="F33" s="130">
        <v>98530.84375</v>
      </c>
      <c r="G33" s="130">
        <v>104.19416809082031</v>
      </c>
      <c r="H33" s="130">
        <v>98478.75</v>
      </c>
      <c r="I33" s="130">
        <v>5405466.5</v>
      </c>
      <c r="J33" s="149">
        <v>54.860652923583984</v>
      </c>
    </row>
    <row r="34" spans="1:10">
      <c r="A34" s="124">
        <v>1</v>
      </c>
      <c r="B34" s="124" t="s">
        <v>3</v>
      </c>
      <c r="C34" s="124">
        <v>26</v>
      </c>
      <c r="D34" s="155" t="s">
        <v>186</v>
      </c>
      <c r="E34" s="128">
        <v>1.0969589930027723E-3</v>
      </c>
      <c r="F34" s="130">
        <v>98426.6484375</v>
      </c>
      <c r="G34" s="130">
        <v>107.96999359130859</v>
      </c>
      <c r="H34" s="130">
        <v>98372.6640625</v>
      </c>
      <c r="I34" s="130">
        <v>5306988</v>
      </c>
      <c r="J34" s="149">
        <v>53.918201446533203</v>
      </c>
    </row>
    <row r="35" spans="1:10">
      <c r="A35" s="124">
        <v>1</v>
      </c>
      <c r="B35" s="124" t="s">
        <v>3</v>
      </c>
      <c r="C35" s="124">
        <v>27</v>
      </c>
      <c r="D35" s="155" t="s">
        <v>187</v>
      </c>
      <c r="E35" s="128">
        <v>1.139489933848381E-3</v>
      </c>
      <c r="F35" s="130">
        <v>98318.6796875</v>
      </c>
      <c r="G35" s="130">
        <v>112.03314208984375</v>
      </c>
      <c r="H35" s="130">
        <v>98262.6640625</v>
      </c>
      <c r="I35" s="130">
        <v>5208615.5</v>
      </c>
      <c r="J35" s="149">
        <v>52.97686767578125</v>
      </c>
    </row>
    <row r="36" spans="1:10">
      <c r="A36" s="124">
        <v>1</v>
      </c>
      <c r="B36" s="124" t="s">
        <v>3</v>
      </c>
      <c r="C36" s="124">
        <v>28</v>
      </c>
      <c r="D36" s="155" t="s">
        <v>188</v>
      </c>
      <c r="E36" s="128">
        <v>1.1897021904587746E-3</v>
      </c>
      <c r="F36" s="130">
        <v>98206.6484375</v>
      </c>
      <c r="G36" s="130">
        <v>116.83666229248047</v>
      </c>
      <c r="H36" s="130">
        <v>98148.234375</v>
      </c>
      <c r="I36" s="130">
        <v>5110352.5</v>
      </c>
      <c r="J36" s="149">
        <v>52.036727905273438</v>
      </c>
    </row>
    <row r="37" spans="1:10">
      <c r="A37" s="124">
        <v>1</v>
      </c>
      <c r="B37" s="124" t="s">
        <v>3</v>
      </c>
      <c r="C37" s="124">
        <v>29</v>
      </c>
      <c r="D37" s="155" t="s">
        <v>189</v>
      </c>
      <c r="E37" s="128">
        <v>1.2475835392251611E-3</v>
      </c>
      <c r="F37" s="130">
        <v>98089.8125</v>
      </c>
      <c r="G37" s="130">
        <v>122.37523651123047</v>
      </c>
      <c r="H37" s="130">
        <v>98028.625</v>
      </c>
      <c r="I37" s="130">
        <v>5012204.5</v>
      </c>
      <c r="J37" s="149">
        <v>51.098114013671875</v>
      </c>
    </row>
    <row r="38" spans="1:10">
      <c r="A38" s="124">
        <v>1</v>
      </c>
      <c r="B38" s="124" t="s">
        <v>3</v>
      </c>
      <c r="C38" s="124">
        <v>30</v>
      </c>
      <c r="D38" s="155" t="s">
        <v>190</v>
      </c>
      <c r="E38" s="128">
        <v>1.3091136934235692E-3</v>
      </c>
      <c r="F38" s="130">
        <v>97967.4375</v>
      </c>
      <c r="G38" s="130">
        <v>128.25051879882813</v>
      </c>
      <c r="H38" s="130">
        <v>97903.3125</v>
      </c>
      <c r="I38" s="130">
        <v>4914176</v>
      </c>
      <c r="J38" s="149">
        <v>50.161319732666016</v>
      </c>
    </row>
    <row r="39" spans="1:10">
      <c r="A39" s="124">
        <v>1</v>
      </c>
      <c r="B39" s="124" t="s">
        <v>3</v>
      </c>
      <c r="C39" s="124">
        <v>31</v>
      </c>
      <c r="D39" s="155" t="s">
        <v>191</v>
      </c>
      <c r="E39" s="128">
        <v>1.3712652726098895E-3</v>
      </c>
      <c r="F39" s="130">
        <v>97839.1875</v>
      </c>
      <c r="G39" s="130">
        <v>134.16348266601563</v>
      </c>
      <c r="H39" s="130">
        <v>97772.109375</v>
      </c>
      <c r="I39" s="130">
        <v>4816272.5</v>
      </c>
      <c r="J39" s="149">
        <v>49.226413726806641</v>
      </c>
    </row>
    <row r="40" spans="1:10">
      <c r="A40" s="124">
        <v>1</v>
      </c>
      <c r="B40" s="124" t="s">
        <v>3</v>
      </c>
      <c r="C40" s="124">
        <v>32</v>
      </c>
      <c r="D40" s="155" t="s">
        <v>192</v>
      </c>
      <c r="E40" s="128">
        <v>1.4356349129229784E-3</v>
      </c>
      <c r="F40" s="130">
        <v>97705.0234375</v>
      </c>
      <c r="G40" s="130">
        <v>140.26873779296875</v>
      </c>
      <c r="H40" s="130">
        <v>97634.890625</v>
      </c>
      <c r="I40" s="130">
        <v>4718500.5</v>
      </c>
      <c r="J40" s="149">
        <v>48.293327331542969</v>
      </c>
    </row>
    <row r="41" spans="1:10">
      <c r="A41" s="124">
        <v>1</v>
      </c>
      <c r="B41" s="124" t="s">
        <v>3</v>
      </c>
      <c r="C41" s="124">
        <v>33</v>
      </c>
      <c r="D41" s="155" t="s">
        <v>193</v>
      </c>
      <c r="E41" s="128">
        <v>1.500166836194694E-3</v>
      </c>
      <c r="F41" s="130">
        <v>97564.7578125</v>
      </c>
      <c r="G41" s="130">
        <v>146.36341857910156</v>
      </c>
      <c r="H41" s="130">
        <v>97491.578125</v>
      </c>
      <c r="I41" s="130">
        <v>4620865.5</v>
      </c>
      <c r="J41" s="149">
        <v>47.362033843994141</v>
      </c>
    </row>
    <row r="42" spans="1:10">
      <c r="A42" s="124">
        <v>1</v>
      </c>
      <c r="B42" s="124" t="s">
        <v>3</v>
      </c>
      <c r="C42" s="124">
        <v>34</v>
      </c>
      <c r="D42" s="155" t="s">
        <v>194</v>
      </c>
      <c r="E42" s="128">
        <v>1.5644925879314542E-3</v>
      </c>
      <c r="F42" s="130">
        <v>97418.390625</v>
      </c>
      <c r="G42" s="130">
        <v>152.41035461425781</v>
      </c>
      <c r="H42" s="130">
        <v>97342.1875</v>
      </c>
      <c r="I42" s="130">
        <v>4523374</v>
      </c>
      <c r="J42" s="149">
        <v>46.432445526123047</v>
      </c>
    </row>
    <row r="43" spans="1:10">
      <c r="A43" s="124">
        <v>1</v>
      </c>
      <c r="B43" s="124" t="s">
        <v>3</v>
      </c>
      <c r="C43" s="124">
        <v>35</v>
      </c>
      <c r="D43" s="155" t="s">
        <v>195</v>
      </c>
      <c r="E43" s="128">
        <v>1.6357669373974204E-3</v>
      </c>
      <c r="F43" s="130">
        <v>97265.9765625</v>
      </c>
      <c r="G43" s="130">
        <v>159.10446166992188</v>
      </c>
      <c r="H43" s="130">
        <v>97186.421875</v>
      </c>
      <c r="I43" s="130">
        <v>4426031.5</v>
      </c>
      <c r="J43" s="149">
        <v>45.504417419433594</v>
      </c>
    </row>
    <row r="44" spans="1:10">
      <c r="A44" s="124">
        <v>1</v>
      </c>
      <c r="B44" s="124" t="s">
        <v>3</v>
      </c>
      <c r="C44" s="124">
        <v>36</v>
      </c>
      <c r="D44" s="155" t="s">
        <v>196</v>
      </c>
      <c r="E44" s="128">
        <v>1.7114874208346009E-3</v>
      </c>
      <c r="F44" s="130">
        <v>97106.875</v>
      </c>
      <c r="G44" s="130">
        <v>166.19718933105469</v>
      </c>
      <c r="H44" s="130">
        <v>97023.78125</v>
      </c>
      <c r="I44" s="130">
        <v>4328845.5</v>
      </c>
      <c r="J44" s="149">
        <v>44.578155517578125</v>
      </c>
    </row>
    <row r="45" spans="1:10">
      <c r="A45" s="124">
        <v>1</v>
      </c>
      <c r="B45" s="124" t="s">
        <v>3</v>
      </c>
      <c r="C45" s="124">
        <v>37</v>
      </c>
      <c r="D45" s="155" t="s">
        <v>197</v>
      </c>
      <c r="E45" s="128">
        <v>1.7822833033278584E-3</v>
      </c>
      <c r="F45" s="130">
        <v>96940.6796875</v>
      </c>
      <c r="G45" s="130">
        <v>172.7757568359375</v>
      </c>
      <c r="H45" s="130">
        <v>96854.296875</v>
      </c>
      <c r="I45" s="130">
        <v>4231821.5</v>
      </c>
      <c r="J45" s="149">
        <v>43.653720855712891</v>
      </c>
    </row>
    <row r="46" spans="1:10">
      <c r="A46" s="124">
        <v>1</v>
      </c>
      <c r="B46" s="124" t="s">
        <v>3</v>
      </c>
      <c r="C46" s="124">
        <v>38</v>
      </c>
      <c r="D46" s="155" t="s">
        <v>198</v>
      </c>
      <c r="E46" s="128">
        <v>1.8468758789822459E-3</v>
      </c>
      <c r="F46" s="130">
        <v>96767.90625</v>
      </c>
      <c r="G46" s="130">
        <v>178.71830749511719</v>
      </c>
      <c r="H46" s="130">
        <v>96678.546875</v>
      </c>
      <c r="I46" s="130">
        <v>4134967.25</v>
      </c>
      <c r="J46" s="149">
        <v>42.730770111083984</v>
      </c>
    </row>
    <row r="47" spans="1:10">
      <c r="A47" s="124">
        <v>1</v>
      </c>
      <c r="B47" s="124" t="s">
        <v>3</v>
      </c>
      <c r="C47" s="124">
        <v>39</v>
      </c>
      <c r="D47" s="155" t="s">
        <v>199</v>
      </c>
      <c r="E47" s="128">
        <v>1.912494539283216E-3</v>
      </c>
      <c r="F47" s="130">
        <v>96589.1875</v>
      </c>
      <c r="G47" s="130">
        <v>184.72628784179688</v>
      </c>
      <c r="H47" s="130">
        <v>96496.828125</v>
      </c>
      <c r="I47" s="130">
        <v>4038288.75</v>
      </c>
      <c r="J47" s="149">
        <v>41.808910369873047</v>
      </c>
    </row>
    <row r="48" spans="1:10">
      <c r="A48" s="124">
        <v>1</v>
      </c>
      <c r="B48" s="124" t="s">
        <v>3</v>
      </c>
      <c r="C48" s="124">
        <v>40</v>
      </c>
      <c r="D48" s="155" t="s">
        <v>200</v>
      </c>
      <c r="E48" s="128">
        <v>1.9896079320460558E-3</v>
      </c>
      <c r="F48" s="130">
        <v>96404.4609375</v>
      </c>
      <c r="G48" s="130">
        <v>191.80708312988281</v>
      </c>
      <c r="H48" s="130">
        <v>96308.5625</v>
      </c>
      <c r="I48" s="130">
        <v>3941791.75</v>
      </c>
      <c r="J48" s="149">
        <v>40.888065338134766</v>
      </c>
    </row>
    <row r="49" spans="1:10">
      <c r="A49" s="124">
        <v>1</v>
      </c>
      <c r="B49" s="124" t="s">
        <v>3</v>
      </c>
      <c r="C49" s="124">
        <v>41</v>
      </c>
      <c r="D49" s="155" t="s">
        <v>201</v>
      </c>
      <c r="E49" s="128">
        <v>2.0869458094239235E-3</v>
      </c>
      <c r="F49" s="130">
        <v>96212.65625</v>
      </c>
      <c r="G49" s="130">
        <v>200.79060363769531</v>
      </c>
      <c r="H49" s="130">
        <v>96112.265625</v>
      </c>
      <c r="I49" s="130">
        <v>3845483.25</v>
      </c>
      <c r="J49" s="149">
        <v>39.968578338623047</v>
      </c>
    </row>
    <row r="50" spans="1:10">
      <c r="A50" s="124">
        <v>1</v>
      </c>
      <c r="B50" s="124" t="s">
        <v>3</v>
      </c>
      <c r="C50" s="124">
        <v>42</v>
      </c>
      <c r="D50" s="155" t="s">
        <v>202</v>
      </c>
      <c r="E50" s="128">
        <v>2.2051308769732714E-3</v>
      </c>
      <c r="F50" s="130">
        <v>96011.8671875</v>
      </c>
      <c r="G50" s="130">
        <v>211.71873474121094</v>
      </c>
      <c r="H50" s="130">
        <v>95906.0078125</v>
      </c>
      <c r="I50" s="130">
        <v>3749371</v>
      </c>
      <c r="J50" s="149">
        <v>39.051120758056641</v>
      </c>
    </row>
    <row r="51" spans="1:10">
      <c r="A51" s="124">
        <v>1</v>
      </c>
      <c r="B51" s="124" t="s">
        <v>3</v>
      </c>
      <c r="C51" s="124">
        <v>43</v>
      </c>
      <c r="D51" s="155" t="s">
        <v>203</v>
      </c>
      <c r="E51" s="128">
        <v>2.3442336823791265E-3</v>
      </c>
      <c r="F51" s="130">
        <v>95800.1484375</v>
      </c>
      <c r="G51" s="130">
        <v>224.57794189453125</v>
      </c>
      <c r="H51" s="130">
        <v>95687.859375</v>
      </c>
      <c r="I51" s="130">
        <v>3653465</v>
      </c>
      <c r="J51" s="149">
        <v>38.136318206787109</v>
      </c>
    </row>
    <row r="52" spans="1:10">
      <c r="A52" s="124">
        <v>1</v>
      </c>
      <c r="B52" s="124" t="s">
        <v>3</v>
      </c>
      <c r="C52" s="124">
        <v>44</v>
      </c>
      <c r="D52" s="155" t="s">
        <v>204</v>
      </c>
      <c r="E52" s="128">
        <v>2.5014709681272507E-3</v>
      </c>
      <c r="F52" s="130">
        <v>95575.5703125</v>
      </c>
      <c r="G52" s="130">
        <v>239.07951354980469</v>
      </c>
      <c r="H52" s="130">
        <v>95456.03125</v>
      </c>
      <c r="I52" s="130">
        <v>3557777.25</v>
      </c>
      <c r="J52" s="149">
        <v>37.224754333496094</v>
      </c>
    </row>
    <row r="53" spans="1:10">
      <c r="A53" s="124">
        <v>1</v>
      </c>
      <c r="B53" s="124" t="s">
        <v>3</v>
      </c>
      <c r="C53" s="124">
        <v>45</v>
      </c>
      <c r="D53" s="155" t="s">
        <v>205</v>
      </c>
      <c r="E53" s="128">
        <v>2.6790602132678032E-3</v>
      </c>
      <c r="F53" s="130">
        <v>95336.4921875</v>
      </c>
      <c r="G53" s="130">
        <v>255.41220092773438</v>
      </c>
      <c r="H53" s="130">
        <v>95208.78125</v>
      </c>
      <c r="I53" s="130">
        <v>3462321.25</v>
      </c>
      <c r="J53" s="149">
        <v>36.316852569580078</v>
      </c>
    </row>
    <row r="54" spans="1:10">
      <c r="A54" s="124">
        <v>1</v>
      </c>
      <c r="B54" s="124" t="s">
        <v>3</v>
      </c>
      <c r="C54" s="124">
        <v>46</v>
      </c>
      <c r="D54" s="155" t="s">
        <v>206</v>
      </c>
      <c r="E54" s="128">
        <v>2.8768780175596476E-3</v>
      </c>
      <c r="F54" s="130">
        <v>95081.078125</v>
      </c>
      <c r="G54" s="130">
        <v>273.53665161132813</v>
      </c>
      <c r="H54" s="130">
        <v>94944.3125</v>
      </c>
      <c r="I54" s="130">
        <v>3367112.25</v>
      </c>
      <c r="J54" s="149">
        <v>35.413063049316406</v>
      </c>
    </row>
    <row r="55" spans="1:10">
      <c r="A55" s="124">
        <v>1</v>
      </c>
      <c r="B55" s="124" t="s">
        <v>3</v>
      </c>
      <c r="C55" s="124">
        <v>47</v>
      </c>
      <c r="D55" s="155" t="s">
        <v>207</v>
      </c>
      <c r="E55" s="128">
        <v>3.0935278628021479E-3</v>
      </c>
      <c r="F55" s="130">
        <v>94807.5390625</v>
      </c>
      <c r="G55" s="130">
        <v>293.28976440429688</v>
      </c>
      <c r="H55" s="130">
        <v>94660.890625</v>
      </c>
      <c r="I55" s="130">
        <v>3272168</v>
      </c>
      <c r="J55" s="149">
        <v>34.5137939453125</v>
      </c>
    </row>
    <row r="56" spans="1:10">
      <c r="A56" s="124">
        <v>1</v>
      </c>
      <c r="B56" s="124" t="s">
        <v>3</v>
      </c>
      <c r="C56" s="124">
        <v>48</v>
      </c>
      <c r="D56" s="155" t="s">
        <v>208</v>
      </c>
      <c r="E56" s="128">
        <v>3.334488719701767E-3</v>
      </c>
      <c r="F56" s="130">
        <v>94514.25</v>
      </c>
      <c r="G56" s="130">
        <v>315.15670776367188</v>
      </c>
      <c r="H56" s="130">
        <v>94356.671875</v>
      </c>
      <c r="I56" s="130">
        <v>3177507.25</v>
      </c>
      <c r="J56" s="149">
        <v>33.619346618652344</v>
      </c>
    </row>
    <row r="57" spans="1:10">
      <c r="A57" s="124">
        <v>1</v>
      </c>
      <c r="B57" s="124" t="s">
        <v>3</v>
      </c>
      <c r="C57" s="124">
        <v>49</v>
      </c>
      <c r="D57" s="155" t="s">
        <v>209</v>
      </c>
      <c r="E57" s="128">
        <v>3.6083986051380634E-3</v>
      </c>
      <c r="F57" s="130">
        <v>94199.09375</v>
      </c>
      <c r="G57" s="130">
        <v>339.90786743164063</v>
      </c>
      <c r="H57" s="130">
        <v>94029.140625</v>
      </c>
      <c r="I57" s="130">
        <v>3083150.5</v>
      </c>
      <c r="J57" s="149">
        <v>32.730152130126953</v>
      </c>
    </row>
    <row r="58" spans="1:10">
      <c r="A58" s="124">
        <v>1</v>
      </c>
      <c r="B58" s="124" t="s">
        <v>3</v>
      </c>
      <c r="C58" s="124">
        <v>50</v>
      </c>
      <c r="D58" s="155" t="s">
        <v>210</v>
      </c>
      <c r="E58" s="128">
        <v>3.9039896801114082E-3</v>
      </c>
      <c r="F58" s="130">
        <v>93859.1875</v>
      </c>
      <c r="G58" s="130">
        <v>366.42529296875</v>
      </c>
      <c r="H58" s="130">
        <v>93675.9765625</v>
      </c>
      <c r="I58" s="130">
        <v>2989121.25</v>
      </c>
      <c r="J58" s="149">
        <v>31.846868515014648</v>
      </c>
    </row>
    <row r="59" spans="1:10">
      <c r="A59" s="124">
        <v>1</v>
      </c>
      <c r="B59" s="124" t="s">
        <v>3</v>
      </c>
      <c r="C59" s="124">
        <v>51</v>
      </c>
      <c r="D59" s="155" t="s">
        <v>211</v>
      </c>
      <c r="E59" s="128">
        <v>4.237886518239975E-3</v>
      </c>
      <c r="F59" s="130">
        <v>93492.765625</v>
      </c>
      <c r="G59" s="130">
        <v>396.21173095703125</v>
      </c>
      <c r="H59" s="130">
        <v>93294.65625</v>
      </c>
      <c r="I59" s="130">
        <v>2895445.25</v>
      </c>
      <c r="J59" s="149">
        <v>30.969724655151367</v>
      </c>
    </row>
    <row r="60" spans="1:10">
      <c r="A60" s="124">
        <v>1</v>
      </c>
      <c r="B60" s="124" t="s">
        <v>3</v>
      </c>
      <c r="C60" s="124">
        <v>52</v>
      </c>
      <c r="D60" s="155" t="s">
        <v>212</v>
      </c>
      <c r="E60" s="128">
        <v>4.639113787561655E-3</v>
      </c>
      <c r="F60" s="130">
        <v>93096.5546875</v>
      </c>
      <c r="G60" s="130">
        <v>431.885498046875</v>
      </c>
      <c r="H60" s="130">
        <v>92880.609375</v>
      </c>
      <c r="I60" s="130">
        <v>2802150.75</v>
      </c>
      <c r="J60" s="149">
        <v>30.099403381347656</v>
      </c>
    </row>
    <row r="61" spans="1:10">
      <c r="A61" s="124">
        <v>1</v>
      </c>
      <c r="B61" s="124" t="s">
        <v>3</v>
      </c>
      <c r="C61" s="124">
        <v>53</v>
      </c>
      <c r="D61" s="155" t="s">
        <v>213</v>
      </c>
      <c r="E61" s="128">
        <v>5.1074647344648838E-3</v>
      </c>
      <c r="F61" s="130">
        <v>92664.671875</v>
      </c>
      <c r="G61" s="130">
        <v>473.28155517578125</v>
      </c>
      <c r="H61" s="130">
        <v>92428.03125</v>
      </c>
      <c r="I61" s="130">
        <v>2709270</v>
      </c>
      <c r="J61" s="149">
        <v>29.237356185913086</v>
      </c>
    </row>
    <row r="62" spans="1:10">
      <c r="A62" s="124">
        <v>1</v>
      </c>
      <c r="B62" s="124" t="s">
        <v>3</v>
      </c>
      <c r="C62" s="124">
        <v>54</v>
      </c>
      <c r="D62" s="155" t="s">
        <v>214</v>
      </c>
      <c r="E62" s="128">
        <v>5.6149177253246307E-3</v>
      </c>
      <c r="F62" s="130">
        <v>92191.390625</v>
      </c>
      <c r="G62" s="130">
        <v>517.6470947265625</v>
      </c>
      <c r="H62" s="130">
        <v>91932.5625</v>
      </c>
      <c r="I62" s="130">
        <v>2616842</v>
      </c>
      <c r="J62" s="149">
        <v>28.384883880615234</v>
      </c>
    </row>
    <row r="63" spans="1:10">
      <c r="A63" s="124">
        <v>1</v>
      </c>
      <c r="B63" s="124" t="s">
        <v>3</v>
      </c>
      <c r="C63" s="124">
        <v>55</v>
      </c>
      <c r="D63" s="155" t="s">
        <v>215</v>
      </c>
      <c r="E63" s="128">
        <v>6.1229453422129154E-3</v>
      </c>
      <c r="F63" s="130">
        <v>91673.7421875</v>
      </c>
      <c r="G63" s="130">
        <v>561.31329345703125</v>
      </c>
      <c r="H63" s="130">
        <v>91393.0859375</v>
      </c>
      <c r="I63" s="130">
        <v>2524909.5</v>
      </c>
      <c r="J63" s="149">
        <v>27.542341232299805</v>
      </c>
    </row>
    <row r="64" spans="1:10">
      <c r="A64" s="124">
        <v>1</v>
      </c>
      <c r="B64" s="124" t="s">
        <v>3</v>
      </c>
      <c r="C64" s="124">
        <v>56</v>
      </c>
      <c r="D64" s="155" t="s">
        <v>216</v>
      </c>
      <c r="E64" s="128">
        <v>6.6299177706241608E-3</v>
      </c>
      <c r="F64" s="130">
        <v>91112.4296875</v>
      </c>
      <c r="G64" s="130">
        <v>604.06793212890625</v>
      </c>
      <c r="H64" s="130">
        <v>90810.390625</v>
      </c>
      <c r="I64" s="130">
        <v>2433516.5</v>
      </c>
      <c r="J64" s="149">
        <v>26.708940505981445</v>
      </c>
    </row>
    <row r="65" spans="1:10">
      <c r="A65" s="124">
        <v>1</v>
      </c>
      <c r="B65" s="124" t="s">
        <v>3</v>
      </c>
      <c r="C65" s="124">
        <v>57</v>
      </c>
      <c r="D65" s="155" t="s">
        <v>217</v>
      </c>
      <c r="E65" s="128">
        <v>7.1668457239866257E-3</v>
      </c>
      <c r="F65" s="130">
        <v>90508.359375</v>
      </c>
      <c r="G65" s="130">
        <v>648.659423828125</v>
      </c>
      <c r="H65" s="130">
        <v>90184.03125</v>
      </c>
      <c r="I65" s="130">
        <v>2342706</v>
      </c>
      <c r="J65" s="149">
        <v>25.88386344909668</v>
      </c>
    </row>
    <row r="66" spans="1:10">
      <c r="A66" s="124">
        <v>1</v>
      </c>
      <c r="B66" s="124" t="s">
        <v>3</v>
      </c>
      <c r="C66" s="124">
        <v>58</v>
      </c>
      <c r="D66" s="155" t="s">
        <v>218</v>
      </c>
      <c r="E66" s="128">
        <v>7.7540157362818718E-3</v>
      </c>
      <c r="F66" s="130">
        <v>89859.703125</v>
      </c>
      <c r="G66" s="130">
        <v>696.7735595703125</v>
      </c>
      <c r="H66" s="130">
        <v>89511.3125</v>
      </c>
      <c r="I66" s="130">
        <v>2252522</v>
      </c>
      <c r="J66" s="149">
        <v>25.067098617553711</v>
      </c>
    </row>
    <row r="67" spans="1:10">
      <c r="A67" s="124">
        <v>1</v>
      </c>
      <c r="B67" s="124" t="s">
        <v>3</v>
      </c>
      <c r="C67" s="124">
        <v>59</v>
      </c>
      <c r="D67" s="155" t="s">
        <v>219</v>
      </c>
      <c r="E67" s="128">
        <v>8.3939656615257263E-3</v>
      </c>
      <c r="F67" s="130">
        <v>89162.9296875</v>
      </c>
      <c r="G67" s="130">
        <v>748.4305419921875</v>
      </c>
      <c r="H67" s="130">
        <v>88788.71875</v>
      </c>
      <c r="I67" s="130">
        <v>2163010.75</v>
      </c>
      <c r="J67" s="149">
        <v>24.25908088684082</v>
      </c>
    </row>
    <row r="68" spans="1:10">
      <c r="A68" s="124">
        <v>1</v>
      </c>
      <c r="B68" s="124" t="s">
        <v>3</v>
      </c>
      <c r="C68" s="124">
        <v>60</v>
      </c>
      <c r="D68" s="155" t="s">
        <v>220</v>
      </c>
      <c r="E68" s="128">
        <v>9.0903723612427711E-3</v>
      </c>
      <c r="F68" s="130">
        <v>88414.5</v>
      </c>
      <c r="G68" s="130">
        <v>803.720703125</v>
      </c>
      <c r="H68" s="130">
        <v>88012.640625</v>
      </c>
      <c r="I68" s="130">
        <v>2074222</v>
      </c>
      <c r="J68" s="149">
        <v>23.460201263427734</v>
      </c>
    </row>
    <row r="69" spans="1:10">
      <c r="A69" s="124">
        <v>1</v>
      </c>
      <c r="B69" s="124" t="s">
        <v>3</v>
      </c>
      <c r="C69" s="124">
        <v>61</v>
      </c>
      <c r="D69" s="155" t="s">
        <v>221</v>
      </c>
      <c r="E69" s="128">
        <v>9.8080625757575035E-3</v>
      </c>
      <c r="F69" s="130">
        <v>87610.78125</v>
      </c>
      <c r="G69" s="130">
        <v>859.29205322265625</v>
      </c>
      <c r="H69" s="130">
        <v>87181.140625</v>
      </c>
      <c r="I69" s="130">
        <v>1986209.375</v>
      </c>
      <c r="J69" s="149">
        <v>22.670833587646484</v>
      </c>
    </row>
    <row r="70" spans="1:10">
      <c r="A70" s="124">
        <v>1</v>
      </c>
      <c r="B70" s="124" t="s">
        <v>3</v>
      </c>
      <c r="C70" s="124">
        <v>62</v>
      </c>
      <c r="D70" s="155" t="s">
        <v>222</v>
      </c>
      <c r="E70" s="128">
        <v>1.0517734102904797E-2</v>
      </c>
      <c r="F70" s="130">
        <v>86751.4921875</v>
      </c>
      <c r="G70" s="130">
        <v>912.42913818359375</v>
      </c>
      <c r="H70" s="130">
        <v>86295.28125</v>
      </c>
      <c r="I70" s="130">
        <v>1899028.125</v>
      </c>
      <c r="J70" s="149">
        <v>21.890438079833984</v>
      </c>
    </row>
    <row r="71" spans="1:10">
      <c r="A71" s="124">
        <v>1</v>
      </c>
      <c r="B71" s="124" t="s">
        <v>3</v>
      </c>
      <c r="C71" s="124">
        <v>63</v>
      </c>
      <c r="D71" s="155" t="s">
        <v>223</v>
      </c>
      <c r="E71" s="128">
        <v>1.1202230118215084E-2</v>
      </c>
      <c r="F71" s="130">
        <v>85839.0625</v>
      </c>
      <c r="G71" s="130">
        <v>961.58892822265625</v>
      </c>
      <c r="H71" s="130">
        <v>85358.265625</v>
      </c>
      <c r="I71" s="130">
        <v>1812732.875</v>
      </c>
      <c r="J71" s="149">
        <v>21.117809295654297</v>
      </c>
    </row>
    <row r="72" spans="1:10">
      <c r="A72" s="124">
        <v>1</v>
      </c>
      <c r="B72" s="124" t="s">
        <v>3</v>
      </c>
      <c r="C72" s="124">
        <v>64</v>
      </c>
      <c r="D72" s="155" t="s">
        <v>224</v>
      </c>
      <c r="E72" s="128">
        <v>1.188992615789175E-2</v>
      </c>
      <c r="F72" s="130">
        <v>84877.4765625</v>
      </c>
      <c r="G72" s="130">
        <v>1009.1869506835938</v>
      </c>
      <c r="H72" s="130">
        <v>84372.8828125</v>
      </c>
      <c r="I72" s="130">
        <v>1727374.625</v>
      </c>
      <c r="J72" s="149">
        <v>20.351390838623047</v>
      </c>
    </row>
    <row r="73" spans="1:10">
      <c r="A73" s="124">
        <v>1</v>
      </c>
      <c r="B73" s="124" t="s">
        <v>3</v>
      </c>
      <c r="C73" s="124">
        <v>65</v>
      </c>
      <c r="D73" s="155" t="s">
        <v>225</v>
      </c>
      <c r="E73" s="128">
        <v>1.2621136382222176E-2</v>
      </c>
      <c r="F73" s="130">
        <v>83868.2890625</v>
      </c>
      <c r="G73" s="130">
        <v>1058.5130615234375</v>
      </c>
      <c r="H73" s="130">
        <v>83339.03125</v>
      </c>
      <c r="I73" s="130">
        <v>1643001.75</v>
      </c>
      <c r="J73" s="149">
        <v>19.590261459350586</v>
      </c>
    </row>
    <row r="74" spans="1:10">
      <c r="A74" s="124">
        <v>1</v>
      </c>
      <c r="B74" s="124" t="s">
        <v>3</v>
      </c>
      <c r="C74" s="124">
        <v>66</v>
      </c>
      <c r="D74" s="155" t="s">
        <v>226</v>
      </c>
      <c r="E74" s="128">
        <v>1.349920965731144E-2</v>
      </c>
      <c r="F74" s="130">
        <v>82809.7734375</v>
      </c>
      <c r="G74" s="130">
        <v>1117.866455078125</v>
      </c>
      <c r="H74" s="130">
        <v>82250.84375</v>
      </c>
      <c r="I74" s="130">
        <v>1559662.75</v>
      </c>
      <c r="J74" s="149">
        <v>18.834283828735352</v>
      </c>
    </row>
    <row r="75" spans="1:10">
      <c r="A75" s="124">
        <v>1</v>
      </c>
      <c r="B75" s="124" t="s">
        <v>3</v>
      </c>
      <c r="C75" s="124">
        <v>67</v>
      </c>
      <c r="D75" s="155" t="s">
        <v>227</v>
      </c>
      <c r="E75" s="128">
        <v>1.4468381181359291E-2</v>
      </c>
      <c r="F75" s="130">
        <v>81691.90625</v>
      </c>
      <c r="G75" s="130">
        <v>1181.9495849609375</v>
      </c>
      <c r="H75" s="130">
        <v>81100.9296875</v>
      </c>
      <c r="I75" s="130">
        <v>1477411.875</v>
      </c>
      <c r="J75" s="149">
        <v>18.085168838500977</v>
      </c>
    </row>
    <row r="76" spans="1:10">
      <c r="A76" s="124">
        <v>1</v>
      </c>
      <c r="B76" s="124" t="s">
        <v>3</v>
      </c>
      <c r="C76" s="124">
        <v>68</v>
      </c>
      <c r="D76" s="155" t="s">
        <v>228</v>
      </c>
      <c r="E76" s="128">
        <v>1.5571347437798977E-2</v>
      </c>
      <c r="F76" s="130">
        <v>80509.953125</v>
      </c>
      <c r="G76" s="130">
        <v>1253.6484375</v>
      </c>
      <c r="H76" s="130">
        <v>79883.125</v>
      </c>
      <c r="I76" s="130">
        <v>1396311</v>
      </c>
      <c r="J76" s="149">
        <v>17.343334197998047</v>
      </c>
    </row>
    <row r="77" spans="1:10">
      <c r="A77" s="124">
        <v>1</v>
      </c>
      <c r="B77" s="124" t="s">
        <v>3</v>
      </c>
      <c r="C77" s="124">
        <v>69</v>
      </c>
      <c r="D77" s="155" t="s">
        <v>229</v>
      </c>
      <c r="E77" s="128">
        <v>1.6803832724690437E-2</v>
      </c>
      <c r="F77" s="130">
        <v>79256.3046875</v>
      </c>
      <c r="G77" s="130">
        <v>1331.8096923828125</v>
      </c>
      <c r="H77" s="130">
        <v>78590.3984375</v>
      </c>
      <c r="I77" s="130">
        <v>1316427.875</v>
      </c>
      <c r="J77" s="149">
        <v>16.609756469726563</v>
      </c>
    </row>
    <row r="78" spans="1:10">
      <c r="A78" s="124">
        <v>1</v>
      </c>
      <c r="B78" s="124" t="s">
        <v>3</v>
      </c>
      <c r="C78" s="124">
        <v>70</v>
      </c>
      <c r="D78" s="155" t="s">
        <v>230</v>
      </c>
      <c r="E78" s="128">
        <v>1.8143201246857643E-2</v>
      </c>
      <c r="F78" s="130">
        <v>77924.4921875</v>
      </c>
      <c r="G78" s="130">
        <v>1413.7998046875</v>
      </c>
      <c r="H78" s="130">
        <v>77217.59375</v>
      </c>
      <c r="I78" s="130">
        <v>1237837.375</v>
      </c>
      <c r="J78" s="149">
        <v>15.885087013244629</v>
      </c>
    </row>
    <row r="79" spans="1:10">
      <c r="A79" s="124">
        <v>1</v>
      </c>
      <c r="B79" s="124" t="s">
        <v>3</v>
      </c>
      <c r="C79" s="124">
        <v>71</v>
      </c>
      <c r="D79" s="155" t="s">
        <v>231</v>
      </c>
      <c r="E79" s="128">
        <v>1.9683005288243294E-2</v>
      </c>
      <c r="F79" s="130">
        <v>76510.6953125</v>
      </c>
      <c r="G79" s="130">
        <v>1505.96044921875</v>
      </c>
      <c r="H79" s="130">
        <v>75757.71875</v>
      </c>
      <c r="I79" s="130">
        <v>1160619.875</v>
      </c>
      <c r="J79" s="149">
        <v>15.169381141662598</v>
      </c>
    </row>
    <row r="80" spans="1:10">
      <c r="A80" s="124">
        <v>1</v>
      </c>
      <c r="B80" s="124" t="s">
        <v>3</v>
      </c>
      <c r="C80" s="124">
        <v>72</v>
      </c>
      <c r="D80" s="155" t="s">
        <v>232</v>
      </c>
      <c r="E80" s="128">
        <v>2.119269035756588E-2</v>
      </c>
      <c r="F80" s="130">
        <v>75004.734375</v>
      </c>
      <c r="G80" s="130">
        <v>1589.5521240234375</v>
      </c>
      <c r="H80" s="130">
        <v>74209.953125</v>
      </c>
      <c r="I80" s="130">
        <v>1084862.125</v>
      </c>
      <c r="J80" s="149">
        <v>14.46391487121582</v>
      </c>
    </row>
    <row r="81" spans="1:10">
      <c r="A81" s="124">
        <v>1</v>
      </c>
      <c r="B81" s="124" t="s">
        <v>3</v>
      </c>
      <c r="C81" s="124">
        <v>73</v>
      </c>
      <c r="D81" s="155" t="s">
        <v>233</v>
      </c>
      <c r="E81" s="128">
        <v>2.3529458791017532E-2</v>
      </c>
      <c r="F81" s="130">
        <v>73415.1796875</v>
      </c>
      <c r="G81" s="130">
        <v>1727.41943359375</v>
      </c>
      <c r="H81" s="130">
        <v>72551.46875</v>
      </c>
      <c r="I81" s="130">
        <v>1010652.125</v>
      </c>
      <c r="J81" s="149">
        <v>13.766255378723145</v>
      </c>
    </row>
    <row r="82" spans="1:10">
      <c r="A82" s="124">
        <v>1</v>
      </c>
      <c r="B82" s="124" t="s">
        <v>3</v>
      </c>
      <c r="C82" s="124">
        <v>74</v>
      </c>
      <c r="D82" s="155" t="s">
        <v>234</v>
      </c>
      <c r="E82" s="128">
        <v>2.5582697242498398E-2</v>
      </c>
      <c r="F82" s="130">
        <v>71687.7578125</v>
      </c>
      <c r="G82" s="130">
        <v>1833.9661865234375</v>
      </c>
      <c r="H82" s="130">
        <v>70770.7734375</v>
      </c>
      <c r="I82" s="130">
        <v>938100.6875</v>
      </c>
      <c r="J82" s="149">
        <v>13.085926055908203</v>
      </c>
    </row>
    <row r="83" spans="1:10">
      <c r="A83" s="124">
        <v>1</v>
      </c>
      <c r="B83" s="124" t="s">
        <v>3</v>
      </c>
      <c r="C83" s="124">
        <v>75</v>
      </c>
      <c r="D83" s="155" t="s">
        <v>235</v>
      </c>
      <c r="E83" s="128">
        <v>2.8288045898079872E-2</v>
      </c>
      <c r="F83" s="130">
        <v>69853.7890625</v>
      </c>
      <c r="G83" s="130">
        <v>1976.0272216796875</v>
      </c>
      <c r="H83" s="130">
        <v>68865.78125</v>
      </c>
      <c r="I83" s="130">
        <v>867329.9375</v>
      </c>
      <c r="J83" s="149">
        <v>12.416361808776855</v>
      </c>
    </row>
    <row r="84" spans="1:10">
      <c r="A84" s="124">
        <v>1</v>
      </c>
      <c r="B84" s="124" t="s">
        <v>3</v>
      </c>
      <c r="C84" s="124">
        <v>76</v>
      </c>
      <c r="D84" s="155" t="s">
        <v>236</v>
      </c>
      <c r="E84" s="128">
        <v>3.0996302142739296E-2</v>
      </c>
      <c r="F84" s="130">
        <v>67877.765625</v>
      </c>
      <c r="G84" s="130">
        <v>2103.959716796875</v>
      </c>
      <c r="H84" s="130">
        <v>66825.78125</v>
      </c>
      <c r="I84" s="130">
        <v>798464.125</v>
      </c>
      <c r="J84" s="149">
        <v>11.763264656066895</v>
      </c>
    </row>
    <row r="85" spans="1:10">
      <c r="A85" s="124">
        <v>1</v>
      </c>
      <c r="B85" s="124" t="s">
        <v>3</v>
      </c>
      <c r="C85" s="124">
        <v>77</v>
      </c>
      <c r="D85" s="155" t="s">
        <v>237</v>
      </c>
      <c r="E85" s="128">
        <v>3.448500856757164E-2</v>
      </c>
      <c r="F85" s="130">
        <v>65773.8046875</v>
      </c>
      <c r="G85" s="130">
        <v>2268.210205078125</v>
      </c>
      <c r="H85" s="130">
        <v>64639.69921875</v>
      </c>
      <c r="I85" s="130">
        <v>731638.375</v>
      </c>
      <c r="J85" s="149">
        <v>11.123552322387695</v>
      </c>
    </row>
    <row r="86" spans="1:10">
      <c r="A86" s="124">
        <v>1</v>
      </c>
      <c r="B86" s="124" t="s">
        <v>3</v>
      </c>
      <c r="C86" s="124">
        <v>78</v>
      </c>
      <c r="D86" s="155" t="s">
        <v>238</v>
      </c>
      <c r="E86" s="128">
        <v>3.8071271032094955E-2</v>
      </c>
      <c r="F86" s="130">
        <v>63505.59375</v>
      </c>
      <c r="G86" s="130">
        <v>2417.73876953125</v>
      </c>
      <c r="H86" s="130">
        <v>62296.7265625</v>
      </c>
      <c r="I86" s="130">
        <v>666998.625</v>
      </c>
      <c r="J86" s="149">
        <v>10.502989768981934</v>
      </c>
    </row>
    <row r="87" spans="1:10">
      <c r="A87" s="124">
        <v>1</v>
      </c>
      <c r="B87" s="124" t="s">
        <v>3</v>
      </c>
      <c r="C87" s="124">
        <v>79</v>
      </c>
      <c r="D87" s="155" t="s">
        <v>239</v>
      </c>
      <c r="E87" s="128">
        <v>4.2152538895606995E-2</v>
      </c>
      <c r="F87" s="130">
        <v>61087.85546875</v>
      </c>
      <c r="G87" s="130">
        <v>2575.00830078125</v>
      </c>
      <c r="H87" s="130">
        <v>59800.3515625</v>
      </c>
      <c r="I87" s="130">
        <v>604701.9375</v>
      </c>
      <c r="J87" s="149">
        <v>9.8988895416259766</v>
      </c>
    </row>
    <row r="88" spans="1:10">
      <c r="A88" s="124">
        <v>1</v>
      </c>
      <c r="B88" s="124" t="s">
        <v>3</v>
      </c>
      <c r="C88" s="124">
        <v>80</v>
      </c>
      <c r="D88" s="155" t="s">
        <v>240</v>
      </c>
      <c r="E88" s="128">
        <v>4.6588864177465439E-2</v>
      </c>
      <c r="F88" s="130">
        <v>58512.84765625</v>
      </c>
      <c r="G88" s="130">
        <v>2726.047119140625</v>
      </c>
      <c r="H88" s="130">
        <v>57149.82421875</v>
      </c>
      <c r="I88" s="130">
        <v>544901.5625</v>
      </c>
      <c r="J88" s="149">
        <v>9.3125114440917969</v>
      </c>
    </row>
    <row r="89" spans="1:10">
      <c r="A89" s="124">
        <v>1</v>
      </c>
      <c r="B89" s="124" t="s">
        <v>3</v>
      </c>
      <c r="C89" s="124">
        <v>81</v>
      </c>
      <c r="D89" s="155" t="s">
        <v>241</v>
      </c>
      <c r="E89" s="128">
        <v>5.1587864756584167E-2</v>
      </c>
      <c r="F89" s="130">
        <v>55786.80078125</v>
      </c>
      <c r="G89" s="130">
        <v>2877.921875</v>
      </c>
      <c r="H89" s="130">
        <v>54347.83984375</v>
      </c>
      <c r="I89" s="130">
        <v>487751.75</v>
      </c>
      <c r="J89" s="149">
        <v>8.7431392669677734</v>
      </c>
    </row>
    <row r="90" spans="1:10">
      <c r="A90" s="124">
        <v>1</v>
      </c>
      <c r="B90" s="124" t="s">
        <v>3</v>
      </c>
      <c r="C90" s="124">
        <v>82</v>
      </c>
      <c r="D90" s="155" t="s">
        <v>242</v>
      </c>
      <c r="E90" s="128">
        <v>5.7742293924093246E-2</v>
      </c>
      <c r="F90" s="130">
        <v>52908.87890625</v>
      </c>
      <c r="G90" s="130">
        <v>3055.080078125</v>
      </c>
      <c r="H90" s="130">
        <v>51381.3359375</v>
      </c>
      <c r="I90" s="130">
        <v>433403.90625</v>
      </c>
      <c r="J90" s="149">
        <v>8.1915159225463867</v>
      </c>
    </row>
    <row r="91" spans="1:10">
      <c r="A91" s="124">
        <v>1</v>
      </c>
      <c r="B91" s="124" t="s">
        <v>3</v>
      </c>
      <c r="C91" s="124">
        <v>83</v>
      </c>
      <c r="D91" s="155" t="s">
        <v>243</v>
      </c>
      <c r="E91" s="128">
        <v>6.4540229737758636E-2</v>
      </c>
      <c r="F91" s="130">
        <v>49853.796875</v>
      </c>
      <c r="G91" s="130">
        <v>3217.575439453125</v>
      </c>
      <c r="H91" s="130">
        <v>48245.0078125</v>
      </c>
      <c r="I91" s="130">
        <v>382022.5625</v>
      </c>
      <c r="J91" s="149">
        <v>7.6628580093383789</v>
      </c>
    </row>
    <row r="92" spans="1:10">
      <c r="A92" s="124">
        <v>1</v>
      </c>
      <c r="B92" s="124" t="s">
        <v>3</v>
      </c>
      <c r="C92" s="124">
        <v>84</v>
      </c>
      <c r="D92" s="155" t="s">
        <v>244</v>
      </c>
      <c r="E92" s="128">
        <v>7.1641162037849426E-2</v>
      </c>
      <c r="F92" s="130">
        <v>46636.22265625</v>
      </c>
      <c r="G92" s="130">
        <v>3341.0732421875</v>
      </c>
      <c r="H92" s="130">
        <v>44965.6875</v>
      </c>
      <c r="I92" s="130">
        <v>333777.5625</v>
      </c>
      <c r="J92" s="149">
        <v>7.1570453643798828</v>
      </c>
    </row>
    <row r="93" spans="1:10">
      <c r="A93" s="124">
        <v>1</v>
      </c>
      <c r="B93" s="124" t="s">
        <v>3</v>
      </c>
      <c r="C93" s="124">
        <v>85</v>
      </c>
      <c r="D93" s="155" t="s">
        <v>245</v>
      </c>
      <c r="E93" s="128">
        <v>8.0529406666755676E-2</v>
      </c>
      <c r="F93" s="130">
        <v>43295.1484375</v>
      </c>
      <c r="G93" s="130">
        <v>3486.53271484375</v>
      </c>
      <c r="H93" s="130">
        <v>41551.8828125</v>
      </c>
      <c r="I93" s="130">
        <v>288811.875</v>
      </c>
      <c r="J93" s="149">
        <v>6.6707677841186523</v>
      </c>
    </row>
    <row r="94" spans="1:10">
      <c r="A94" s="124">
        <v>1</v>
      </c>
      <c r="B94" s="124" t="s">
        <v>3</v>
      </c>
      <c r="C94" s="124">
        <v>86</v>
      </c>
      <c r="D94" s="155" t="s">
        <v>246</v>
      </c>
      <c r="E94" s="128">
        <v>8.9744403958320618E-2</v>
      </c>
      <c r="F94" s="130">
        <v>39808.6171875</v>
      </c>
      <c r="G94" s="130">
        <v>3572.6005859375</v>
      </c>
      <c r="H94" s="130">
        <v>38022.31640625</v>
      </c>
      <c r="I94" s="130">
        <v>247260</v>
      </c>
      <c r="J94" s="149">
        <v>6.2112178802490234</v>
      </c>
    </row>
    <row r="95" spans="1:10">
      <c r="A95" s="124">
        <v>1</v>
      </c>
      <c r="B95" s="124" t="s">
        <v>3</v>
      </c>
      <c r="C95" s="124">
        <v>87</v>
      </c>
      <c r="D95" s="155" t="s">
        <v>247</v>
      </c>
      <c r="E95" s="128">
        <v>0.100479856133461</v>
      </c>
      <c r="F95" s="130">
        <v>36236.015625</v>
      </c>
      <c r="G95" s="130">
        <v>3640.98974609375</v>
      </c>
      <c r="H95" s="130">
        <v>34415.51953125</v>
      </c>
      <c r="I95" s="130">
        <v>209237.671875</v>
      </c>
      <c r="J95" s="149">
        <v>5.7743015289306641</v>
      </c>
    </row>
    <row r="96" spans="1:10">
      <c r="A96" s="124">
        <v>1</v>
      </c>
      <c r="B96" s="124" t="s">
        <v>3</v>
      </c>
      <c r="C96" s="124">
        <v>88</v>
      </c>
      <c r="D96" s="155" t="s">
        <v>248</v>
      </c>
      <c r="E96" s="128">
        <v>0.11224965006113052</v>
      </c>
      <c r="F96" s="130">
        <v>32595.025390625</v>
      </c>
      <c r="G96" s="130">
        <v>3658.7802734375</v>
      </c>
      <c r="H96" s="130">
        <v>30765.63671875</v>
      </c>
      <c r="I96" s="130">
        <v>174822.15625</v>
      </c>
      <c r="J96" s="149">
        <v>5.3634614944458008</v>
      </c>
    </row>
    <row r="97" spans="1:10">
      <c r="A97" s="124">
        <v>1</v>
      </c>
      <c r="B97" s="124" t="s">
        <v>3</v>
      </c>
      <c r="C97" s="124">
        <v>89</v>
      </c>
      <c r="D97" s="155" t="s">
        <v>249</v>
      </c>
      <c r="E97" s="128">
        <v>0.12509350478649139</v>
      </c>
      <c r="F97" s="130">
        <v>28936.24609375</v>
      </c>
      <c r="G97" s="130">
        <v>3619.736328125</v>
      </c>
      <c r="H97" s="130">
        <v>27126.37890625</v>
      </c>
      <c r="I97" s="130">
        <v>144056.515625</v>
      </c>
      <c r="J97" s="149">
        <v>4.9784107208251953</v>
      </c>
    </row>
    <row r="98" spans="1:10">
      <c r="A98" s="124">
        <v>1</v>
      </c>
      <c r="B98" s="124" t="s">
        <v>3</v>
      </c>
      <c r="C98" s="124">
        <v>90</v>
      </c>
      <c r="D98" s="155" t="s">
        <v>250</v>
      </c>
      <c r="E98" s="128">
        <v>0.13903842866420746</v>
      </c>
      <c r="F98" s="130">
        <v>25316.509765625</v>
      </c>
      <c r="G98" s="130">
        <v>3519.9677734375</v>
      </c>
      <c r="H98" s="130">
        <v>23556.52734375</v>
      </c>
      <c r="I98" s="130">
        <v>116930.140625</v>
      </c>
      <c r="J98" s="149">
        <v>4.6187305450439453</v>
      </c>
    </row>
    <row r="99" spans="1:10">
      <c r="A99" s="124">
        <v>1</v>
      </c>
      <c r="B99" s="124" t="s">
        <v>3</v>
      </c>
      <c r="C99" s="124">
        <v>91</v>
      </c>
      <c r="D99" s="155" t="s">
        <v>251</v>
      </c>
      <c r="E99" s="128">
        <v>0.15409554541110992</v>
      </c>
      <c r="F99" s="130">
        <v>21796.54296875</v>
      </c>
      <c r="G99" s="130">
        <v>3358.750244140625</v>
      </c>
      <c r="H99" s="130">
        <v>20117.16796875</v>
      </c>
      <c r="I99" s="130">
        <v>93373.6171875</v>
      </c>
      <c r="J99" s="149">
        <v>4.2838726043701172</v>
      </c>
    </row>
    <row r="100" spans="1:10">
      <c r="A100" s="124">
        <v>1</v>
      </c>
      <c r="B100" s="124" t="s">
        <v>3</v>
      </c>
      <c r="C100" s="124">
        <v>92</v>
      </c>
      <c r="D100" s="155" t="s">
        <v>252</v>
      </c>
      <c r="E100" s="128">
        <v>0.17025710642337799</v>
      </c>
      <c r="F100" s="130">
        <v>18437.79296875</v>
      </c>
      <c r="G100" s="130">
        <v>3139.165283203125</v>
      </c>
      <c r="H100" s="130">
        <v>16868.2109375</v>
      </c>
      <c r="I100" s="130">
        <v>73256.4453125</v>
      </c>
      <c r="J100" s="149">
        <v>3.973167896270752</v>
      </c>
    </row>
    <row r="101" spans="1:10">
      <c r="A101" s="124">
        <v>1</v>
      </c>
      <c r="B101" s="124" t="s">
        <v>3</v>
      </c>
      <c r="C101" s="124">
        <v>93</v>
      </c>
      <c r="D101" s="155" t="s">
        <v>253</v>
      </c>
      <c r="E101" s="128">
        <v>0.18749368190765381</v>
      </c>
      <c r="F101" s="130">
        <v>15298.6279296875</v>
      </c>
      <c r="G101" s="130">
        <v>2868.39599609375</v>
      </c>
      <c r="H101" s="130">
        <v>13864.4296875</v>
      </c>
      <c r="I101" s="130">
        <v>56388.23828125</v>
      </c>
      <c r="J101" s="149">
        <v>3.6858363151550293</v>
      </c>
    </row>
    <row r="102" spans="1:10">
      <c r="A102" s="124">
        <v>1</v>
      </c>
      <c r="B102" s="124" t="s">
        <v>3</v>
      </c>
      <c r="C102" s="124">
        <v>94</v>
      </c>
      <c r="D102" s="155" t="s">
        <v>254</v>
      </c>
      <c r="E102" s="128">
        <v>0.20575197041034698</v>
      </c>
      <c r="F102" s="130">
        <v>12430.232421875</v>
      </c>
      <c r="G102" s="130">
        <v>2557.544921875</v>
      </c>
      <c r="H102" s="130">
        <v>11151.4599609375</v>
      </c>
      <c r="I102" s="130">
        <v>42523.80859375</v>
      </c>
      <c r="J102" s="149">
        <v>3.4209985733032227</v>
      </c>
    </row>
    <row r="103" spans="1:10">
      <c r="A103" s="124">
        <v>1</v>
      </c>
      <c r="B103" s="124" t="s">
        <v>3</v>
      </c>
      <c r="C103" s="124">
        <v>95</v>
      </c>
      <c r="D103" s="155" t="s">
        <v>255</v>
      </c>
      <c r="E103" s="128">
        <v>0.22495357692241669</v>
      </c>
      <c r="F103" s="130">
        <v>9872.6875</v>
      </c>
      <c r="G103" s="130">
        <v>2220.896484375</v>
      </c>
      <c r="H103" s="130">
        <v>8762.2392578125</v>
      </c>
      <c r="I103" s="130">
        <v>31372.34765625</v>
      </c>
      <c r="J103" s="149">
        <v>3.1776907444000244</v>
      </c>
    </row>
    <row r="104" spans="1:10">
      <c r="A104" s="124">
        <v>1</v>
      </c>
      <c r="B104" s="124" t="s">
        <v>3</v>
      </c>
      <c r="C104" s="124">
        <v>96</v>
      </c>
      <c r="D104" s="155" t="s">
        <v>256</v>
      </c>
      <c r="E104" s="128">
        <v>0.2449946254491806</v>
      </c>
      <c r="F104" s="130">
        <v>7651.791015625</v>
      </c>
      <c r="G104" s="130">
        <v>1874.647705078125</v>
      </c>
      <c r="H104" s="130">
        <v>6714.46728515625</v>
      </c>
      <c r="I104" s="130">
        <v>22610.109375</v>
      </c>
      <c r="J104" s="149">
        <v>2.9548780918121338</v>
      </c>
    </row>
    <row r="105" spans="1:10">
      <c r="A105" s="124">
        <v>1</v>
      </c>
      <c r="B105" s="124" t="s">
        <v>3</v>
      </c>
      <c r="C105" s="124">
        <v>97</v>
      </c>
      <c r="D105" s="155" t="s">
        <v>257</v>
      </c>
      <c r="E105" s="128">
        <v>0.26574698090553284</v>
      </c>
      <c r="F105" s="130">
        <v>5777.1435546875</v>
      </c>
      <c r="G105" s="130">
        <v>1535.2584228515625</v>
      </c>
      <c r="H105" s="130">
        <v>5009.5146484375</v>
      </c>
      <c r="I105" s="130">
        <v>15895.6416015625</v>
      </c>
      <c r="J105" s="149">
        <v>2.7514708042144775</v>
      </c>
    </row>
    <row r="106" spans="1:10">
      <c r="A106" s="124">
        <v>1</v>
      </c>
      <c r="B106" s="124" t="s">
        <v>3</v>
      </c>
      <c r="C106" s="124">
        <v>98</v>
      </c>
      <c r="D106" s="155" t="s">
        <v>258</v>
      </c>
      <c r="E106" s="128">
        <v>0.28706049919128418</v>
      </c>
      <c r="F106" s="130">
        <v>4241.88525390625</v>
      </c>
      <c r="G106" s="130">
        <v>1217.677734375</v>
      </c>
      <c r="H106" s="130">
        <v>3633.04638671875</v>
      </c>
      <c r="I106" s="130">
        <v>10886.126953125</v>
      </c>
      <c r="J106" s="149">
        <v>2.5663416385650635</v>
      </c>
    </row>
    <row r="107" spans="1:10">
      <c r="A107" s="124">
        <v>1</v>
      </c>
      <c r="B107" s="124" t="s">
        <v>3</v>
      </c>
      <c r="C107" s="124">
        <v>99</v>
      </c>
      <c r="D107" s="155" t="s">
        <v>259</v>
      </c>
      <c r="E107" s="128">
        <v>0.30876687169075012</v>
      </c>
      <c r="F107" s="130">
        <v>3024.20751953125</v>
      </c>
      <c r="G107" s="130">
        <v>933.77508544921875</v>
      </c>
      <c r="H107" s="130">
        <v>2557.31982421875</v>
      </c>
      <c r="I107" s="130">
        <v>7253.0810546875</v>
      </c>
      <c r="J107" s="149">
        <v>2.3983409404754639</v>
      </c>
    </row>
    <row r="108" spans="1:10">
      <c r="A108" s="125">
        <v>1</v>
      </c>
      <c r="B108" s="125" t="s">
        <v>3</v>
      </c>
      <c r="C108" s="125">
        <v>100</v>
      </c>
      <c r="D108" s="156" t="s">
        <v>260</v>
      </c>
      <c r="E108" s="126">
        <v>1</v>
      </c>
      <c r="F108" s="131">
        <v>2090.432373046875</v>
      </c>
      <c r="G108" s="131">
        <v>2090.432373046875</v>
      </c>
      <c r="H108" s="131">
        <v>4695.76123046875</v>
      </c>
      <c r="I108" s="131">
        <v>4695.76123046875</v>
      </c>
      <c r="J108" s="150">
        <v>2.2463109493255615</v>
      </c>
    </row>
    <row r="109" spans="1:10" ht="15">
      <c r="A109" s="162" t="s">
        <v>266</v>
      </c>
      <c r="B109" s="162" t="s">
        <v>0</v>
      </c>
      <c r="C109" s="162" t="s">
        <v>157</v>
      </c>
      <c r="D109" s="157" t="s">
        <v>132</v>
      </c>
      <c r="E109" s="140" t="s">
        <v>295</v>
      </c>
      <c r="F109" s="127" t="s">
        <v>296</v>
      </c>
      <c r="G109" s="127" t="s">
        <v>297</v>
      </c>
      <c r="H109" s="127" t="s">
        <v>298</v>
      </c>
      <c r="I109" s="127" t="s">
        <v>299</v>
      </c>
      <c r="J109" s="146" t="s">
        <v>300</v>
      </c>
    </row>
    <row r="110" spans="1:10">
      <c r="A110" s="124">
        <v>2</v>
      </c>
      <c r="B110" s="124" t="s">
        <v>34</v>
      </c>
      <c r="C110" s="124">
        <v>0</v>
      </c>
      <c r="D110" s="158" t="s">
        <v>160</v>
      </c>
      <c r="E110" s="128">
        <v>6.0803303495049477E-3</v>
      </c>
      <c r="F110" s="130">
        <v>100000</v>
      </c>
      <c r="G110" s="130">
        <v>608.03302001953125</v>
      </c>
      <c r="H110" s="130">
        <v>99470.40625</v>
      </c>
      <c r="I110" s="130">
        <v>7631130</v>
      </c>
      <c r="J110" s="149">
        <v>76.311302185058594</v>
      </c>
    </row>
    <row r="111" spans="1:10">
      <c r="A111" s="124">
        <v>2</v>
      </c>
      <c r="B111" s="124" t="s">
        <v>34</v>
      </c>
      <c r="C111" s="124">
        <v>1</v>
      </c>
      <c r="D111" s="155" t="s">
        <v>161</v>
      </c>
      <c r="E111" s="128">
        <v>4.1495036566630006E-4</v>
      </c>
      <c r="F111" s="130">
        <v>99391.96875</v>
      </c>
      <c r="G111" s="130">
        <v>41.242733001708984</v>
      </c>
      <c r="H111" s="130">
        <v>99371.34375</v>
      </c>
      <c r="I111" s="130">
        <v>7531659.5</v>
      </c>
      <c r="J111" s="149">
        <v>75.77734375</v>
      </c>
    </row>
    <row r="112" spans="1:10">
      <c r="A112" s="124">
        <v>2</v>
      </c>
      <c r="B112" s="124" t="s">
        <v>34</v>
      </c>
      <c r="C112" s="124">
        <v>2</v>
      </c>
      <c r="D112" s="155" t="s">
        <v>162</v>
      </c>
      <c r="E112" s="128">
        <v>2.5683391140773892E-4</v>
      </c>
      <c r="F112" s="130">
        <v>99350.7265625</v>
      </c>
      <c r="G112" s="130">
        <v>25.516635894775391</v>
      </c>
      <c r="H112" s="130">
        <v>99337.96875</v>
      </c>
      <c r="I112" s="130">
        <v>7432288.5</v>
      </c>
      <c r="J112" s="149">
        <v>74.80859375</v>
      </c>
    </row>
    <row r="113" spans="1:10">
      <c r="A113" s="124">
        <v>2</v>
      </c>
      <c r="B113" s="124" t="s">
        <v>34</v>
      </c>
      <c r="C113" s="124">
        <v>3</v>
      </c>
      <c r="D113" s="155" t="s">
        <v>163</v>
      </c>
      <c r="E113" s="128">
        <v>1.9316026009619236E-4</v>
      </c>
      <c r="F113" s="130">
        <v>99325.2109375</v>
      </c>
      <c r="G113" s="130">
        <v>19.185684204101563</v>
      </c>
      <c r="H113" s="130">
        <v>99315.6171875</v>
      </c>
      <c r="I113" s="130">
        <v>7332950.5</v>
      </c>
      <c r="J113" s="149">
        <v>73.827682495117188</v>
      </c>
    </row>
    <row r="114" spans="1:10">
      <c r="A114" s="124">
        <v>2</v>
      </c>
      <c r="B114" s="124" t="s">
        <v>34</v>
      </c>
      <c r="C114" s="124">
        <v>4</v>
      </c>
      <c r="D114" s="155" t="s">
        <v>164</v>
      </c>
      <c r="E114" s="128">
        <v>1.5314605843741447E-4</v>
      </c>
      <c r="F114" s="130">
        <v>99306.0234375</v>
      </c>
      <c r="G114" s="130">
        <v>15.20832633972168</v>
      </c>
      <c r="H114" s="130">
        <v>99298.421875</v>
      </c>
      <c r="I114" s="130">
        <v>7233634.5</v>
      </c>
      <c r="J114" s="149">
        <v>72.841850280761719</v>
      </c>
    </row>
    <row r="115" spans="1:10">
      <c r="A115" s="124">
        <v>2</v>
      </c>
      <c r="B115" s="124" t="s">
        <v>34</v>
      </c>
      <c r="C115" s="124">
        <v>5</v>
      </c>
      <c r="D115" s="155" t="s">
        <v>165</v>
      </c>
      <c r="E115" s="128">
        <v>1.4854026085231453E-4</v>
      </c>
      <c r="F115" s="130">
        <v>99290.8125</v>
      </c>
      <c r="G115" s="130">
        <v>14.748682975769043</v>
      </c>
      <c r="H115" s="130">
        <v>99283.4375</v>
      </c>
      <c r="I115" s="130">
        <v>7134336.5</v>
      </c>
      <c r="J115" s="149">
        <v>71.852935791015625</v>
      </c>
    </row>
    <row r="116" spans="1:10">
      <c r="A116" s="124">
        <v>2</v>
      </c>
      <c r="B116" s="124" t="s">
        <v>34</v>
      </c>
      <c r="C116" s="124">
        <v>6</v>
      </c>
      <c r="D116" s="155" t="s">
        <v>166</v>
      </c>
      <c r="E116" s="128">
        <v>1.3658548414241523E-4</v>
      </c>
      <c r="F116" s="130">
        <v>99276.0625</v>
      </c>
      <c r="G116" s="130">
        <v>13.559669494628906</v>
      </c>
      <c r="H116" s="130">
        <v>99269.28125</v>
      </c>
      <c r="I116" s="130">
        <v>7035053</v>
      </c>
      <c r="J116" s="149">
        <v>70.863540649414063</v>
      </c>
    </row>
    <row r="117" spans="1:10">
      <c r="A117" s="124">
        <v>2</v>
      </c>
      <c r="B117" s="124" t="s">
        <v>34</v>
      </c>
      <c r="C117" s="124">
        <v>7</v>
      </c>
      <c r="D117" s="155" t="s">
        <v>167</v>
      </c>
      <c r="E117" s="128">
        <v>1.2585296644829214E-4</v>
      </c>
      <c r="F117" s="130">
        <v>99262.5</v>
      </c>
      <c r="G117" s="130">
        <v>12.492480278015137</v>
      </c>
      <c r="H117" s="130">
        <v>99256.25</v>
      </c>
      <c r="I117" s="130">
        <v>6935783.5</v>
      </c>
      <c r="J117" s="149">
        <v>69.873146057128906</v>
      </c>
    </row>
    <row r="118" spans="1:10">
      <c r="A118" s="124">
        <v>2</v>
      </c>
      <c r="B118" s="124" t="s">
        <v>34</v>
      </c>
      <c r="C118" s="124">
        <v>8</v>
      </c>
      <c r="D118" s="155" t="s">
        <v>168</v>
      </c>
      <c r="E118" s="128">
        <v>1.1345998791512102E-4</v>
      </c>
      <c r="F118" s="130">
        <v>99250.0078125</v>
      </c>
      <c r="G118" s="130">
        <v>11.260904312133789</v>
      </c>
      <c r="H118" s="130">
        <v>99244.375</v>
      </c>
      <c r="I118" s="130">
        <v>6836527.5</v>
      </c>
      <c r="J118" s="149">
        <v>68.881881713867188</v>
      </c>
    </row>
    <row r="119" spans="1:10">
      <c r="A119" s="124">
        <v>2</v>
      </c>
      <c r="B119" s="124" t="s">
        <v>34</v>
      </c>
      <c r="C119" s="124">
        <v>9</v>
      </c>
      <c r="D119" s="155" t="s">
        <v>169</v>
      </c>
      <c r="E119" s="128">
        <v>1.0109496361110359E-4</v>
      </c>
      <c r="F119" s="130">
        <v>99238.75</v>
      </c>
      <c r="G119" s="130">
        <v>10.032537460327148</v>
      </c>
      <c r="H119" s="130">
        <v>99233.734375</v>
      </c>
      <c r="I119" s="130">
        <v>6737283</v>
      </c>
      <c r="J119" s="149">
        <v>67.889640808105469</v>
      </c>
    </row>
    <row r="120" spans="1:10">
      <c r="A120" s="124">
        <v>2</v>
      </c>
      <c r="B120" s="124" t="s">
        <v>34</v>
      </c>
      <c r="C120" s="124">
        <v>10</v>
      </c>
      <c r="D120" s="155" t="s">
        <v>170</v>
      </c>
      <c r="E120" s="128">
        <v>9.5145864179357886E-5</v>
      </c>
      <c r="F120" s="130">
        <v>99228.71875</v>
      </c>
      <c r="G120" s="130">
        <v>9.4412021636962891</v>
      </c>
      <c r="H120" s="130">
        <v>99224</v>
      </c>
      <c r="I120" s="130">
        <v>6638049</v>
      </c>
      <c r="J120" s="149">
        <v>66.896446228027344</v>
      </c>
    </row>
    <row r="121" spans="1:10">
      <c r="A121" s="124">
        <v>2</v>
      </c>
      <c r="B121" s="124" t="s">
        <v>34</v>
      </c>
      <c r="C121" s="124">
        <v>11</v>
      </c>
      <c r="D121" s="155" t="s">
        <v>171</v>
      </c>
      <c r="E121" s="128">
        <v>1.0594227933324873E-4</v>
      </c>
      <c r="F121" s="130">
        <v>99219.28125</v>
      </c>
      <c r="G121" s="130">
        <v>10.511516571044922</v>
      </c>
      <c r="H121" s="130">
        <v>99214.03125</v>
      </c>
      <c r="I121" s="130">
        <v>6538825</v>
      </c>
      <c r="J121" s="149">
        <v>65.902763366699219</v>
      </c>
    </row>
    <row r="122" spans="1:10">
      <c r="A122" s="124">
        <v>2</v>
      </c>
      <c r="B122" s="124" t="s">
        <v>34</v>
      </c>
      <c r="C122" s="124">
        <v>12</v>
      </c>
      <c r="D122" s="155" t="s">
        <v>172</v>
      </c>
      <c r="E122" s="128">
        <v>1.4539950643666089E-4</v>
      </c>
      <c r="F122" s="130">
        <v>99208.7734375</v>
      </c>
      <c r="G122" s="130">
        <v>14.424906730651855</v>
      </c>
      <c r="H122" s="130">
        <v>99201.5625</v>
      </c>
      <c r="I122" s="130">
        <v>6439611</v>
      </c>
      <c r="J122" s="149">
        <v>64.909690856933594</v>
      </c>
    </row>
    <row r="123" spans="1:10">
      <c r="A123" s="124">
        <v>2</v>
      </c>
      <c r="B123" s="124" t="s">
        <v>34</v>
      </c>
      <c r="C123" s="124">
        <v>13</v>
      </c>
      <c r="D123" s="155" t="s">
        <v>173</v>
      </c>
      <c r="E123" s="128">
        <v>2.205241471529007E-4</v>
      </c>
      <c r="F123" s="130">
        <v>99194.3515625</v>
      </c>
      <c r="G123" s="130">
        <v>21.874750137329102</v>
      </c>
      <c r="H123" s="130">
        <v>99183.4140625</v>
      </c>
      <c r="I123" s="130">
        <v>6340409.5</v>
      </c>
      <c r="J123" s="149">
        <v>63.919059753417969</v>
      </c>
    </row>
    <row r="124" spans="1:10">
      <c r="A124" s="124">
        <v>2</v>
      </c>
      <c r="B124" s="124" t="s">
        <v>34</v>
      </c>
      <c r="C124" s="124">
        <v>14</v>
      </c>
      <c r="D124" s="155" t="s">
        <v>174</v>
      </c>
      <c r="E124" s="128">
        <v>3.2387569081038237E-4</v>
      </c>
      <c r="F124" s="130">
        <v>99172.4765625</v>
      </c>
      <c r="G124" s="130">
        <v>32.119552612304688</v>
      </c>
      <c r="H124" s="130">
        <v>99156.421875</v>
      </c>
      <c r="I124" s="130">
        <v>6241226</v>
      </c>
      <c r="J124" s="149">
        <v>62.93304443359375</v>
      </c>
    </row>
    <row r="125" spans="1:10">
      <c r="A125" s="124">
        <v>2</v>
      </c>
      <c r="B125" s="124" t="s">
        <v>34</v>
      </c>
      <c r="C125" s="124">
        <v>15</v>
      </c>
      <c r="D125" s="155" t="s">
        <v>175</v>
      </c>
      <c r="E125" s="128">
        <v>4.3812565854750574E-4</v>
      </c>
      <c r="F125" s="130">
        <v>99140.359375</v>
      </c>
      <c r="G125" s="130">
        <v>43.435935974121094</v>
      </c>
      <c r="H125" s="130">
        <v>99118.640625</v>
      </c>
      <c r="I125" s="130">
        <v>6142070</v>
      </c>
      <c r="J125" s="149">
        <v>61.953273773193359</v>
      </c>
    </row>
    <row r="126" spans="1:10">
      <c r="A126" s="124">
        <v>2</v>
      </c>
      <c r="B126" s="124" t="s">
        <v>34</v>
      </c>
      <c r="C126" s="124">
        <v>16</v>
      </c>
      <c r="D126" s="155" t="s">
        <v>176</v>
      </c>
      <c r="E126" s="128">
        <v>5.544835003092885E-4</v>
      </c>
      <c r="F126" s="130">
        <v>99096.921875</v>
      </c>
      <c r="G126" s="130">
        <v>54.947608947753906</v>
      </c>
      <c r="H126" s="130">
        <v>99069.453125</v>
      </c>
      <c r="I126" s="130">
        <v>6042951</v>
      </c>
      <c r="J126" s="149">
        <v>60.980209350585938</v>
      </c>
    </row>
    <row r="127" spans="1:10">
      <c r="A127" s="124">
        <v>2</v>
      </c>
      <c r="B127" s="124" t="s">
        <v>34</v>
      </c>
      <c r="C127" s="124">
        <v>17</v>
      </c>
      <c r="D127" s="155" t="s">
        <v>177</v>
      </c>
      <c r="E127" s="128">
        <v>6.7886186297982931E-4</v>
      </c>
      <c r="F127" s="130">
        <v>99041.9765625</v>
      </c>
      <c r="G127" s="130">
        <v>67.235816955566406</v>
      </c>
      <c r="H127" s="130">
        <v>99008.359375</v>
      </c>
      <c r="I127" s="130">
        <v>5943881.5</v>
      </c>
      <c r="J127" s="149">
        <v>60.013759613037109</v>
      </c>
    </row>
    <row r="128" spans="1:10">
      <c r="A128" s="124">
        <v>2</v>
      </c>
      <c r="B128" s="124" t="s">
        <v>34</v>
      </c>
      <c r="C128" s="124">
        <v>18</v>
      </c>
      <c r="D128" s="155" t="s">
        <v>178</v>
      </c>
      <c r="E128" s="128">
        <v>8.0864888150244951E-4</v>
      </c>
      <c r="F128" s="130">
        <v>98974.7421875</v>
      </c>
      <c r="G128" s="130">
        <v>80.035812377929688</v>
      </c>
      <c r="H128" s="130">
        <v>98934.71875</v>
      </c>
      <c r="I128" s="130">
        <v>5844873.5</v>
      </c>
      <c r="J128" s="149">
        <v>59.054191589355469</v>
      </c>
    </row>
    <row r="129" spans="1:10">
      <c r="A129" s="124">
        <v>2</v>
      </c>
      <c r="B129" s="124" t="s">
        <v>34</v>
      </c>
      <c r="C129" s="124">
        <v>19</v>
      </c>
      <c r="D129" s="155" t="s">
        <v>179</v>
      </c>
      <c r="E129" s="128">
        <v>9.4044767320156097E-4</v>
      </c>
      <c r="F129" s="130">
        <v>98894.703125</v>
      </c>
      <c r="G129" s="130">
        <v>93.005294799804688</v>
      </c>
      <c r="H129" s="130">
        <v>98848.203125</v>
      </c>
      <c r="I129" s="130">
        <v>5745938.5</v>
      </c>
      <c r="J129" s="149">
        <v>58.101581573486328</v>
      </c>
    </row>
    <row r="130" spans="1:10">
      <c r="A130" s="124">
        <v>2</v>
      </c>
      <c r="B130" s="124" t="s">
        <v>34</v>
      </c>
      <c r="C130" s="124">
        <v>20</v>
      </c>
      <c r="D130" s="155" t="s">
        <v>180</v>
      </c>
      <c r="E130" s="128">
        <v>1.0774021502584219E-3</v>
      </c>
      <c r="F130" s="130">
        <v>98801.6953125</v>
      </c>
      <c r="G130" s="130">
        <v>106.44915771484375</v>
      </c>
      <c r="H130" s="130">
        <v>98748.46875</v>
      </c>
      <c r="I130" s="130">
        <v>5647090.5</v>
      </c>
      <c r="J130" s="149">
        <v>57.155807495117188</v>
      </c>
    </row>
    <row r="131" spans="1:10">
      <c r="A131" s="124">
        <v>2</v>
      </c>
      <c r="B131" s="124" t="s">
        <v>34</v>
      </c>
      <c r="C131" s="124">
        <v>21</v>
      </c>
      <c r="D131" s="155" t="s">
        <v>181</v>
      </c>
      <c r="E131" s="128">
        <v>1.2110578827559948E-3</v>
      </c>
      <c r="F131" s="130">
        <v>98695.25</v>
      </c>
      <c r="G131" s="130">
        <v>119.52565765380859</v>
      </c>
      <c r="H131" s="130">
        <v>98635.484375</v>
      </c>
      <c r="I131" s="130">
        <v>5548342</v>
      </c>
      <c r="J131" s="149">
        <v>56.216911315917969</v>
      </c>
    </row>
    <row r="132" spans="1:10">
      <c r="A132" s="124">
        <v>2</v>
      </c>
      <c r="B132" s="124" t="s">
        <v>34</v>
      </c>
      <c r="C132" s="124">
        <v>22</v>
      </c>
      <c r="D132" s="155" t="s">
        <v>182</v>
      </c>
      <c r="E132" s="128">
        <v>1.3240550179034472E-3</v>
      </c>
      <c r="F132" s="130">
        <v>98575.7265625</v>
      </c>
      <c r="G132" s="130">
        <v>130.51968383789063</v>
      </c>
      <c r="H132" s="130">
        <v>98510.46875</v>
      </c>
      <c r="I132" s="130">
        <v>5449706.5</v>
      </c>
      <c r="J132" s="149">
        <v>55.284465789794922</v>
      </c>
    </row>
    <row r="133" spans="1:10">
      <c r="A133" s="124">
        <v>2</v>
      </c>
      <c r="B133" s="124" t="s">
        <v>34</v>
      </c>
      <c r="C133" s="124">
        <v>23</v>
      </c>
      <c r="D133" s="155" t="s">
        <v>183</v>
      </c>
      <c r="E133" s="128">
        <v>1.4066334115341306E-3</v>
      </c>
      <c r="F133" s="130">
        <v>98445.203125</v>
      </c>
      <c r="G133" s="130">
        <v>138.476318359375</v>
      </c>
      <c r="H133" s="130">
        <v>98375.96875</v>
      </c>
      <c r="I133" s="130">
        <v>5351196</v>
      </c>
      <c r="J133" s="149">
        <v>54.357101440429688</v>
      </c>
    </row>
    <row r="134" spans="1:10">
      <c r="A134" s="124">
        <v>2</v>
      </c>
      <c r="B134" s="124" t="s">
        <v>34</v>
      </c>
      <c r="C134" s="124">
        <v>24</v>
      </c>
      <c r="D134" s="155" t="s">
        <v>184</v>
      </c>
      <c r="E134" s="128">
        <v>1.4650810044258833E-3</v>
      </c>
      <c r="F134" s="130">
        <v>98306.7265625</v>
      </c>
      <c r="G134" s="130">
        <v>144.02731323242188</v>
      </c>
      <c r="H134" s="130">
        <v>98234.71875</v>
      </c>
      <c r="I134" s="130">
        <v>5252820</v>
      </c>
      <c r="J134" s="149">
        <v>53.432964324951172</v>
      </c>
    </row>
    <row r="135" spans="1:10">
      <c r="A135" s="124">
        <v>2</v>
      </c>
      <c r="B135" s="124" t="s">
        <v>34</v>
      </c>
      <c r="C135" s="124">
        <v>25</v>
      </c>
      <c r="D135" s="155" t="s">
        <v>185</v>
      </c>
      <c r="E135" s="128">
        <v>1.5140902251005173E-3</v>
      </c>
      <c r="F135" s="130">
        <v>98162.703125</v>
      </c>
      <c r="G135" s="130">
        <v>148.62718200683594</v>
      </c>
      <c r="H135" s="130">
        <v>98088.390625</v>
      </c>
      <c r="I135" s="130">
        <v>5154585.5</v>
      </c>
      <c r="J135" s="149">
        <v>52.510631561279297</v>
      </c>
    </row>
    <row r="136" spans="1:10">
      <c r="A136" s="124">
        <v>2</v>
      </c>
      <c r="B136" s="124" t="s">
        <v>34</v>
      </c>
      <c r="C136" s="124">
        <v>26</v>
      </c>
      <c r="D136" s="155" t="s">
        <v>186</v>
      </c>
      <c r="E136" s="128">
        <v>1.56379584223032E-3</v>
      </c>
      <c r="F136" s="130">
        <v>98014.078125</v>
      </c>
      <c r="G136" s="130">
        <v>153.27400207519531</v>
      </c>
      <c r="H136" s="130">
        <v>97937.4375</v>
      </c>
      <c r="I136" s="130">
        <v>5056497</v>
      </c>
      <c r="J136" s="149">
        <v>51.589496612548828</v>
      </c>
    </row>
    <row r="137" spans="1:10">
      <c r="A137" s="124">
        <v>2</v>
      </c>
      <c r="B137" s="124" t="s">
        <v>34</v>
      </c>
      <c r="C137" s="124">
        <v>27</v>
      </c>
      <c r="D137" s="155" t="s">
        <v>187</v>
      </c>
      <c r="E137" s="128">
        <v>1.6135203186422586E-3</v>
      </c>
      <c r="F137" s="130">
        <v>97860.8046875</v>
      </c>
      <c r="G137" s="130">
        <v>157.900390625</v>
      </c>
      <c r="H137" s="130">
        <v>97781.859375</v>
      </c>
      <c r="I137" s="130">
        <v>4958559.5</v>
      </c>
      <c r="J137" s="149">
        <v>50.669513702392578</v>
      </c>
    </row>
    <row r="138" spans="1:10">
      <c r="A138" s="124">
        <v>2</v>
      </c>
      <c r="B138" s="124" t="s">
        <v>34</v>
      </c>
      <c r="C138" s="124">
        <v>28</v>
      </c>
      <c r="D138" s="155" t="s">
        <v>188</v>
      </c>
      <c r="E138" s="128">
        <v>1.6686918679624796E-3</v>
      </c>
      <c r="F138" s="130">
        <v>97702.90625</v>
      </c>
      <c r="G138" s="130">
        <v>163.03604125976563</v>
      </c>
      <c r="H138" s="130">
        <v>97621.390625</v>
      </c>
      <c r="I138" s="130">
        <v>4860777.5</v>
      </c>
      <c r="J138" s="149">
        <v>49.750591278076172</v>
      </c>
    </row>
    <row r="139" spans="1:10">
      <c r="A139" s="124">
        <v>2</v>
      </c>
      <c r="B139" s="124" t="s">
        <v>34</v>
      </c>
      <c r="C139" s="124">
        <v>29</v>
      </c>
      <c r="D139" s="155" t="s">
        <v>189</v>
      </c>
      <c r="E139" s="128">
        <v>1.7301775515079498E-3</v>
      </c>
      <c r="F139" s="130">
        <v>97539.8671875</v>
      </c>
      <c r="G139" s="130">
        <v>168.76129150390625</v>
      </c>
      <c r="H139" s="130">
        <v>97455.484375</v>
      </c>
      <c r="I139" s="130">
        <v>4763156</v>
      </c>
      <c r="J139" s="149">
        <v>48.832916259765625</v>
      </c>
    </row>
    <row r="140" spans="1:10">
      <c r="A140" s="124">
        <v>2</v>
      </c>
      <c r="B140" s="124" t="s">
        <v>34</v>
      </c>
      <c r="C140" s="124">
        <v>30</v>
      </c>
      <c r="D140" s="155" t="s">
        <v>190</v>
      </c>
      <c r="E140" s="128">
        <v>1.7938076052814722E-3</v>
      </c>
      <c r="F140" s="130">
        <v>97371.109375</v>
      </c>
      <c r="G140" s="130">
        <v>174.6650390625</v>
      </c>
      <c r="H140" s="130">
        <v>97283.78125</v>
      </c>
      <c r="I140" s="130">
        <v>4665700.5</v>
      </c>
      <c r="J140" s="149">
        <v>47.916683197021484</v>
      </c>
    </row>
    <row r="141" spans="1:10">
      <c r="A141" s="124">
        <v>2</v>
      </c>
      <c r="B141" s="124" t="s">
        <v>34</v>
      </c>
      <c r="C141" s="124">
        <v>31</v>
      </c>
      <c r="D141" s="155" t="s">
        <v>191</v>
      </c>
      <c r="E141" s="128">
        <v>1.8578277667984366E-3</v>
      </c>
      <c r="F141" s="130">
        <v>97196.4453125</v>
      </c>
      <c r="G141" s="130">
        <v>180.57424926757813</v>
      </c>
      <c r="H141" s="130">
        <v>97106.15625</v>
      </c>
      <c r="I141" s="130">
        <v>4568417</v>
      </c>
      <c r="J141" s="149">
        <v>47.00189208984375</v>
      </c>
    </row>
    <row r="142" spans="1:10">
      <c r="A142" s="124">
        <v>2</v>
      </c>
      <c r="B142" s="124" t="s">
        <v>34</v>
      </c>
      <c r="C142" s="124">
        <v>32</v>
      </c>
      <c r="D142" s="155" t="s">
        <v>192</v>
      </c>
      <c r="E142" s="128">
        <v>1.9260755507275462E-3</v>
      </c>
      <c r="F142" s="130">
        <v>97015.8671875</v>
      </c>
      <c r="G142" s="130">
        <v>186.85989379882813</v>
      </c>
      <c r="H142" s="130">
        <v>96922.4375</v>
      </c>
      <c r="I142" s="130">
        <v>4471311</v>
      </c>
      <c r="J142" s="149">
        <v>46.088451385498047</v>
      </c>
    </row>
    <row r="143" spans="1:10">
      <c r="A143" s="124">
        <v>2</v>
      </c>
      <c r="B143" s="124" t="s">
        <v>34</v>
      </c>
      <c r="C143" s="124">
        <v>33</v>
      </c>
      <c r="D143" s="155" t="s">
        <v>193</v>
      </c>
      <c r="E143" s="128">
        <v>1.997677143663168E-3</v>
      </c>
      <c r="F143" s="130">
        <v>96829.0078125</v>
      </c>
      <c r="G143" s="130">
        <v>193.43309020996094</v>
      </c>
      <c r="H143" s="130">
        <v>96732.296875</v>
      </c>
      <c r="I143" s="130">
        <v>4374388.5</v>
      </c>
      <c r="J143" s="149">
        <v>45.176425933837891</v>
      </c>
    </row>
    <row r="144" spans="1:10">
      <c r="A144" s="124">
        <v>2</v>
      </c>
      <c r="B144" s="124" t="s">
        <v>34</v>
      </c>
      <c r="C144" s="124">
        <v>34</v>
      </c>
      <c r="D144" s="155" t="s">
        <v>194</v>
      </c>
      <c r="E144" s="128">
        <v>2.0715969149023294E-3</v>
      </c>
      <c r="F144" s="130">
        <v>96635.578125</v>
      </c>
      <c r="G144" s="130">
        <v>200.18997192382813</v>
      </c>
      <c r="H144" s="130">
        <v>96535.484375</v>
      </c>
      <c r="I144" s="130">
        <v>4277656</v>
      </c>
      <c r="J144" s="149">
        <v>44.265850067138672</v>
      </c>
    </row>
    <row r="145" spans="1:10">
      <c r="A145" s="124">
        <v>2</v>
      </c>
      <c r="B145" s="124" t="s">
        <v>34</v>
      </c>
      <c r="C145" s="124">
        <v>35</v>
      </c>
      <c r="D145" s="155" t="s">
        <v>195</v>
      </c>
      <c r="E145" s="128">
        <v>2.1540096495300531E-3</v>
      </c>
      <c r="F145" s="130">
        <v>96435.390625</v>
      </c>
      <c r="G145" s="130">
        <v>207.72276306152344</v>
      </c>
      <c r="H145" s="130">
        <v>96331.53125</v>
      </c>
      <c r="I145" s="130">
        <v>4181120.5</v>
      </c>
      <c r="J145" s="149">
        <v>43.356700897216797</v>
      </c>
    </row>
    <row r="146" spans="1:10">
      <c r="A146" s="124">
        <v>2</v>
      </c>
      <c r="B146" s="124" t="s">
        <v>34</v>
      </c>
      <c r="C146" s="124">
        <v>36</v>
      </c>
      <c r="D146" s="155" t="s">
        <v>196</v>
      </c>
      <c r="E146" s="128">
        <v>2.2412030957639217E-3</v>
      </c>
      <c r="F146" s="130">
        <v>96227.6640625</v>
      </c>
      <c r="G146" s="130">
        <v>215.66574096679688</v>
      </c>
      <c r="H146" s="130">
        <v>96119.828125</v>
      </c>
      <c r="I146" s="130">
        <v>4084789</v>
      </c>
      <c r="J146" s="149">
        <v>42.44921875</v>
      </c>
    </row>
    <row r="147" spans="1:10">
      <c r="A147" s="124">
        <v>2</v>
      </c>
      <c r="B147" s="124" t="s">
        <v>34</v>
      </c>
      <c r="C147" s="124">
        <v>37</v>
      </c>
      <c r="D147" s="155" t="s">
        <v>197</v>
      </c>
      <c r="E147" s="128">
        <v>2.3234072141349316E-3</v>
      </c>
      <c r="F147" s="130">
        <v>96012</v>
      </c>
      <c r="G147" s="130">
        <v>223.07496643066406</v>
      </c>
      <c r="H147" s="130">
        <v>95900.4609375</v>
      </c>
      <c r="I147" s="130">
        <v>3988669.25</v>
      </c>
      <c r="J147" s="149">
        <v>41.543445587158203</v>
      </c>
    </row>
    <row r="148" spans="1:10">
      <c r="A148" s="124">
        <v>2</v>
      </c>
      <c r="B148" s="124" t="s">
        <v>34</v>
      </c>
      <c r="C148" s="124">
        <v>38</v>
      </c>
      <c r="D148" s="155" t="s">
        <v>198</v>
      </c>
      <c r="E148" s="128">
        <v>2.3989693727344275E-3</v>
      </c>
      <c r="F148" s="130">
        <v>95788.921875</v>
      </c>
      <c r="G148" s="130">
        <v>229.79469299316406</v>
      </c>
      <c r="H148" s="130">
        <v>95674.0234375</v>
      </c>
      <c r="I148" s="130">
        <v>3892768.75</v>
      </c>
      <c r="J148" s="149">
        <v>40.639030456542969</v>
      </c>
    </row>
    <row r="149" spans="1:10">
      <c r="A149" s="124">
        <v>2</v>
      </c>
      <c r="B149" s="124" t="s">
        <v>34</v>
      </c>
      <c r="C149" s="124">
        <v>39</v>
      </c>
      <c r="D149" s="155" t="s">
        <v>199</v>
      </c>
      <c r="E149" s="128">
        <v>2.4761124514043331E-3</v>
      </c>
      <c r="F149" s="130">
        <v>95559.125</v>
      </c>
      <c r="G149" s="130">
        <v>236.61514282226563</v>
      </c>
      <c r="H149" s="130">
        <v>95440.8125</v>
      </c>
      <c r="I149" s="130">
        <v>3797094.75</v>
      </c>
      <c r="J149" s="149">
        <v>39.735553741455078</v>
      </c>
    </row>
    <row r="150" spans="1:10">
      <c r="A150" s="124">
        <v>2</v>
      </c>
      <c r="B150" s="124" t="s">
        <v>34</v>
      </c>
      <c r="C150" s="124">
        <v>40</v>
      </c>
      <c r="D150" s="155" t="s">
        <v>200</v>
      </c>
      <c r="E150" s="128">
        <v>2.5685860309749842E-3</v>
      </c>
      <c r="F150" s="130">
        <v>95322.5078125</v>
      </c>
      <c r="G150" s="130">
        <v>244.84405517578125</v>
      </c>
      <c r="H150" s="130">
        <v>95200.0859375</v>
      </c>
      <c r="I150" s="130">
        <v>3701654</v>
      </c>
      <c r="J150" s="149">
        <v>38.83294677734375</v>
      </c>
    </row>
    <row r="151" spans="1:10">
      <c r="A151" s="124">
        <v>2</v>
      </c>
      <c r="B151" s="124" t="s">
        <v>34</v>
      </c>
      <c r="C151" s="124">
        <v>41</v>
      </c>
      <c r="D151" s="155" t="s">
        <v>201</v>
      </c>
      <c r="E151" s="128">
        <v>2.6853166054934263E-3</v>
      </c>
      <c r="F151" s="130">
        <v>95077.6640625</v>
      </c>
      <c r="G151" s="130">
        <v>255.31362915039063</v>
      </c>
      <c r="H151" s="130">
        <v>94950.0078125</v>
      </c>
      <c r="I151" s="130">
        <v>3606453.75</v>
      </c>
      <c r="J151" s="149">
        <v>37.931659698486328</v>
      </c>
    </row>
    <row r="152" spans="1:10">
      <c r="A152" s="124">
        <v>2</v>
      </c>
      <c r="B152" s="124" t="s">
        <v>34</v>
      </c>
      <c r="C152" s="124">
        <v>42</v>
      </c>
      <c r="D152" s="155" t="s">
        <v>202</v>
      </c>
      <c r="E152" s="128">
        <v>2.8238182421773672E-3</v>
      </c>
      <c r="F152" s="130">
        <v>94822.3515625</v>
      </c>
      <c r="G152" s="130">
        <v>267.76107788085938</v>
      </c>
      <c r="H152" s="130">
        <v>94688.46875</v>
      </c>
      <c r="I152" s="130">
        <v>3511503.75</v>
      </c>
      <c r="J152" s="149">
        <v>37.032447814941406</v>
      </c>
    </row>
    <row r="153" spans="1:10">
      <c r="A153" s="124">
        <v>2</v>
      </c>
      <c r="B153" s="124" t="s">
        <v>34</v>
      </c>
      <c r="C153" s="124">
        <v>43</v>
      </c>
      <c r="D153" s="155" t="s">
        <v>203</v>
      </c>
      <c r="E153" s="128">
        <v>2.9829477425664663E-3</v>
      </c>
      <c r="F153" s="130">
        <v>94554.59375</v>
      </c>
      <c r="G153" s="130">
        <v>282.05142211914063</v>
      </c>
      <c r="H153" s="130">
        <v>94413.5625</v>
      </c>
      <c r="I153" s="130">
        <v>3416815.25</v>
      </c>
      <c r="J153" s="149">
        <v>36.135898590087891</v>
      </c>
    </row>
    <row r="154" spans="1:10">
      <c r="A154" s="124">
        <v>2</v>
      </c>
      <c r="B154" s="124" t="s">
        <v>34</v>
      </c>
      <c r="C154" s="124">
        <v>44</v>
      </c>
      <c r="D154" s="155" t="s">
        <v>204</v>
      </c>
      <c r="E154" s="128">
        <v>3.161679720506072E-3</v>
      </c>
      <c r="F154" s="130">
        <v>94272.5390625</v>
      </c>
      <c r="G154" s="130">
        <v>298.0595703125</v>
      </c>
      <c r="H154" s="130">
        <v>94123.5078125</v>
      </c>
      <c r="I154" s="130">
        <v>3322401.75</v>
      </c>
      <c r="J154" s="149">
        <v>35.242519378662109</v>
      </c>
    </row>
    <row r="155" spans="1:10">
      <c r="A155" s="124">
        <v>2</v>
      </c>
      <c r="B155" s="124" t="s">
        <v>34</v>
      </c>
      <c r="C155" s="124">
        <v>45</v>
      </c>
      <c r="D155" s="155" t="s">
        <v>205</v>
      </c>
      <c r="E155" s="128">
        <v>3.364895936101675E-3</v>
      </c>
      <c r="F155" s="130">
        <v>93974.4765625</v>
      </c>
      <c r="G155" s="130">
        <v>316.21432495117188</v>
      </c>
      <c r="H155" s="130">
        <v>93816.375</v>
      </c>
      <c r="I155" s="130">
        <v>3228278.25</v>
      </c>
      <c r="J155" s="149">
        <v>34.352714538574219</v>
      </c>
    </row>
    <row r="156" spans="1:10">
      <c r="A156" s="124">
        <v>2</v>
      </c>
      <c r="B156" s="124" t="s">
        <v>34</v>
      </c>
      <c r="C156" s="124">
        <v>46</v>
      </c>
      <c r="D156" s="155" t="s">
        <v>206</v>
      </c>
      <c r="E156" s="128">
        <v>3.5961952526122332E-3</v>
      </c>
      <c r="F156" s="130">
        <v>93658.265625</v>
      </c>
      <c r="G156" s="130">
        <v>336.81341552734375</v>
      </c>
      <c r="H156" s="130">
        <v>93489.859375</v>
      </c>
      <c r="I156" s="130">
        <v>3134462</v>
      </c>
      <c r="J156" s="149">
        <v>33.467010498046875</v>
      </c>
    </row>
    <row r="157" spans="1:10">
      <c r="A157" s="124">
        <v>2</v>
      </c>
      <c r="B157" s="124" t="s">
        <v>34</v>
      </c>
      <c r="C157" s="124">
        <v>47</v>
      </c>
      <c r="D157" s="155" t="s">
        <v>207</v>
      </c>
      <c r="E157" s="128">
        <v>3.8563646376132965E-3</v>
      </c>
      <c r="F157" s="130">
        <v>93321.453125</v>
      </c>
      <c r="G157" s="130">
        <v>359.88156127929688</v>
      </c>
      <c r="H157" s="130">
        <v>93141.515625</v>
      </c>
      <c r="I157" s="130">
        <v>3040972</v>
      </c>
      <c r="J157" s="149">
        <v>32.585990905761719</v>
      </c>
    </row>
    <row r="158" spans="1:10">
      <c r="A158" s="124">
        <v>2</v>
      </c>
      <c r="B158" s="124" t="s">
        <v>34</v>
      </c>
      <c r="C158" s="124">
        <v>48</v>
      </c>
      <c r="D158" s="155" t="s">
        <v>208</v>
      </c>
      <c r="E158" s="128">
        <v>4.1536404751241207E-3</v>
      </c>
      <c r="F158" s="130">
        <v>92961.5703125</v>
      </c>
      <c r="G158" s="130">
        <v>386.12893676757813</v>
      </c>
      <c r="H158" s="130">
        <v>92768.5</v>
      </c>
      <c r="I158" s="130">
        <v>2947830.5</v>
      </c>
      <c r="J158" s="149">
        <v>31.710205078125</v>
      </c>
    </row>
    <row r="159" spans="1:10">
      <c r="A159" s="124">
        <v>2</v>
      </c>
      <c r="B159" s="124" t="s">
        <v>34</v>
      </c>
      <c r="C159" s="124">
        <v>49</v>
      </c>
      <c r="D159" s="155" t="s">
        <v>209</v>
      </c>
      <c r="E159" s="128">
        <v>4.4969003647565842E-3</v>
      </c>
      <c r="F159" s="130">
        <v>92575.4375</v>
      </c>
      <c r="G159" s="130">
        <v>416.30252075195313</v>
      </c>
      <c r="H159" s="130">
        <v>92367.28125</v>
      </c>
      <c r="I159" s="130">
        <v>2855062</v>
      </c>
      <c r="J159" s="149">
        <v>30.840383529663086</v>
      </c>
    </row>
    <row r="160" spans="1:10">
      <c r="A160" s="124">
        <v>2</v>
      </c>
      <c r="B160" s="124" t="s">
        <v>34</v>
      </c>
      <c r="C160" s="124">
        <v>50</v>
      </c>
      <c r="D160" s="155" t="s">
        <v>210</v>
      </c>
      <c r="E160" s="128">
        <v>4.8669925890862942E-3</v>
      </c>
      <c r="F160" s="130">
        <v>92159.1328125</v>
      </c>
      <c r="G160" s="130">
        <v>448.53781127929688</v>
      </c>
      <c r="H160" s="130">
        <v>91934.859375</v>
      </c>
      <c r="I160" s="130">
        <v>2762694.75</v>
      </c>
      <c r="J160" s="149">
        <v>29.977437973022461</v>
      </c>
    </row>
    <row r="161" spans="1:10">
      <c r="A161" s="124">
        <v>2</v>
      </c>
      <c r="B161" s="124" t="s">
        <v>34</v>
      </c>
      <c r="C161" s="124">
        <v>51</v>
      </c>
      <c r="D161" s="155" t="s">
        <v>211</v>
      </c>
      <c r="E161" s="128">
        <v>5.2841110154986382E-3</v>
      </c>
      <c r="F161" s="130">
        <v>91710.59375</v>
      </c>
      <c r="G161" s="130">
        <v>484.60894775390625</v>
      </c>
      <c r="H161" s="130">
        <v>91468.2890625</v>
      </c>
      <c r="I161" s="130">
        <v>2670760</v>
      </c>
      <c r="J161" s="149">
        <v>29.121608734130859</v>
      </c>
    </row>
    <row r="162" spans="1:10">
      <c r="A162" s="124">
        <v>2</v>
      </c>
      <c r="B162" s="124" t="s">
        <v>34</v>
      </c>
      <c r="C162" s="124">
        <v>52</v>
      </c>
      <c r="D162" s="155" t="s">
        <v>212</v>
      </c>
      <c r="E162" s="128">
        <v>5.7893632911145687E-3</v>
      </c>
      <c r="F162" s="130">
        <v>91225.984375</v>
      </c>
      <c r="G162" s="130">
        <v>528.140380859375</v>
      </c>
      <c r="H162" s="130">
        <v>90961.9140625</v>
      </c>
      <c r="I162" s="130">
        <v>2579291.5</v>
      </c>
      <c r="J162" s="149">
        <v>28.273649215698242</v>
      </c>
    </row>
    <row r="163" spans="1:10">
      <c r="A163" s="124">
        <v>2</v>
      </c>
      <c r="B163" s="124" t="s">
        <v>34</v>
      </c>
      <c r="C163" s="124">
        <v>53</v>
      </c>
      <c r="D163" s="155" t="s">
        <v>213</v>
      </c>
      <c r="E163" s="128">
        <v>6.3846479170024395E-3</v>
      </c>
      <c r="F163" s="130">
        <v>90697.84375</v>
      </c>
      <c r="G163" s="130">
        <v>579.07379150390625</v>
      </c>
      <c r="H163" s="130">
        <v>90408.3125</v>
      </c>
      <c r="I163" s="130">
        <v>2488329.75</v>
      </c>
      <c r="J163" s="149">
        <v>27.435379028320313</v>
      </c>
    </row>
    <row r="164" spans="1:10">
      <c r="A164" s="124">
        <v>2</v>
      </c>
      <c r="B164" s="124" t="s">
        <v>34</v>
      </c>
      <c r="C164" s="124">
        <v>54</v>
      </c>
      <c r="D164" s="155" t="s">
        <v>214</v>
      </c>
      <c r="E164" s="128">
        <v>7.03398697078228E-3</v>
      </c>
      <c r="F164" s="130">
        <v>90118.7734375</v>
      </c>
      <c r="G164" s="130">
        <v>633.894287109375</v>
      </c>
      <c r="H164" s="130">
        <v>89801.828125</v>
      </c>
      <c r="I164" s="130">
        <v>2397921.25</v>
      </c>
      <c r="J164" s="149">
        <v>26.608453750610352</v>
      </c>
    </row>
    <row r="165" spans="1:10">
      <c r="A165" s="124">
        <v>2</v>
      </c>
      <c r="B165" s="124" t="s">
        <v>34</v>
      </c>
      <c r="C165" s="124">
        <v>55</v>
      </c>
      <c r="D165" s="155" t="s">
        <v>215</v>
      </c>
      <c r="E165" s="128">
        <v>7.6871882192790508E-3</v>
      </c>
      <c r="F165" s="130">
        <v>89484.8828125</v>
      </c>
      <c r="G165" s="130">
        <v>687.88714599609375</v>
      </c>
      <c r="H165" s="130">
        <v>89140.9375</v>
      </c>
      <c r="I165" s="130">
        <v>2308119.5</v>
      </c>
      <c r="J165" s="149">
        <v>25.793401718139648</v>
      </c>
    </row>
    <row r="166" spans="1:10">
      <c r="A166" s="124">
        <v>2</v>
      </c>
      <c r="B166" s="124" t="s">
        <v>34</v>
      </c>
      <c r="C166" s="124">
        <v>56</v>
      </c>
      <c r="D166" s="155" t="s">
        <v>216</v>
      </c>
      <c r="E166" s="128">
        <v>8.3381235599517822E-3</v>
      </c>
      <c r="F166" s="130">
        <v>88796.9921875</v>
      </c>
      <c r="G166" s="130">
        <v>740.4002685546875</v>
      </c>
      <c r="H166" s="130">
        <v>88426.796875</v>
      </c>
      <c r="I166" s="130">
        <v>2218978.5</v>
      </c>
      <c r="J166" s="149">
        <v>24.989343643188477</v>
      </c>
    </row>
    <row r="167" spans="1:10">
      <c r="A167" s="124">
        <v>2</v>
      </c>
      <c r="B167" s="124" t="s">
        <v>34</v>
      </c>
      <c r="C167" s="124">
        <v>57</v>
      </c>
      <c r="D167" s="155" t="s">
        <v>217</v>
      </c>
      <c r="E167" s="128">
        <v>9.0236011892557144E-3</v>
      </c>
      <c r="F167" s="130">
        <v>88056.59375</v>
      </c>
      <c r="G167" s="130">
        <v>794.58758544921875</v>
      </c>
      <c r="H167" s="130">
        <v>87659.296875</v>
      </c>
      <c r="I167" s="130">
        <v>2130551.75</v>
      </c>
      <c r="J167" s="149">
        <v>24.195255279541016</v>
      </c>
    </row>
    <row r="168" spans="1:10">
      <c r="A168" s="124">
        <v>2</v>
      </c>
      <c r="B168" s="124" t="s">
        <v>34</v>
      </c>
      <c r="C168" s="124">
        <v>58</v>
      </c>
      <c r="D168" s="155" t="s">
        <v>218</v>
      </c>
      <c r="E168" s="128">
        <v>9.767536073923111E-3</v>
      </c>
      <c r="F168" s="130">
        <v>87262.0078125</v>
      </c>
      <c r="G168" s="130">
        <v>852.3348388671875</v>
      </c>
      <c r="H168" s="130">
        <v>86835.84375</v>
      </c>
      <c r="I168" s="130">
        <v>2042892.5</v>
      </c>
      <c r="J168" s="149">
        <v>23.411018371582031</v>
      </c>
    </row>
    <row r="169" spans="1:10">
      <c r="A169" s="124">
        <v>2</v>
      </c>
      <c r="B169" s="124" t="s">
        <v>34</v>
      </c>
      <c r="C169" s="124">
        <v>59</v>
      </c>
      <c r="D169" s="155" t="s">
        <v>219</v>
      </c>
      <c r="E169" s="128">
        <v>1.0574713349342346E-2</v>
      </c>
      <c r="F169" s="130">
        <v>86409.671875</v>
      </c>
      <c r="G169" s="130">
        <v>913.75750732421875</v>
      </c>
      <c r="H169" s="130">
        <v>85952.796875</v>
      </c>
      <c r="I169" s="130">
        <v>1956056.625</v>
      </c>
      <c r="J169" s="149">
        <v>22.63701057434082</v>
      </c>
    </row>
    <row r="170" spans="1:10">
      <c r="A170" s="124">
        <v>2</v>
      </c>
      <c r="B170" s="124" t="s">
        <v>34</v>
      </c>
      <c r="C170" s="124">
        <v>60</v>
      </c>
      <c r="D170" s="155" t="s">
        <v>220</v>
      </c>
      <c r="E170" s="128">
        <v>1.1445218697190285E-2</v>
      </c>
      <c r="F170" s="130">
        <v>85495.9140625</v>
      </c>
      <c r="G170" s="130">
        <v>978.5194091796875</v>
      </c>
      <c r="H170" s="130">
        <v>85006.65625</v>
      </c>
      <c r="I170" s="130">
        <v>1870103.875</v>
      </c>
      <c r="J170" s="149">
        <v>21.873605728149414</v>
      </c>
    </row>
    <row r="171" spans="1:10">
      <c r="A171" s="124">
        <v>2</v>
      </c>
      <c r="B171" s="124" t="s">
        <v>34</v>
      </c>
      <c r="C171" s="124">
        <v>61</v>
      </c>
      <c r="D171" s="155" t="s">
        <v>221</v>
      </c>
      <c r="E171" s="128">
        <v>1.2342289090156555E-2</v>
      </c>
      <c r="F171" s="130">
        <v>84517.3984375</v>
      </c>
      <c r="G171" s="130">
        <v>1043.13818359375</v>
      </c>
      <c r="H171" s="130">
        <v>83995.828125</v>
      </c>
      <c r="I171" s="130">
        <v>1785097.25</v>
      </c>
      <c r="J171" s="149">
        <v>21.121063232421875</v>
      </c>
    </row>
    <row r="172" spans="1:10">
      <c r="A172" s="124">
        <v>2</v>
      </c>
      <c r="B172" s="124" t="s">
        <v>34</v>
      </c>
      <c r="C172" s="124">
        <v>62</v>
      </c>
      <c r="D172" s="155" t="s">
        <v>222</v>
      </c>
      <c r="E172" s="128">
        <v>1.3242370449006557E-2</v>
      </c>
      <c r="F172" s="130">
        <v>83474.2578125</v>
      </c>
      <c r="G172" s="130">
        <v>1105.3970947265625</v>
      </c>
      <c r="H172" s="130">
        <v>82921.5625</v>
      </c>
      <c r="I172" s="130">
        <v>1701101.375</v>
      </c>
      <c r="J172" s="149">
        <v>20.378753662109375</v>
      </c>
    </row>
    <row r="173" spans="1:10">
      <c r="A173" s="124">
        <v>2</v>
      </c>
      <c r="B173" s="124" t="s">
        <v>34</v>
      </c>
      <c r="C173" s="124">
        <v>63</v>
      </c>
      <c r="D173" s="155" t="s">
        <v>223</v>
      </c>
      <c r="E173" s="128">
        <v>1.4130250550806522E-2</v>
      </c>
      <c r="F173" s="130">
        <v>82368.859375</v>
      </c>
      <c r="G173" s="130">
        <v>1163.892578125</v>
      </c>
      <c r="H173" s="130">
        <v>81786.9140625</v>
      </c>
      <c r="I173" s="130">
        <v>1618179.875</v>
      </c>
      <c r="J173" s="149">
        <v>19.645528793334961</v>
      </c>
    </row>
    <row r="174" spans="1:10">
      <c r="A174" s="124">
        <v>2</v>
      </c>
      <c r="B174" s="124" t="s">
        <v>34</v>
      </c>
      <c r="C174" s="124">
        <v>64</v>
      </c>
      <c r="D174" s="155" t="s">
        <v>224</v>
      </c>
      <c r="E174" s="128">
        <v>1.5032565221190453E-2</v>
      </c>
      <c r="F174" s="130">
        <v>81204.96875</v>
      </c>
      <c r="G174" s="130">
        <v>1220.718994140625</v>
      </c>
      <c r="H174" s="130">
        <v>80594.609375</v>
      </c>
      <c r="I174" s="130">
        <v>1536392.875</v>
      </c>
      <c r="J174" s="149">
        <v>18.919937133789063</v>
      </c>
    </row>
    <row r="175" spans="1:10">
      <c r="A175" s="124">
        <v>2</v>
      </c>
      <c r="B175" s="124" t="s">
        <v>34</v>
      </c>
      <c r="C175" s="124">
        <v>65</v>
      </c>
      <c r="D175" s="155" t="s">
        <v>225</v>
      </c>
      <c r="E175" s="128">
        <v>1.6003068536520004E-2</v>
      </c>
      <c r="F175" s="130">
        <v>79984.25</v>
      </c>
      <c r="G175" s="130">
        <v>1279.993408203125</v>
      </c>
      <c r="H175" s="130">
        <v>79344.25</v>
      </c>
      <c r="I175" s="130">
        <v>1455798.25</v>
      </c>
      <c r="J175" s="149">
        <v>18.201061248779297</v>
      </c>
    </row>
    <row r="176" spans="1:10">
      <c r="A176" s="124">
        <v>2</v>
      </c>
      <c r="B176" s="124" t="s">
        <v>34</v>
      </c>
      <c r="C176" s="124">
        <v>66</v>
      </c>
      <c r="D176" s="155" t="s">
        <v>226</v>
      </c>
      <c r="E176" s="128">
        <v>1.7154382541775703E-2</v>
      </c>
      <c r="F176" s="130">
        <v>78704.2578125</v>
      </c>
      <c r="G176" s="130">
        <v>1350.1229248046875</v>
      </c>
      <c r="H176" s="130">
        <v>78029.1953125</v>
      </c>
      <c r="I176" s="130">
        <v>1376454</v>
      </c>
      <c r="J176" s="149">
        <v>17.48893928527832</v>
      </c>
    </row>
    <row r="177" spans="1:10">
      <c r="A177" s="124">
        <v>2</v>
      </c>
      <c r="B177" s="124" t="s">
        <v>34</v>
      </c>
      <c r="C177" s="124">
        <v>67</v>
      </c>
      <c r="D177" s="155" t="s">
        <v>227</v>
      </c>
      <c r="E177" s="128">
        <v>1.8348079174757004E-2</v>
      </c>
      <c r="F177" s="130">
        <v>77354.1328125</v>
      </c>
      <c r="G177" s="130">
        <v>1419.2998046875</v>
      </c>
      <c r="H177" s="130">
        <v>76644.484375</v>
      </c>
      <c r="I177" s="130">
        <v>1298424.875</v>
      </c>
      <c r="J177" s="149">
        <v>16.78546142578125</v>
      </c>
    </row>
    <row r="178" spans="1:10">
      <c r="A178" s="124">
        <v>2</v>
      </c>
      <c r="B178" s="124" t="s">
        <v>34</v>
      </c>
      <c r="C178" s="124">
        <v>68</v>
      </c>
      <c r="D178" s="155" t="s">
        <v>228</v>
      </c>
      <c r="E178" s="128">
        <v>1.9600942730903625E-2</v>
      </c>
      <c r="F178" s="130">
        <v>75934.8359375</v>
      </c>
      <c r="G178" s="130">
        <v>1488.3944091796875</v>
      </c>
      <c r="H178" s="130">
        <v>75190.640625</v>
      </c>
      <c r="I178" s="130">
        <v>1221780.375</v>
      </c>
      <c r="J178" s="149">
        <v>16.089853286743164</v>
      </c>
    </row>
    <row r="179" spans="1:10">
      <c r="A179" s="124">
        <v>2</v>
      </c>
      <c r="B179" s="124" t="s">
        <v>34</v>
      </c>
      <c r="C179" s="124">
        <v>69</v>
      </c>
      <c r="D179" s="155" t="s">
        <v>229</v>
      </c>
      <c r="E179" s="128">
        <v>2.0914861932396889E-2</v>
      </c>
      <c r="F179" s="130">
        <v>74446.4453125</v>
      </c>
      <c r="G179" s="130">
        <v>1557.037109375</v>
      </c>
      <c r="H179" s="130">
        <v>73667.921875</v>
      </c>
      <c r="I179" s="130">
        <v>1146589.75</v>
      </c>
      <c r="J179" s="149">
        <v>15.401537895202637</v>
      </c>
    </row>
    <row r="180" spans="1:10">
      <c r="A180" s="124">
        <v>2</v>
      </c>
      <c r="B180" s="124" t="s">
        <v>34</v>
      </c>
      <c r="C180" s="124">
        <v>70</v>
      </c>
      <c r="D180" s="155" t="s">
        <v>230</v>
      </c>
      <c r="E180" s="128">
        <v>2.2303273901343346E-2</v>
      </c>
      <c r="F180" s="130">
        <v>72889.40625</v>
      </c>
      <c r="G180" s="130">
        <v>1625.67236328125</v>
      </c>
      <c r="H180" s="130">
        <v>72076.5703125</v>
      </c>
      <c r="I180" s="130">
        <v>1072921.75</v>
      </c>
      <c r="J180" s="149">
        <v>14.719858169555664</v>
      </c>
    </row>
    <row r="181" spans="1:10">
      <c r="A181" s="124">
        <v>2</v>
      </c>
      <c r="B181" s="124" t="s">
        <v>34</v>
      </c>
      <c r="C181" s="124">
        <v>71</v>
      </c>
      <c r="D181" s="155" t="s">
        <v>231</v>
      </c>
      <c r="E181" s="128">
        <v>2.3929566144943237E-2</v>
      </c>
      <c r="F181" s="130">
        <v>71263.734375</v>
      </c>
      <c r="G181" s="130">
        <v>1705.310302734375</v>
      </c>
      <c r="H181" s="130">
        <v>70411.078125</v>
      </c>
      <c r="I181" s="130">
        <v>1000845.25</v>
      </c>
      <c r="J181" s="149">
        <v>14.044243812561035</v>
      </c>
    </row>
    <row r="182" spans="1:10">
      <c r="A182" s="124">
        <v>2</v>
      </c>
      <c r="B182" s="124" t="s">
        <v>34</v>
      </c>
      <c r="C182" s="124">
        <v>72</v>
      </c>
      <c r="D182" s="155" t="s">
        <v>232</v>
      </c>
      <c r="E182" s="128">
        <v>2.555256150662899E-2</v>
      </c>
      <c r="F182" s="130">
        <v>69558.421875</v>
      </c>
      <c r="G182" s="130">
        <v>1777.3958740234375</v>
      </c>
      <c r="H182" s="130">
        <v>68669.71875</v>
      </c>
      <c r="I182" s="130">
        <v>930434.125</v>
      </c>
      <c r="J182" s="149">
        <v>13.376296997070313</v>
      </c>
    </row>
    <row r="183" spans="1:10">
      <c r="A183" s="124">
        <v>2</v>
      </c>
      <c r="B183" s="124" t="s">
        <v>34</v>
      </c>
      <c r="C183" s="124">
        <v>73</v>
      </c>
      <c r="D183" s="155" t="s">
        <v>233</v>
      </c>
      <c r="E183" s="128">
        <v>2.8257314115762711E-2</v>
      </c>
      <c r="F183" s="130">
        <v>67781.0234375</v>
      </c>
      <c r="G183" s="130">
        <v>1915.3096923828125</v>
      </c>
      <c r="H183" s="130">
        <v>66823.3671875</v>
      </c>
      <c r="I183" s="130">
        <v>861764.4375</v>
      </c>
      <c r="J183" s="149">
        <v>12.713948249816895</v>
      </c>
    </row>
    <row r="184" spans="1:10">
      <c r="A184" s="124">
        <v>2</v>
      </c>
      <c r="B184" s="124" t="s">
        <v>34</v>
      </c>
      <c r="C184" s="124">
        <v>74</v>
      </c>
      <c r="D184" s="155" t="s">
        <v>234</v>
      </c>
      <c r="E184" s="128">
        <v>3.0698023736476898E-2</v>
      </c>
      <c r="F184" s="130">
        <v>65865.7109375</v>
      </c>
      <c r="G184" s="130">
        <v>2021.9471435546875</v>
      </c>
      <c r="H184" s="130">
        <v>64854.73828125</v>
      </c>
      <c r="I184" s="130">
        <v>794941.0625</v>
      </c>
      <c r="J184" s="149">
        <v>12.069118499755859</v>
      </c>
    </row>
    <row r="185" spans="1:10">
      <c r="A185" s="124">
        <v>2</v>
      </c>
      <c r="B185" s="124" t="s">
        <v>34</v>
      </c>
      <c r="C185" s="124">
        <v>75</v>
      </c>
      <c r="D185" s="155" t="s">
        <v>235</v>
      </c>
      <c r="E185" s="128">
        <v>3.3891424536705017E-2</v>
      </c>
      <c r="F185" s="130">
        <v>63843.765625</v>
      </c>
      <c r="G185" s="130">
        <v>2163.756103515625</v>
      </c>
      <c r="H185" s="130">
        <v>62761.88671875</v>
      </c>
      <c r="I185" s="130">
        <v>730086.3125</v>
      </c>
      <c r="J185" s="149">
        <v>11.435514450073242</v>
      </c>
    </row>
    <row r="186" spans="1:10">
      <c r="A186" s="124">
        <v>2</v>
      </c>
      <c r="B186" s="124" t="s">
        <v>34</v>
      </c>
      <c r="C186" s="124">
        <v>76</v>
      </c>
      <c r="D186" s="155" t="s">
        <v>236</v>
      </c>
      <c r="E186" s="128">
        <v>3.7078347057104111E-2</v>
      </c>
      <c r="F186" s="130">
        <v>61680.0078125</v>
      </c>
      <c r="G186" s="130">
        <v>2286.99267578125</v>
      </c>
      <c r="H186" s="130">
        <v>60536.51171875</v>
      </c>
      <c r="I186" s="130">
        <v>667324.4375</v>
      </c>
      <c r="J186" s="149">
        <v>10.819136619567871</v>
      </c>
    </row>
    <row r="187" spans="1:10">
      <c r="A187" s="124">
        <v>2</v>
      </c>
      <c r="B187" s="124" t="s">
        <v>34</v>
      </c>
      <c r="C187" s="124">
        <v>77</v>
      </c>
      <c r="D187" s="155" t="s">
        <v>237</v>
      </c>
      <c r="E187" s="128">
        <v>4.1153542697429657E-2</v>
      </c>
      <c r="F187" s="130">
        <v>59393.015625</v>
      </c>
      <c r="G187" s="130">
        <v>2444.23291015625</v>
      </c>
      <c r="H187" s="130">
        <v>58170.8984375</v>
      </c>
      <c r="I187" s="130">
        <v>606787.9375</v>
      </c>
      <c r="J187" s="149">
        <v>10.216485977172852</v>
      </c>
    </row>
    <row r="188" spans="1:10">
      <c r="A188" s="124">
        <v>2</v>
      </c>
      <c r="B188" s="124" t="s">
        <v>34</v>
      </c>
      <c r="C188" s="124">
        <v>78</v>
      </c>
      <c r="D188" s="155" t="s">
        <v>238</v>
      </c>
      <c r="E188" s="128">
        <v>4.5299533754587173E-2</v>
      </c>
      <c r="F188" s="130">
        <v>56948.78125</v>
      </c>
      <c r="G188" s="130">
        <v>2579.753173828125</v>
      </c>
      <c r="H188" s="130">
        <v>55658.90625</v>
      </c>
      <c r="I188" s="130">
        <v>548617</v>
      </c>
      <c r="J188" s="149">
        <v>9.6335163116455078</v>
      </c>
    </row>
    <row r="189" spans="1:10">
      <c r="A189" s="124">
        <v>2</v>
      </c>
      <c r="B189" s="124" t="s">
        <v>34</v>
      </c>
      <c r="C189" s="124">
        <v>79</v>
      </c>
      <c r="D189" s="155" t="s">
        <v>239</v>
      </c>
      <c r="E189" s="128">
        <v>4.9951493740081787E-2</v>
      </c>
      <c r="F189" s="130">
        <v>54369.02734375</v>
      </c>
      <c r="G189" s="130">
        <v>2715.814208984375</v>
      </c>
      <c r="H189" s="130">
        <v>53011.12109375</v>
      </c>
      <c r="I189" s="130">
        <v>492958.125</v>
      </c>
      <c r="J189" s="149">
        <v>9.0668926239013672</v>
      </c>
    </row>
    <row r="190" spans="1:10">
      <c r="A190" s="124">
        <v>2</v>
      </c>
      <c r="B190" s="124" t="s">
        <v>34</v>
      </c>
      <c r="C190" s="124">
        <v>80</v>
      </c>
      <c r="D190" s="155" t="s">
        <v>240</v>
      </c>
      <c r="E190" s="128">
        <v>5.4931037127971649E-2</v>
      </c>
      <c r="F190" s="130">
        <v>51653.21484375</v>
      </c>
      <c r="G190" s="130">
        <v>2837.36474609375</v>
      </c>
      <c r="H190" s="130">
        <v>50234.53125</v>
      </c>
      <c r="I190" s="130">
        <v>439947</v>
      </c>
      <c r="J190" s="149">
        <v>8.5173206329345703</v>
      </c>
    </row>
    <row r="191" spans="1:10">
      <c r="A191" s="124">
        <v>2</v>
      </c>
      <c r="B191" s="124" t="s">
        <v>34</v>
      </c>
      <c r="C191" s="124">
        <v>81</v>
      </c>
      <c r="D191" s="155" t="s">
        <v>241</v>
      </c>
      <c r="E191" s="128">
        <v>6.0709252953529358E-2</v>
      </c>
      <c r="F191" s="130">
        <v>48815.8515625</v>
      </c>
      <c r="G191" s="130">
        <v>2963.573974609375</v>
      </c>
      <c r="H191" s="130">
        <v>47334.0625</v>
      </c>
      <c r="I191" s="130">
        <v>389712.46875</v>
      </c>
      <c r="J191" s="149">
        <v>7.9833178520202637</v>
      </c>
    </row>
    <row r="192" spans="1:10">
      <c r="A192" s="124">
        <v>2</v>
      </c>
      <c r="B192" s="124" t="s">
        <v>34</v>
      </c>
      <c r="C192" s="124">
        <v>82</v>
      </c>
      <c r="D192" s="155" t="s">
        <v>242</v>
      </c>
      <c r="E192" s="128">
        <v>6.7465536296367645E-2</v>
      </c>
      <c r="F192" s="130">
        <v>45852.27734375</v>
      </c>
      <c r="G192" s="130">
        <v>3093.448486328125</v>
      </c>
      <c r="H192" s="130">
        <v>44305.5546875</v>
      </c>
      <c r="I192" s="130">
        <v>342378.40625</v>
      </c>
      <c r="J192" s="149">
        <v>7.4669880867004395</v>
      </c>
    </row>
    <row r="193" spans="1:10">
      <c r="A193" s="124">
        <v>2</v>
      </c>
      <c r="B193" s="124" t="s">
        <v>34</v>
      </c>
      <c r="C193" s="124">
        <v>83</v>
      </c>
      <c r="D193" s="155" t="s">
        <v>243</v>
      </c>
      <c r="E193" s="128">
        <v>7.4944697320461273E-2</v>
      </c>
      <c r="F193" s="130">
        <v>42758.828125</v>
      </c>
      <c r="G193" s="130">
        <v>3204.54736328125</v>
      </c>
      <c r="H193" s="130">
        <v>41156.5546875</v>
      </c>
      <c r="I193" s="130">
        <v>298072.84375</v>
      </c>
      <c r="J193" s="149">
        <v>6.9710245132446289</v>
      </c>
    </row>
    <row r="194" spans="1:10">
      <c r="A194" s="124">
        <v>2</v>
      </c>
      <c r="B194" s="124" t="s">
        <v>34</v>
      </c>
      <c r="C194" s="124">
        <v>84</v>
      </c>
      <c r="D194" s="155" t="s">
        <v>244</v>
      </c>
      <c r="E194" s="128">
        <v>8.3495087921619415E-2</v>
      </c>
      <c r="F194" s="130">
        <v>39554.28125</v>
      </c>
      <c r="G194" s="130">
        <v>3302.588134765625</v>
      </c>
      <c r="H194" s="130">
        <v>37902.984375</v>
      </c>
      <c r="I194" s="130">
        <v>256916.296875</v>
      </c>
      <c r="J194" s="149">
        <v>6.4952840805053711</v>
      </c>
    </row>
    <row r="195" spans="1:10">
      <c r="A195" s="124">
        <v>2</v>
      </c>
      <c r="B195" s="124" t="s">
        <v>34</v>
      </c>
      <c r="C195" s="124">
        <v>85</v>
      </c>
      <c r="D195" s="155" t="s">
        <v>245</v>
      </c>
      <c r="E195" s="128">
        <v>9.3584820628166199E-2</v>
      </c>
      <c r="F195" s="130">
        <v>36251.69140625</v>
      </c>
      <c r="G195" s="130">
        <v>3392.608154296875</v>
      </c>
      <c r="H195" s="130">
        <v>34555.38671875</v>
      </c>
      <c r="I195" s="130">
        <v>219013.3125</v>
      </c>
      <c r="J195" s="149">
        <v>6.0414648056030273</v>
      </c>
    </row>
    <row r="196" spans="1:10">
      <c r="A196" s="124">
        <v>2</v>
      </c>
      <c r="B196" s="124" t="s">
        <v>34</v>
      </c>
      <c r="C196" s="124">
        <v>86</v>
      </c>
      <c r="D196" s="155" t="s">
        <v>246</v>
      </c>
      <c r="E196" s="128">
        <v>0.10395655035972595</v>
      </c>
      <c r="F196" s="130">
        <v>32859.08203125</v>
      </c>
      <c r="G196" s="130">
        <v>3415.916748046875</v>
      </c>
      <c r="H196" s="130">
        <v>31151.125</v>
      </c>
      <c r="I196" s="130">
        <v>184457.921875</v>
      </c>
      <c r="J196" s="149">
        <v>5.6136054992675781</v>
      </c>
    </row>
    <row r="197" spans="1:10">
      <c r="A197" s="124">
        <v>2</v>
      </c>
      <c r="B197" s="124" t="s">
        <v>34</v>
      </c>
      <c r="C197" s="124">
        <v>87</v>
      </c>
      <c r="D197" s="155" t="s">
        <v>247</v>
      </c>
      <c r="E197" s="128">
        <v>0.11631549149751663</v>
      </c>
      <c r="F197" s="130">
        <v>29443.166015625</v>
      </c>
      <c r="G197" s="130">
        <v>3424.6962890625</v>
      </c>
      <c r="H197" s="130">
        <v>27730.81640625</v>
      </c>
      <c r="I197" s="130">
        <v>153306.796875</v>
      </c>
      <c r="J197" s="149">
        <v>5.2068719863891602</v>
      </c>
    </row>
    <row r="198" spans="1:10">
      <c r="A198" s="124">
        <v>2</v>
      </c>
      <c r="B198" s="124" t="s">
        <v>34</v>
      </c>
      <c r="C198" s="124">
        <v>88</v>
      </c>
      <c r="D198" s="155" t="s">
        <v>248</v>
      </c>
      <c r="E198" s="128">
        <v>0.12980477511882782</v>
      </c>
      <c r="F198" s="130">
        <v>26018.46875</v>
      </c>
      <c r="G198" s="130">
        <v>3377.321533203125</v>
      </c>
      <c r="H198" s="130">
        <v>24329.80859375</v>
      </c>
      <c r="I198" s="130">
        <v>125575.984375</v>
      </c>
      <c r="J198" s="149">
        <v>4.8264169692993164</v>
      </c>
    </row>
    <row r="199" spans="1:10">
      <c r="A199" s="124">
        <v>2</v>
      </c>
      <c r="B199" s="124" t="s">
        <v>34</v>
      </c>
      <c r="C199" s="124">
        <v>89</v>
      </c>
      <c r="D199" s="155" t="s">
        <v>249</v>
      </c>
      <c r="E199" s="128">
        <v>0.14444786310195923</v>
      </c>
      <c r="F199" s="130">
        <v>22641.146484375</v>
      </c>
      <c r="G199" s="130">
        <v>3270.46533203125</v>
      </c>
      <c r="H199" s="130">
        <v>21005.9140625</v>
      </c>
      <c r="I199" s="130">
        <v>101246.1796875</v>
      </c>
      <c r="J199" s="149">
        <v>4.4717779159545898</v>
      </c>
    </row>
    <row r="200" spans="1:10">
      <c r="A200" s="124">
        <v>2</v>
      </c>
      <c r="B200" s="124" t="s">
        <v>34</v>
      </c>
      <c r="C200" s="124">
        <v>90</v>
      </c>
      <c r="D200" s="155" t="s">
        <v>250</v>
      </c>
      <c r="E200" s="128">
        <v>0.16024972498416901</v>
      </c>
      <c r="F200" s="130">
        <v>19370.681640625</v>
      </c>
      <c r="G200" s="130">
        <v>3104.146484375</v>
      </c>
      <c r="H200" s="130">
        <v>17818.609375</v>
      </c>
      <c r="I200" s="130">
        <v>80240.265625</v>
      </c>
      <c r="J200" s="149">
        <v>4.1423563957214355</v>
      </c>
    </row>
    <row r="201" spans="1:10">
      <c r="A201" s="124">
        <v>2</v>
      </c>
      <c r="B201" s="124" t="s">
        <v>34</v>
      </c>
      <c r="C201" s="124">
        <v>91</v>
      </c>
      <c r="D201" s="155" t="s">
        <v>251</v>
      </c>
      <c r="E201" s="128">
        <v>0.17719370126724243</v>
      </c>
      <c r="F201" s="130">
        <v>16266.53515625</v>
      </c>
      <c r="G201" s="130">
        <v>2882.32763671875</v>
      </c>
      <c r="H201" s="130">
        <v>14825.37109375</v>
      </c>
      <c r="I201" s="130">
        <v>62421.65625</v>
      </c>
      <c r="J201" s="149">
        <v>3.8374278545379639</v>
      </c>
    </row>
    <row r="202" spans="1:10">
      <c r="A202" s="124">
        <v>2</v>
      </c>
      <c r="B202" s="124" t="s">
        <v>34</v>
      </c>
      <c r="C202" s="124">
        <v>92</v>
      </c>
      <c r="D202" s="155" t="s">
        <v>252</v>
      </c>
      <c r="E202" s="128">
        <v>0.19523854553699493</v>
      </c>
      <c r="F202" s="130">
        <v>13384.20703125</v>
      </c>
      <c r="G202" s="130">
        <v>2613.113037109375</v>
      </c>
      <c r="H202" s="130">
        <v>12077.650390625</v>
      </c>
      <c r="I202" s="130">
        <v>47596.28515625</v>
      </c>
      <c r="J202" s="149">
        <v>3.5561528205871582</v>
      </c>
    </row>
    <row r="203" spans="1:10">
      <c r="A203" s="124">
        <v>2</v>
      </c>
      <c r="B203" s="124" t="s">
        <v>34</v>
      </c>
      <c r="C203" s="124">
        <v>93</v>
      </c>
      <c r="D203" s="155" t="s">
        <v>253</v>
      </c>
      <c r="E203" s="128">
        <v>0.21431639790534973</v>
      </c>
      <c r="F203" s="130">
        <v>10771.09375</v>
      </c>
      <c r="G203" s="130">
        <v>2308.422119140625</v>
      </c>
      <c r="H203" s="130">
        <v>9616.8828125</v>
      </c>
      <c r="I203" s="130">
        <v>35518.6328125</v>
      </c>
      <c r="J203" s="149">
        <v>3.2975883483886719</v>
      </c>
    </row>
    <row r="204" spans="1:10">
      <c r="A204" s="124">
        <v>2</v>
      </c>
      <c r="B204" s="124" t="s">
        <v>34</v>
      </c>
      <c r="C204" s="124">
        <v>94</v>
      </c>
      <c r="D204" s="155" t="s">
        <v>254</v>
      </c>
      <c r="E204" s="128">
        <v>0.23433181643486023</v>
      </c>
      <c r="F204" s="130">
        <v>8462.671875</v>
      </c>
      <c r="G204" s="130">
        <v>1983.0732421875</v>
      </c>
      <c r="H204" s="130">
        <v>7471.13525390625</v>
      </c>
      <c r="I204" s="130">
        <v>25901.75</v>
      </c>
      <c r="J204" s="149">
        <v>3.0607059001922607</v>
      </c>
    </row>
    <row r="205" spans="1:10">
      <c r="A205" s="124">
        <v>2</v>
      </c>
      <c r="B205" s="124" t="s">
        <v>34</v>
      </c>
      <c r="C205" s="124">
        <v>95</v>
      </c>
      <c r="D205" s="155" t="s">
        <v>255</v>
      </c>
      <c r="E205" s="128">
        <v>0.25516209006309509</v>
      </c>
      <c r="F205" s="130">
        <v>6479.5986328125</v>
      </c>
      <c r="G205" s="130">
        <v>1653.347900390625</v>
      </c>
      <c r="H205" s="130">
        <v>5652.9248046875</v>
      </c>
      <c r="I205" s="130">
        <v>18430.615234375</v>
      </c>
      <c r="J205" s="149">
        <v>2.8444068431854248</v>
      </c>
    </row>
    <row r="206" spans="1:10">
      <c r="A206" s="124">
        <v>2</v>
      </c>
      <c r="B206" s="124" t="s">
        <v>34</v>
      </c>
      <c r="C206" s="124">
        <v>96</v>
      </c>
      <c r="D206" s="155" t="s">
        <v>256</v>
      </c>
      <c r="E206" s="128">
        <v>0.27665913105010986</v>
      </c>
      <c r="F206" s="130">
        <v>4826.2509765625</v>
      </c>
      <c r="G206" s="130">
        <v>1335.2264404296875</v>
      </c>
      <c r="H206" s="130">
        <v>4158.6376953125</v>
      </c>
      <c r="I206" s="130">
        <v>12777.6904296875</v>
      </c>
      <c r="J206" s="149">
        <v>2.6475396156311035</v>
      </c>
    </row>
    <row r="207" spans="1:10">
      <c r="A207" s="124">
        <v>2</v>
      </c>
      <c r="B207" s="124" t="s">
        <v>34</v>
      </c>
      <c r="C207" s="124">
        <v>97</v>
      </c>
      <c r="D207" s="155" t="s">
        <v>257</v>
      </c>
      <c r="E207" s="128">
        <v>0.29865282773971558</v>
      </c>
      <c r="F207" s="130">
        <v>3491.0244140625</v>
      </c>
      <c r="G207" s="130">
        <v>1042.6043701171875</v>
      </c>
      <c r="H207" s="130">
        <v>2969.72216796875</v>
      </c>
      <c r="I207" s="130">
        <v>8619.052734375</v>
      </c>
      <c r="J207" s="149">
        <v>2.4689178466796875</v>
      </c>
    </row>
    <row r="208" spans="1:10">
      <c r="A208" s="124">
        <v>2</v>
      </c>
      <c r="B208" s="124" t="s">
        <v>34</v>
      </c>
      <c r="C208" s="124">
        <v>98</v>
      </c>
      <c r="D208" s="155" t="s">
        <v>258</v>
      </c>
      <c r="E208" s="128">
        <v>0.32095611095428467</v>
      </c>
      <c r="F208" s="130">
        <v>2448.419921875</v>
      </c>
      <c r="G208" s="130">
        <v>785.8353271484375</v>
      </c>
      <c r="H208" s="130">
        <v>2055.502197265625</v>
      </c>
      <c r="I208" s="130">
        <v>5649.330078125</v>
      </c>
      <c r="J208" s="149">
        <v>2.3073370456695557</v>
      </c>
    </row>
    <row r="209" spans="1:10">
      <c r="A209" s="124">
        <v>2</v>
      </c>
      <c r="B209" s="124" t="s">
        <v>34</v>
      </c>
      <c r="C209" s="124">
        <v>99</v>
      </c>
      <c r="D209" s="155" t="s">
        <v>259</v>
      </c>
      <c r="E209" s="128">
        <v>0.34337088465690613</v>
      </c>
      <c r="F209" s="130">
        <v>1662.5845947265625</v>
      </c>
      <c r="G209" s="130">
        <v>570.88311767578125</v>
      </c>
      <c r="H209" s="130">
        <v>1377.14306640625</v>
      </c>
      <c r="I209" s="130">
        <v>3593.828125</v>
      </c>
      <c r="J209" s="149">
        <v>2.1615910530090332</v>
      </c>
    </row>
    <row r="210" spans="1:10">
      <c r="A210" s="124">
        <v>2</v>
      </c>
      <c r="B210" s="124" t="s">
        <v>34</v>
      </c>
      <c r="C210" s="124">
        <v>100</v>
      </c>
      <c r="D210" s="159" t="s">
        <v>260</v>
      </c>
      <c r="E210" s="128">
        <v>1</v>
      </c>
      <c r="F210" s="130">
        <v>1091.701416015625</v>
      </c>
      <c r="G210" s="130">
        <v>1091.701416015625</v>
      </c>
      <c r="H210" s="130">
        <v>2216.68505859375</v>
      </c>
      <c r="I210" s="130">
        <v>2216.68505859375</v>
      </c>
      <c r="J210" s="149">
        <v>2.0304865837097168</v>
      </c>
    </row>
    <row r="211" spans="1:10" ht="15">
      <c r="A211" s="162" t="s">
        <v>266</v>
      </c>
      <c r="B211" s="162" t="s">
        <v>0</v>
      </c>
      <c r="C211" s="162" t="s">
        <v>157</v>
      </c>
      <c r="D211" s="160" t="s">
        <v>132</v>
      </c>
      <c r="E211" s="142" t="s">
        <v>295</v>
      </c>
      <c r="F211" s="143" t="s">
        <v>296</v>
      </c>
      <c r="G211" s="144" t="s">
        <v>297</v>
      </c>
      <c r="H211" s="144" t="s">
        <v>298</v>
      </c>
      <c r="I211" s="144" t="s">
        <v>299</v>
      </c>
      <c r="J211" s="147" t="s">
        <v>300</v>
      </c>
    </row>
    <row r="212" spans="1:10">
      <c r="A212" s="124">
        <v>3</v>
      </c>
      <c r="B212" s="124" t="s">
        <v>35</v>
      </c>
      <c r="C212" s="124">
        <v>0</v>
      </c>
      <c r="D212" s="158" t="s">
        <v>160</v>
      </c>
      <c r="E212" s="132">
        <v>5.045E-3</v>
      </c>
      <c r="F212" s="133">
        <v>100000</v>
      </c>
      <c r="G212" s="133">
        <v>504</v>
      </c>
      <c r="H212" s="133">
        <v>99559</v>
      </c>
      <c r="I212" s="133">
        <v>8138598</v>
      </c>
      <c r="J212" s="151">
        <v>81.400000000000006</v>
      </c>
    </row>
    <row r="213" spans="1:10">
      <c r="A213" s="124">
        <v>3</v>
      </c>
      <c r="B213" s="124" t="s">
        <v>35</v>
      </c>
      <c r="C213" s="124">
        <v>1</v>
      </c>
      <c r="D213" s="155" t="s">
        <v>161</v>
      </c>
      <c r="E213" s="132">
        <v>3.4099999999999999E-4</v>
      </c>
      <c r="F213" s="133">
        <v>99496</v>
      </c>
      <c r="G213" s="133">
        <v>34</v>
      </c>
      <c r="H213" s="133">
        <v>99479</v>
      </c>
      <c r="I213" s="133">
        <v>8039039</v>
      </c>
      <c r="J213" s="151">
        <v>80.8</v>
      </c>
    </row>
    <row r="214" spans="1:10">
      <c r="A214" s="124">
        <v>3</v>
      </c>
      <c r="B214" s="124" t="s">
        <v>35</v>
      </c>
      <c r="C214" s="124">
        <v>2</v>
      </c>
      <c r="D214" s="155" t="s">
        <v>162</v>
      </c>
      <c r="E214" s="132">
        <v>2.0900000000000001E-4</v>
      </c>
      <c r="F214" s="133">
        <v>99462</v>
      </c>
      <c r="G214" s="133">
        <v>21</v>
      </c>
      <c r="H214" s="133">
        <v>99451</v>
      </c>
      <c r="I214" s="133">
        <v>7939561</v>
      </c>
      <c r="J214" s="151">
        <v>79.8</v>
      </c>
    </row>
    <row r="215" spans="1:10">
      <c r="A215" s="124">
        <v>3</v>
      </c>
      <c r="B215" s="124" t="s">
        <v>35</v>
      </c>
      <c r="C215" s="124">
        <v>3</v>
      </c>
      <c r="D215" s="155" t="s">
        <v>163</v>
      </c>
      <c r="E215" s="132">
        <v>1.66E-4</v>
      </c>
      <c r="F215" s="133">
        <v>99441</v>
      </c>
      <c r="G215" s="133">
        <v>16</v>
      </c>
      <c r="H215" s="133">
        <v>99432</v>
      </c>
      <c r="I215" s="133">
        <v>7840110</v>
      </c>
      <c r="J215" s="151">
        <v>78.8</v>
      </c>
    </row>
    <row r="216" spans="1:10">
      <c r="A216" s="124">
        <v>3</v>
      </c>
      <c r="B216" s="124" t="s">
        <v>35</v>
      </c>
      <c r="C216" s="124">
        <v>4</v>
      </c>
      <c r="D216" s="155" t="s">
        <v>164</v>
      </c>
      <c r="E216" s="132">
        <v>1.37E-4</v>
      </c>
      <c r="F216" s="133">
        <v>99424</v>
      </c>
      <c r="G216" s="133">
        <v>14</v>
      </c>
      <c r="H216" s="133">
        <v>99417</v>
      </c>
      <c r="I216" s="133">
        <v>7740677</v>
      </c>
      <c r="J216" s="151">
        <v>77.900000000000006</v>
      </c>
    </row>
    <row r="217" spans="1:10">
      <c r="A217" s="124">
        <v>3</v>
      </c>
      <c r="B217" s="124" t="s">
        <v>35</v>
      </c>
      <c r="C217" s="124">
        <v>5</v>
      </c>
      <c r="D217" s="155" t="s">
        <v>165</v>
      </c>
      <c r="E217" s="132">
        <v>1.25E-4</v>
      </c>
      <c r="F217" s="133">
        <v>99411</v>
      </c>
      <c r="G217" s="133">
        <v>12</v>
      </c>
      <c r="H217" s="133">
        <v>99404</v>
      </c>
      <c r="I217" s="133">
        <v>7641260</v>
      </c>
      <c r="J217" s="151">
        <v>76.900000000000006</v>
      </c>
    </row>
    <row r="218" spans="1:10">
      <c r="A218" s="124">
        <v>3</v>
      </c>
      <c r="B218" s="124" t="s">
        <v>35</v>
      </c>
      <c r="C218" s="124">
        <v>6</v>
      </c>
      <c r="D218" s="155" t="s">
        <v>166</v>
      </c>
      <c r="E218" s="132">
        <v>1.12E-4</v>
      </c>
      <c r="F218" s="133">
        <v>99398</v>
      </c>
      <c r="G218" s="133">
        <v>11</v>
      </c>
      <c r="H218" s="133">
        <v>99393</v>
      </c>
      <c r="I218" s="133">
        <v>7541855</v>
      </c>
      <c r="J218" s="151">
        <v>75.900000000000006</v>
      </c>
    </row>
    <row r="219" spans="1:10">
      <c r="A219" s="124">
        <v>3</v>
      </c>
      <c r="B219" s="124" t="s">
        <v>35</v>
      </c>
      <c r="C219" s="124">
        <v>7</v>
      </c>
      <c r="D219" s="155" t="s">
        <v>167</v>
      </c>
      <c r="E219" s="132">
        <v>1.02E-4</v>
      </c>
      <c r="F219" s="133">
        <v>99387</v>
      </c>
      <c r="G219" s="133">
        <v>10</v>
      </c>
      <c r="H219" s="133">
        <v>99382</v>
      </c>
      <c r="I219" s="133">
        <v>7442463</v>
      </c>
      <c r="J219" s="151">
        <v>74.900000000000006</v>
      </c>
    </row>
    <row r="220" spans="1:10">
      <c r="A220" s="124">
        <v>3</v>
      </c>
      <c r="B220" s="124" t="s">
        <v>35</v>
      </c>
      <c r="C220" s="124">
        <v>8</v>
      </c>
      <c r="D220" s="155" t="s">
        <v>168</v>
      </c>
      <c r="E220" s="132">
        <v>9.6000000000000002E-5</v>
      </c>
      <c r="F220" s="133">
        <v>99377</v>
      </c>
      <c r="G220" s="133">
        <v>10</v>
      </c>
      <c r="H220" s="133">
        <v>99372</v>
      </c>
      <c r="I220" s="133">
        <v>7343081</v>
      </c>
      <c r="J220" s="151">
        <v>73.900000000000006</v>
      </c>
    </row>
    <row r="221" spans="1:10">
      <c r="A221" s="124">
        <v>3</v>
      </c>
      <c r="B221" s="124" t="s">
        <v>35</v>
      </c>
      <c r="C221" s="124">
        <v>9</v>
      </c>
      <c r="D221" s="155" t="s">
        <v>169</v>
      </c>
      <c r="E221" s="132">
        <v>9.2999999999999997E-5</v>
      </c>
      <c r="F221" s="133">
        <v>99367</v>
      </c>
      <c r="G221" s="133">
        <v>9</v>
      </c>
      <c r="H221" s="133">
        <v>99363</v>
      </c>
      <c r="I221" s="133">
        <v>7243708</v>
      </c>
      <c r="J221" s="151">
        <v>72.900000000000006</v>
      </c>
    </row>
    <row r="222" spans="1:10">
      <c r="A222" s="124">
        <v>3</v>
      </c>
      <c r="B222" s="124" t="s">
        <v>35</v>
      </c>
      <c r="C222" s="124">
        <v>10</v>
      </c>
      <c r="D222" s="155" t="s">
        <v>170</v>
      </c>
      <c r="E222" s="132">
        <v>9.5000000000000005E-5</v>
      </c>
      <c r="F222" s="133">
        <v>99358</v>
      </c>
      <c r="G222" s="133">
        <v>9</v>
      </c>
      <c r="H222" s="133">
        <v>99353</v>
      </c>
      <c r="I222" s="133">
        <v>7144346</v>
      </c>
      <c r="J222" s="151">
        <v>71.900000000000006</v>
      </c>
    </row>
    <row r="223" spans="1:10">
      <c r="A223" s="124">
        <v>3</v>
      </c>
      <c r="B223" s="124" t="s">
        <v>35</v>
      </c>
      <c r="C223" s="124">
        <v>11</v>
      </c>
      <c r="D223" s="155" t="s">
        <v>171</v>
      </c>
      <c r="E223" s="132">
        <v>1.02E-4</v>
      </c>
      <c r="F223" s="133">
        <v>99349</v>
      </c>
      <c r="G223" s="133">
        <v>10</v>
      </c>
      <c r="H223" s="133">
        <v>99344</v>
      </c>
      <c r="I223" s="133">
        <v>7044992</v>
      </c>
      <c r="J223" s="151">
        <v>70.900000000000006</v>
      </c>
    </row>
    <row r="224" spans="1:10">
      <c r="A224" s="124">
        <v>3</v>
      </c>
      <c r="B224" s="124" t="s">
        <v>35</v>
      </c>
      <c r="C224" s="124">
        <v>12</v>
      </c>
      <c r="D224" s="155" t="s">
        <v>172</v>
      </c>
      <c r="E224" s="132">
        <v>1.16E-4</v>
      </c>
      <c r="F224" s="133">
        <v>99339</v>
      </c>
      <c r="G224" s="133">
        <v>12</v>
      </c>
      <c r="H224" s="133">
        <v>99333</v>
      </c>
      <c r="I224" s="133">
        <v>6945649</v>
      </c>
      <c r="J224" s="151">
        <v>69.900000000000006</v>
      </c>
    </row>
    <row r="225" spans="1:10">
      <c r="A225" s="124">
        <v>3</v>
      </c>
      <c r="B225" s="124" t="s">
        <v>35</v>
      </c>
      <c r="C225" s="124">
        <v>13</v>
      </c>
      <c r="D225" s="155" t="s">
        <v>173</v>
      </c>
      <c r="E225" s="132">
        <v>1.3899999999999999E-4</v>
      </c>
      <c r="F225" s="133">
        <v>99327</v>
      </c>
      <c r="G225" s="133">
        <v>14</v>
      </c>
      <c r="H225" s="133">
        <v>99320</v>
      </c>
      <c r="I225" s="133">
        <v>6846316</v>
      </c>
      <c r="J225" s="151">
        <v>68.900000000000006</v>
      </c>
    </row>
    <row r="226" spans="1:10">
      <c r="A226" s="124">
        <v>3</v>
      </c>
      <c r="B226" s="124" t="s">
        <v>35</v>
      </c>
      <c r="C226" s="124">
        <v>14</v>
      </c>
      <c r="D226" s="155" t="s">
        <v>174</v>
      </c>
      <c r="E226" s="132">
        <v>1.7000000000000001E-4</v>
      </c>
      <c r="F226" s="133">
        <v>99313</v>
      </c>
      <c r="G226" s="133">
        <v>17</v>
      </c>
      <c r="H226" s="133">
        <v>99305</v>
      </c>
      <c r="I226" s="133">
        <v>6746996</v>
      </c>
      <c r="J226" s="151">
        <v>67.900000000000006</v>
      </c>
    </row>
    <row r="227" spans="1:10">
      <c r="A227" s="124">
        <v>3</v>
      </c>
      <c r="B227" s="124" t="s">
        <v>35</v>
      </c>
      <c r="C227" s="124">
        <v>15</v>
      </c>
      <c r="D227" s="155" t="s">
        <v>175</v>
      </c>
      <c r="E227" s="132">
        <v>2.04E-4</v>
      </c>
      <c r="F227" s="133">
        <v>99296</v>
      </c>
      <c r="G227" s="133">
        <v>20</v>
      </c>
      <c r="H227" s="133">
        <v>99286</v>
      </c>
      <c r="I227" s="133">
        <v>6647691</v>
      </c>
      <c r="J227" s="151">
        <v>66.900000000000006</v>
      </c>
    </row>
    <row r="228" spans="1:10">
      <c r="A228" s="124">
        <v>3</v>
      </c>
      <c r="B228" s="124" t="s">
        <v>35</v>
      </c>
      <c r="C228" s="124">
        <v>16</v>
      </c>
      <c r="D228" s="155" t="s">
        <v>176</v>
      </c>
      <c r="E228" s="132">
        <v>2.41E-4</v>
      </c>
      <c r="F228" s="133">
        <v>99276</v>
      </c>
      <c r="G228" s="133">
        <v>24</v>
      </c>
      <c r="H228" s="133">
        <v>99264</v>
      </c>
      <c r="I228" s="133">
        <v>6548405</v>
      </c>
      <c r="J228" s="151">
        <v>66</v>
      </c>
    </row>
    <row r="229" spans="1:10">
      <c r="A229" s="124">
        <v>3</v>
      </c>
      <c r="B229" s="124" t="s">
        <v>35</v>
      </c>
      <c r="C229" s="124">
        <v>17</v>
      </c>
      <c r="D229" s="155" t="s">
        <v>177</v>
      </c>
      <c r="E229" s="132">
        <v>2.7999999999999998E-4</v>
      </c>
      <c r="F229" s="133">
        <v>99252</v>
      </c>
      <c r="G229" s="133">
        <v>28</v>
      </c>
      <c r="H229" s="133">
        <v>99238</v>
      </c>
      <c r="I229" s="133">
        <v>6449141</v>
      </c>
      <c r="J229" s="151">
        <v>65</v>
      </c>
    </row>
    <row r="230" spans="1:10">
      <c r="A230" s="124">
        <v>3</v>
      </c>
      <c r="B230" s="124" t="s">
        <v>35</v>
      </c>
      <c r="C230" s="124">
        <v>18</v>
      </c>
      <c r="D230" s="155" t="s">
        <v>178</v>
      </c>
      <c r="E230" s="132">
        <v>3.19E-4</v>
      </c>
      <c r="F230" s="133">
        <v>99224</v>
      </c>
      <c r="G230" s="133">
        <v>32</v>
      </c>
      <c r="H230" s="133">
        <v>99209</v>
      </c>
      <c r="I230" s="133">
        <v>6349902</v>
      </c>
      <c r="J230" s="151">
        <v>64</v>
      </c>
    </row>
    <row r="231" spans="1:10">
      <c r="A231" s="124">
        <v>3</v>
      </c>
      <c r="B231" s="124" t="s">
        <v>35</v>
      </c>
      <c r="C231" s="124">
        <v>19</v>
      </c>
      <c r="D231" s="155" t="s">
        <v>179</v>
      </c>
      <c r="E231" s="132">
        <v>3.6000000000000002E-4</v>
      </c>
      <c r="F231" s="133">
        <v>99193</v>
      </c>
      <c r="G231" s="133">
        <v>36</v>
      </c>
      <c r="H231" s="133">
        <v>99175</v>
      </c>
      <c r="I231" s="133">
        <v>6250694</v>
      </c>
      <c r="J231" s="151">
        <v>63</v>
      </c>
    </row>
    <row r="232" spans="1:10">
      <c r="A232" s="124">
        <v>3</v>
      </c>
      <c r="B232" s="124" t="s">
        <v>35</v>
      </c>
      <c r="C232" s="124">
        <v>20</v>
      </c>
      <c r="D232" s="155" t="s">
        <v>180</v>
      </c>
      <c r="E232" s="132">
        <v>4.0400000000000001E-4</v>
      </c>
      <c r="F232" s="133">
        <v>99157</v>
      </c>
      <c r="G232" s="133">
        <v>40</v>
      </c>
      <c r="H232" s="133">
        <v>99137</v>
      </c>
      <c r="I232" s="133">
        <v>6151519</v>
      </c>
      <c r="J232" s="151">
        <v>62</v>
      </c>
    </row>
    <row r="233" spans="1:10">
      <c r="A233" s="124">
        <v>3</v>
      </c>
      <c r="B233" s="124" t="s">
        <v>35</v>
      </c>
      <c r="C233" s="124">
        <v>21</v>
      </c>
      <c r="D233" s="155" t="s">
        <v>181</v>
      </c>
      <c r="E233" s="132">
        <v>4.4900000000000002E-4</v>
      </c>
      <c r="F233" s="133">
        <v>99117</v>
      </c>
      <c r="G233" s="133">
        <v>45</v>
      </c>
      <c r="H233" s="133">
        <v>99095</v>
      </c>
      <c r="I233" s="133">
        <v>6052382</v>
      </c>
      <c r="J233" s="151">
        <v>61.1</v>
      </c>
    </row>
    <row r="234" spans="1:10">
      <c r="A234" s="124">
        <v>3</v>
      </c>
      <c r="B234" s="124" t="s">
        <v>35</v>
      </c>
      <c r="C234" s="124">
        <v>22</v>
      </c>
      <c r="D234" s="155" t="s">
        <v>182</v>
      </c>
      <c r="E234" s="132">
        <v>4.8999999999999998E-4</v>
      </c>
      <c r="F234" s="133">
        <v>99072</v>
      </c>
      <c r="G234" s="133">
        <v>49</v>
      </c>
      <c r="H234" s="133">
        <v>99048</v>
      </c>
      <c r="I234" s="133">
        <v>5953287</v>
      </c>
      <c r="J234" s="151">
        <v>60.1</v>
      </c>
    </row>
    <row r="235" spans="1:10">
      <c r="A235" s="124">
        <v>3</v>
      </c>
      <c r="B235" s="124" t="s">
        <v>35</v>
      </c>
      <c r="C235" s="124">
        <v>23</v>
      </c>
      <c r="D235" s="155" t="s">
        <v>183</v>
      </c>
      <c r="E235" s="132">
        <v>5.2400000000000005E-4</v>
      </c>
      <c r="F235" s="133">
        <v>99024</v>
      </c>
      <c r="G235" s="133">
        <v>52</v>
      </c>
      <c r="H235" s="133">
        <v>98998</v>
      </c>
      <c r="I235" s="133">
        <v>5854239</v>
      </c>
      <c r="J235" s="151">
        <v>59.1</v>
      </c>
    </row>
    <row r="236" spans="1:10">
      <c r="A236" s="124">
        <v>3</v>
      </c>
      <c r="B236" s="124" t="s">
        <v>35</v>
      </c>
      <c r="C236" s="124">
        <v>24</v>
      </c>
      <c r="D236" s="155" t="s">
        <v>184</v>
      </c>
      <c r="E236" s="132">
        <v>5.53E-4</v>
      </c>
      <c r="F236" s="133">
        <v>98972</v>
      </c>
      <c r="G236" s="133">
        <v>55</v>
      </c>
      <c r="H236" s="133">
        <v>98945</v>
      </c>
      <c r="I236" s="133">
        <v>5755241</v>
      </c>
      <c r="J236" s="151">
        <v>58.2</v>
      </c>
    </row>
    <row r="237" spans="1:10">
      <c r="A237" s="124">
        <v>3</v>
      </c>
      <c r="B237" s="124" t="s">
        <v>35</v>
      </c>
      <c r="C237" s="124">
        <v>25</v>
      </c>
      <c r="D237" s="155" t="s">
        <v>185</v>
      </c>
      <c r="E237" s="132">
        <v>5.7899999999999998E-4</v>
      </c>
      <c r="F237" s="133">
        <v>98917</v>
      </c>
      <c r="G237" s="133">
        <v>57</v>
      </c>
      <c r="H237" s="133">
        <v>98889</v>
      </c>
      <c r="I237" s="133">
        <v>5656297</v>
      </c>
      <c r="J237" s="151">
        <v>57.2</v>
      </c>
    </row>
    <row r="238" spans="1:10">
      <c r="A238" s="124">
        <v>3</v>
      </c>
      <c r="B238" s="124" t="s">
        <v>35</v>
      </c>
      <c r="C238" s="124">
        <v>26</v>
      </c>
      <c r="D238" s="155" t="s">
        <v>186</v>
      </c>
      <c r="E238" s="132">
        <v>6.0800000000000003E-4</v>
      </c>
      <c r="F238" s="133">
        <v>98860</v>
      </c>
      <c r="G238" s="133">
        <v>60</v>
      </c>
      <c r="H238" s="133">
        <v>98830</v>
      </c>
      <c r="I238" s="133">
        <v>5557408</v>
      </c>
      <c r="J238" s="151">
        <v>56.2</v>
      </c>
    </row>
    <row r="239" spans="1:10">
      <c r="A239" s="124">
        <v>3</v>
      </c>
      <c r="B239" s="124" t="s">
        <v>35</v>
      </c>
      <c r="C239" s="124">
        <v>27</v>
      </c>
      <c r="D239" s="155" t="s">
        <v>187</v>
      </c>
      <c r="E239" s="132">
        <v>6.4400000000000004E-4</v>
      </c>
      <c r="F239" s="133">
        <v>98800</v>
      </c>
      <c r="G239" s="133">
        <v>64</v>
      </c>
      <c r="H239" s="133">
        <v>98768</v>
      </c>
      <c r="I239" s="133">
        <v>5458578</v>
      </c>
      <c r="J239" s="151">
        <v>55.2</v>
      </c>
    </row>
    <row r="240" spans="1:10">
      <c r="A240" s="124">
        <v>3</v>
      </c>
      <c r="B240" s="124" t="s">
        <v>35</v>
      </c>
      <c r="C240" s="124">
        <v>28</v>
      </c>
      <c r="D240" s="155" t="s">
        <v>188</v>
      </c>
      <c r="E240" s="132">
        <v>6.8999999999999997E-4</v>
      </c>
      <c r="F240" s="133">
        <v>98736</v>
      </c>
      <c r="G240" s="133">
        <v>68</v>
      </c>
      <c r="H240" s="133">
        <v>98702</v>
      </c>
      <c r="I240" s="133">
        <v>5359810</v>
      </c>
      <c r="J240" s="151">
        <v>54.3</v>
      </c>
    </row>
    <row r="241" spans="1:10">
      <c r="A241" s="124">
        <v>3</v>
      </c>
      <c r="B241" s="124" t="s">
        <v>35</v>
      </c>
      <c r="C241" s="124">
        <v>29</v>
      </c>
      <c r="D241" s="155" t="s">
        <v>189</v>
      </c>
      <c r="E241" s="132">
        <v>7.4600000000000003E-4</v>
      </c>
      <c r="F241" s="133">
        <v>98668</v>
      </c>
      <c r="G241" s="133">
        <v>74</v>
      </c>
      <c r="H241" s="133">
        <v>98631</v>
      </c>
      <c r="I241" s="133">
        <v>5261108</v>
      </c>
      <c r="J241" s="151">
        <v>53.3</v>
      </c>
    </row>
    <row r="242" spans="1:10">
      <c r="A242" s="124">
        <v>3</v>
      </c>
      <c r="B242" s="124" t="s">
        <v>35</v>
      </c>
      <c r="C242" s="124">
        <v>30</v>
      </c>
      <c r="D242" s="155" t="s">
        <v>190</v>
      </c>
      <c r="E242" s="132">
        <v>8.0800000000000002E-4</v>
      </c>
      <c r="F242" s="133">
        <v>98594</v>
      </c>
      <c r="G242" s="133">
        <v>80</v>
      </c>
      <c r="H242" s="133">
        <v>98555</v>
      </c>
      <c r="I242" s="133">
        <v>5162477</v>
      </c>
      <c r="J242" s="151">
        <v>52.4</v>
      </c>
    </row>
    <row r="243" spans="1:10">
      <c r="A243" s="124">
        <v>3</v>
      </c>
      <c r="B243" s="124" t="s">
        <v>35</v>
      </c>
      <c r="C243" s="124">
        <v>31</v>
      </c>
      <c r="D243" s="155" t="s">
        <v>191</v>
      </c>
      <c r="E243" s="132">
        <v>8.7000000000000001E-4</v>
      </c>
      <c r="F243" s="133">
        <v>98515</v>
      </c>
      <c r="G243" s="133">
        <v>86</v>
      </c>
      <c r="H243" s="133">
        <v>98472</v>
      </c>
      <c r="I243" s="133">
        <v>5063922</v>
      </c>
      <c r="J243" s="151">
        <v>51.4</v>
      </c>
    </row>
    <row r="244" spans="1:10">
      <c r="A244" s="124">
        <v>3</v>
      </c>
      <c r="B244" s="124" t="s">
        <v>35</v>
      </c>
      <c r="C244" s="124">
        <v>32</v>
      </c>
      <c r="D244" s="155" t="s">
        <v>192</v>
      </c>
      <c r="E244" s="132">
        <v>9.3300000000000002E-4</v>
      </c>
      <c r="F244" s="133">
        <v>98429</v>
      </c>
      <c r="G244" s="133">
        <v>92</v>
      </c>
      <c r="H244" s="133">
        <v>98383</v>
      </c>
      <c r="I244" s="133">
        <v>4965450</v>
      </c>
      <c r="J244" s="151">
        <v>50.4</v>
      </c>
    </row>
    <row r="245" spans="1:10">
      <c r="A245" s="124">
        <v>3</v>
      </c>
      <c r="B245" s="124" t="s">
        <v>35</v>
      </c>
      <c r="C245" s="124">
        <v>33</v>
      </c>
      <c r="D245" s="155" t="s">
        <v>193</v>
      </c>
      <c r="E245" s="132">
        <v>9.9200000000000004E-4</v>
      </c>
      <c r="F245" s="133">
        <v>98337</v>
      </c>
      <c r="G245" s="133">
        <v>98</v>
      </c>
      <c r="H245" s="133">
        <v>98288</v>
      </c>
      <c r="I245" s="133">
        <v>4867067</v>
      </c>
      <c r="J245" s="151">
        <v>49.5</v>
      </c>
    </row>
    <row r="246" spans="1:10">
      <c r="A246" s="124">
        <v>3</v>
      </c>
      <c r="B246" s="124" t="s">
        <v>35</v>
      </c>
      <c r="C246" s="124">
        <v>34</v>
      </c>
      <c r="D246" s="155" t="s">
        <v>194</v>
      </c>
      <c r="E246" s="132">
        <v>1.049E-3</v>
      </c>
      <c r="F246" s="133">
        <v>98240</v>
      </c>
      <c r="G246" s="133">
        <v>103</v>
      </c>
      <c r="H246" s="133">
        <v>98188</v>
      </c>
      <c r="I246" s="133">
        <v>4768778</v>
      </c>
      <c r="J246" s="151">
        <v>48.5</v>
      </c>
    </row>
    <row r="247" spans="1:10">
      <c r="A247" s="124">
        <v>3</v>
      </c>
      <c r="B247" s="124" t="s">
        <v>35</v>
      </c>
      <c r="C247" s="124">
        <v>35</v>
      </c>
      <c r="D247" s="155" t="s">
        <v>195</v>
      </c>
      <c r="E247" s="132">
        <v>1.1119999999999999E-3</v>
      </c>
      <c r="F247" s="133">
        <v>98137</v>
      </c>
      <c r="G247" s="133">
        <v>109</v>
      </c>
      <c r="H247" s="133">
        <v>98082</v>
      </c>
      <c r="I247" s="133">
        <v>4670590</v>
      </c>
      <c r="J247" s="151">
        <v>47.6</v>
      </c>
    </row>
    <row r="248" spans="1:10">
      <c r="A248" s="124">
        <v>3</v>
      </c>
      <c r="B248" s="124" t="s">
        <v>35</v>
      </c>
      <c r="C248" s="124">
        <v>36</v>
      </c>
      <c r="D248" s="155" t="s">
        <v>196</v>
      </c>
      <c r="E248" s="132">
        <v>1.178E-3</v>
      </c>
      <c r="F248" s="133">
        <v>98028</v>
      </c>
      <c r="G248" s="133">
        <v>116</v>
      </c>
      <c r="H248" s="133">
        <v>97970</v>
      </c>
      <c r="I248" s="133">
        <v>4572508</v>
      </c>
      <c r="J248" s="151">
        <v>46.6</v>
      </c>
    </row>
    <row r="249" spans="1:10">
      <c r="A249" s="124">
        <v>3</v>
      </c>
      <c r="B249" s="124" t="s">
        <v>35</v>
      </c>
      <c r="C249" s="124">
        <v>37</v>
      </c>
      <c r="D249" s="155" t="s">
        <v>197</v>
      </c>
      <c r="E249" s="132">
        <v>1.24E-3</v>
      </c>
      <c r="F249" s="133">
        <v>97912</v>
      </c>
      <c r="G249" s="133">
        <v>121</v>
      </c>
      <c r="H249" s="133">
        <v>97851</v>
      </c>
      <c r="I249" s="133">
        <v>4474538</v>
      </c>
      <c r="J249" s="151">
        <v>45.7</v>
      </c>
    </row>
    <row r="250" spans="1:10">
      <c r="A250" s="124">
        <v>3</v>
      </c>
      <c r="B250" s="124" t="s">
        <v>35</v>
      </c>
      <c r="C250" s="124">
        <v>38</v>
      </c>
      <c r="D250" s="155" t="s">
        <v>198</v>
      </c>
      <c r="E250" s="132">
        <v>1.2949999999999999E-3</v>
      </c>
      <c r="F250" s="133">
        <v>97791</v>
      </c>
      <c r="G250" s="133">
        <v>127</v>
      </c>
      <c r="H250" s="133">
        <v>97727</v>
      </c>
      <c r="I250" s="133">
        <v>4376687</v>
      </c>
      <c r="J250" s="151">
        <v>44.8</v>
      </c>
    </row>
    <row r="251" spans="1:10">
      <c r="A251" s="124">
        <v>3</v>
      </c>
      <c r="B251" s="124" t="s">
        <v>35</v>
      </c>
      <c r="C251" s="124">
        <v>39</v>
      </c>
      <c r="D251" s="155" t="s">
        <v>199</v>
      </c>
      <c r="E251" s="132">
        <v>1.351E-3</v>
      </c>
      <c r="F251" s="133">
        <v>97664</v>
      </c>
      <c r="G251" s="133">
        <v>132</v>
      </c>
      <c r="H251" s="133">
        <v>97598</v>
      </c>
      <c r="I251" s="133">
        <v>4278960</v>
      </c>
      <c r="J251" s="151">
        <v>43.8</v>
      </c>
    </row>
    <row r="252" spans="1:10">
      <c r="A252" s="124">
        <v>3</v>
      </c>
      <c r="B252" s="124" t="s">
        <v>35</v>
      </c>
      <c r="C252" s="124">
        <v>40</v>
      </c>
      <c r="D252" s="155" t="s">
        <v>200</v>
      </c>
      <c r="E252" s="132">
        <v>1.4139999999999999E-3</v>
      </c>
      <c r="F252" s="133">
        <v>97532</v>
      </c>
      <c r="G252" s="133">
        <v>138</v>
      </c>
      <c r="H252" s="133">
        <v>97463</v>
      </c>
      <c r="I252" s="133">
        <v>4181362</v>
      </c>
      <c r="J252" s="151">
        <v>42.9</v>
      </c>
    </row>
    <row r="253" spans="1:10">
      <c r="A253" s="124">
        <v>3</v>
      </c>
      <c r="B253" s="124" t="s">
        <v>35</v>
      </c>
      <c r="C253" s="124">
        <v>41</v>
      </c>
      <c r="D253" s="155" t="s">
        <v>201</v>
      </c>
      <c r="E253" s="132">
        <v>1.493E-3</v>
      </c>
      <c r="F253" s="133">
        <v>97394</v>
      </c>
      <c r="G253" s="133">
        <v>145</v>
      </c>
      <c r="H253" s="133">
        <v>97322</v>
      </c>
      <c r="I253" s="133">
        <v>4083898</v>
      </c>
      <c r="J253" s="151">
        <v>41.9</v>
      </c>
    </row>
    <row r="254" spans="1:10">
      <c r="A254" s="124">
        <v>3</v>
      </c>
      <c r="B254" s="124" t="s">
        <v>35</v>
      </c>
      <c r="C254" s="124">
        <v>42</v>
      </c>
      <c r="D254" s="155" t="s">
        <v>202</v>
      </c>
      <c r="E254" s="132">
        <v>1.593E-3</v>
      </c>
      <c r="F254" s="133">
        <v>97249</v>
      </c>
      <c r="G254" s="133">
        <v>155</v>
      </c>
      <c r="H254" s="133">
        <v>97171</v>
      </c>
      <c r="I254" s="133">
        <v>3986577</v>
      </c>
      <c r="J254" s="151">
        <v>41</v>
      </c>
    </row>
    <row r="255" spans="1:10">
      <c r="A255" s="124">
        <v>3</v>
      </c>
      <c r="B255" s="124" t="s">
        <v>35</v>
      </c>
      <c r="C255" s="124">
        <v>43</v>
      </c>
      <c r="D255" s="155" t="s">
        <v>203</v>
      </c>
      <c r="E255" s="132">
        <v>1.714E-3</v>
      </c>
      <c r="F255" s="133">
        <v>97094</v>
      </c>
      <c r="G255" s="133">
        <v>166</v>
      </c>
      <c r="H255" s="133">
        <v>97011</v>
      </c>
      <c r="I255" s="133">
        <v>3889406</v>
      </c>
      <c r="J255" s="151">
        <v>40.1</v>
      </c>
    </row>
    <row r="256" spans="1:10">
      <c r="A256" s="124">
        <v>3</v>
      </c>
      <c r="B256" s="124" t="s">
        <v>35</v>
      </c>
      <c r="C256" s="124">
        <v>44</v>
      </c>
      <c r="D256" s="155" t="s">
        <v>204</v>
      </c>
      <c r="E256" s="132">
        <v>1.851E-3</v>
      </c>
      <c r="F256" s="133">
        <v>96928</v>
      </c>
      <c r="G256" s="133">
        <v>179</v>
      </c>
      <c r="H256" s="133">
        <v>96838</v>
      </c>
      <c r="I256" s="133">
        <v>3792395</v>
      </c>
      <c r="J256" s="151">
        <v>39.1</v>
      </c>
    </row>
    <row r="257" spans="1:10">
      <c r="A257" s="124">
        <v>3</v>
      </c>
      <c r="B257" s="124" t="s">
        <v>35</v>
      </c>
      <c r="C257" s="124">
        <v>45</v>
      </c>
      <c r="D257" s="155" t="s">
        <v>205</v>
      </c>
      <c r="E257" s="132">
        <v>2.0049999999999998E-3</v>
      </c>
      <c r="F257" s="133">
        <v>96748</v>
      </c>
      <c r="G257" s="133">
        <v>194</v>
      </c>
      <c r="H257" s="133">
        <v>96651</v>
      </c>
      <c r="I257" s="133">
        <v>3695557</v>
      </c>
      <c r="J257" s="151">
        <v>38.200000000000003</v>
      </c>
    </row>
    <row r="258" spans="1:10">
      <c r="A258" s="124">
        <v>3</v>
      </c>
      <c r="B258" s="124" t="s">
        <v>35</v>
      </c>
      <c r="C258" s="124">
        <v>46</v>
      </c>
      <c r="D258" s="155" t="s">
        <v>206</v>
      </c>
      <c r="E258" s="132">
        <v>2.1719999999999999E-3</v>
      </c>
      <c r="F258" s="133">
        <v>96554</v>
      </c>
      <c r="G258" s="133">
        <v>210</v>
      </c>
      <c r="H258" s="133">
        <v>96449</v>
      </c>
      <c r="I258" s="133">
        <v>3598906</v>
      </c>
      <c r="J258" s="151">
        <v>37.299999999999997</v>
      </c>
    </row>
    <row r="259" spans="1:10">
      <c r="A259" s="124">
        <v>3</v>
      </c>
      <c r="B259" s="124" t="s">
        <v>35</v>
      </c>
      <c r="C259" s="124">
        <v>47</v>
      </c>
      <c r="D259" s="155" t="s">
        <v>207</v>
      </c>
      <c r="E259" s="132">
        <v>2.3470000000000001E-3</v>
      </c>
      <c r="F259" s="133">
        <v>96344</v>
      </c>
      <c r="G259" s="133">
        <v>226</v>
      </c>
      <c r="H259" s="133">
        <v>96231</v>
      </c>
      <c r="I259" s="133">
        <v>3502457</v>
      </c>
      <c r="J259" s="151">
        <v>36.4</v>
      </c>
    </row>
    <row r="260" spans="1:10">
      <c r="A260" s="124">
        <v>3</v>
      </c>
      <c r="B260" s="124" t="s">
        <v>35</v>
      </c>
      <c r="C260" s="124">
        <v>48</v>
      </c>
      <c r="D260" s="155" t="s">
        <v>208</v>
      </c>
      <c r="E260" s="132">
        <v>2.5339999999999998E-3</v>
      </c>
      <c r="F260" s="133">
        <v>96118</v>
      </c>
      <c r="G260" s="133">
        <v>244</v>
      </c>
      <c r="H260" s="133">
        <v>95996</v>
      </c>
      <c r="I260" s="133">
        <v>3406226</v>
      </c>
      <c r="J260" s="151">
        <v>35.4</v>
      </c>
    </row>
    <row r="261" spans="1:10">
      <c r="A261" s="124">
        <v>3</v>
      </c>
      <c r="B261" s="124" t="s">
        <v>35</v>
      </c>
      <c r="C261" s="124">
        <v>49</v>
      </c>
      <c r="D261" s="155" t="s">
        <v>209</v>
      </c>
      <c r="E261" s="132">
        <v>2.7409999999999999E-3</v>
      </c>
      <c r="F261" s="133">
        <v>95875</v>
      </c>
      <c r="G261" s="133">
        <v>263</v>
      </c>
      <c r="H261" s="133">
        <v>95743</v>
      </c>
      <c r="I261" s="133">
        <v>3310229</v>
      </c>
      <c r="J261" s="151">
        <v>34.5</v>
      </c>
    </row>
    <row r="262" spans="1:10">
      <c r="A262" s="124">
        <v>3</v>
      </c>
      <c r="B262" s="124" t="s">
        <v>35</v>
      </c>
      <c r="C262" s="124">
        <v>50</v>
      </c>
      <c r="D262" s="155" t="s">
        <v>210</v>
      </c>
      <c r="E262" s="132">
        <v>2.9640000000000001E-3</v>
      </c>
      <c r="F262" s="133">
        <v>95612</v>
      </c>
      <c r="G262" s="133">
        <v>283</v>
      </c>
      <c r="H262" s="133">
        <v>95470</v>
      </c>
      <c r="I262" s="133">
        <v>3214486</v>
      </c>
      <c r="J262" s="151">
        <v>33.6</v>
      </c>
    </row>
    <row r="263" spans="1:10">
      <c r="A263" s="124">
        <v>3</v>
      </c>
      <c r="B263" s="124" t="s">
        <v>35</v>
      </c>
      <c r="C263" s="124">
        <v>51</v>
      </c>
      <c r="D263" s="155" t="s">
        <v>211</v>
      </c>
      <c r="E263" s="132">
        <v>3.2169999999999998E-3</v>
      </c>
      <c r="F263" s="133">
        <v>95328</v>
      </c>
      <c r="G263" s="133">
        <v>307</v>
      </c>
      <c r="H263" s="133">
        <v>95175</v>
      </c>
      <c r="I263" s="133">
        <v>3119016</v>
      </c>
      <c r="J263" s="151">
        <v>32.700000000000003</v>
      </c>
    </row>
    <row r="264" spans="1:10">
      <c r="A264" s="124">
        <v>3</v>
      </c>
      <c r="B264" s="124" t="s">
        <v>35</v>
      </c>
      <c r="C264" s="124">
        <v>52</v>
      </c>
      <c r="D264" s="155" t="s">
        <v>212</v>
      </c>
      <c r="E264" s="132">
        <v>3.519E-3</v>
      </c>
      <c r="F264" s="133">
        <v>95022</v>
      </c>
      <c r="G264" s="133">
        <v>334</v>
      </c>
      <c r="H264" s="133">
        <v>94855</v>
      </c>
      <c r="I264" s="133">
        <v>3023841</v>
      </c>
      <c r="J264" s="151">
        <v>31.8</v>
      </c>
    </row>
    <row r="265" spans="1:10">
      <c r="A265" s="124">
        <v>3</v>
      </c>
      <c r="B265" s="124" t="s">
        <v>35</v>
      </c>
      <c r="C265" s="124">
        <v>53</v>
      </c>
      <c r="D265" s="155" t="s">
        <v>213</v>
      </c>
      <c r="E265" s="132">
        <v>3.869E-3</v>
      </c>
      <c r="F265" s="133">
        <v>94687</v>
      </c>
      <c r="G265" s="133">
        <v>366</v>
      </c>
      <c r="H265" s="133">
        <v>94504</v>
      </c>
      <c r="I265" s="133">
        <v>2928986</v>
      </c>
      <c r="J265" s="151">
        <v>30.9</v>
      </c>
    </row>
    <row r="266" spans="1:10">
      <c r="A266" s="124">
        <v>3</v>
      </c>
      <c r="B266" s="124" t="s">
        <v>35</v>
      </c>
      <c r="C266" s="124">
        <v>54</v>
      </c>
      <c r="D266" s="155" t="s">
        <v>214</v>
      </c>
      <c r="E266" s="132">
        <v>4.2459999999999998E-3</v>
      </c>
      <c r="F266" s="133">
        <v>94321</v>
      </c>
      <c r="G266" s="133">
        <v>401</v>
      </c>
      <c r="H266" s="133">
        <v>94121</v>
      </c>
      <c r="I266" s="133">
        <v>2834482</v>
      </c>
      <c r="J266" s="151">
        <v>30.1</v>
      </c>
    </row>
    <row r="267" spans="1:10">
      <c r="A267" s="124">
        <v>3</v>
      </c>
      <c r="B267" s="124" t="s">
        <v>35</v>
      </c>
      <c r="C267" s="124">
        <v>55</v>
      </c>
      <c r="D267" s="155" t="s">
        <v>215</v>
      </c>
      <c r="E267" s="132">
        <v>4.6230000000000004E-3</v>
      </c>
      <c r="F267" s="133">
        <v>93921</v>
      </c>
      <c r="G267" s="133">
        <v>434</v>
      </c>
      <c r="H267" s="133">
        <v>93703</v>
      </c>
      <c r="I267" s="133">
        <v>2740361</v>
      </c>
      <c r="J267" s="151">
        <v>29.2</v>
      </c>
    </row>
    <row r="268" spans="1:10">
      <c r="A268" s="124">
        <v>3</v>
      </c>
      <c r="B268" s="124" t="s">
        <v>35</v>
      </c>
      <c r="C268" s="124">
        <v>56</v>
      </c>
      <c r="D268" s="155" t="s">
        <v>216</v>
      </c>
      <c r="E268" s="132">
        <v>5.0000000000000001E-3</v>
      </c>
      <c r="F268" s="133">
        <v>93486</v>
      </c>
      <c r="G268" s="133">
        <v>467</v>
      </c>
      <c r="H268" s="133">
        <v>93253</v>
      </c>
      <c r="I268" s="133">
        <v>2646658</v>
      </c>
      <c r="J268" s="151">
        <v>28.3</v>
      </c>
    </row>
    <row r="269" spans="1:10">
      <c r="A269" s="124">
        <v>3</v>
      </c>
      <c r="B269" s="124" t="s">
        <v>35</v>
      </c>
      <c r="C269" s="124">
        <v>57</v>
      </c>
      <c r="D269" s="155" t="s">
        <v>217</v>
      </c>
      <c r="E269" s="132">
        <v>5.4050000000000001E-3</v>
      </c>
      <c r="F269" s="133">
        <v>93019</v>
      </c>
      <c r="G269" s="133">
        <v>503</v>
      </c>
      <c r="H269" s="133">
        <v>92768</v>
      </c>
      <c r="I269" s="133">
        <v>2553405</v>
      </c>
      <c r="J269" s="151">
        <v>27.5</v>
      </c>
    </row>
    <row r="270" spans="1:10">
      <c r="A270" s="124">
        <v>3</v>
      </c>
      <c r="B270" s="124" t="s">
        <v>35</v>
      </c>
      <c r="C270" s="124">
        <v>58</v>
      </c>
      <c r="D270" s="155" t="s">
        <v>218</v>
      </c>
      <c r="E270" s="132">
        <v>5.8529999999999997E-3</v>
      </c>
      <c r="F270" s="133">
        <v>92516</v>
      </c>
      <c r="G270" s="133">
        <v>542</v>
      </c>
      <c r="H270" s="133">
        <v>92245</v>
      </c>
      <c r="I270" s="133">
        <v>2460638</v>
      </c>
      <c r="J270" s="151">
        <v>26.6</v>
      </c>
    </row>
    <row r="271" spans="1:10">
      <c r="A271" s="124">
        <v>3</v>
      </c>
      <c r="B271" s="124" t="s">
        <v>35</v>
      </c>
      <c r="C271" s="124">
        <v>59</v>
      </c>
      <c r="D271" s="155" t="s">
        <v>219</v>
      </c>
      <c r="E271" s="132">
        <v>6.3460000000000001E-3</v>
      </c>
      <c r="F271" s="133">
        <v>91975</v>
      </c>
      <c r="G271" s="133">
        <v>584</v>
      </c>
      <c r="H271" s="133">
        <v>91683</v>
      </c>
      <c r="I271" s="133">
        <v>2368392</v>
      </c>
      <c r="J271" s="151">
        <v>25.8</v>
      </c>
    </row>
    <row r="272" spans="1:10">
      <c r="A272" s="124">
        <v>3</v>
      </c>
      <c r="B272" s="124" t="s">
        <v>35</v>
      </c>
      <c r="C272" s="124">
        <v>60</v>
      </c>
      <c r="D272" s="155" t="s">
        <v>220</v>
      </c>
      <c r="E272" s="132">
        <v>6.8910000000000004E-3</v>
      </c>
      <c r="F272" s="133">
        <v>91391</v>
      </c>
      <c r="G272" s="133">
        <v>630</v>
      </c>
      <c r="H272" s="133">
        <v>91076</v>
      </c>
      <c r="I272" s="133">
        <v>2276710</v>
      </c>
      <c r="J272" s="151">
        <v>24.9</v>
      </c>
    </row>
    <row r="273" spans="1:10">
      <c r="A273" s="124">
        <v>3</v>
      </c>
      <c r="B273" s="124" t="s">
        <v>35</v>
      </c>
      <c r="C273" s="124">
        <v>61</v>
      </c>
      <c r="D273" s="155" t="s">
        <v>221</v>
      </c>
      <c r="E273" s="132">
        <v>7.4549999999999998E-3</v>
      </c>
      <c r="F273" s="133">
        <v>90761</v>
      </c>
      <c r="G273" s="133">
        <v>677</v>
      </c>
      <c r="H273" s="133">
        <v>90423</v>
      </c>
      <c r="I273" s="133">
        <v>2185633</v>
      </c>
      <c r="J273" s="151">
        <v>24.1</v>
      </c>
    </row>
    <row r="274" spans="1:10">
      <c r="A274" s="124">
        <v>3</v>
      </c>
      <c r="B274" s="124" t="s">
        <v>35</v>
      </c>
      <c r="C274" s="124">
        <v>62</v>
      </c>
      <c r="D274" s="155" t="s">
        <v>222</v>
      </c>
      <c r="E274" s="132">
        <v>8.0040000000000007E-3</v>
      </c>
      <c r="F274" s="133">
        <v>90085</v>
      </c>
      <c r="G274" s="133">
        <v>721</v>
      </c>
      <c r="H274" s="133">
        <v>89724</v>
      </c>
      <c r="I274" s="133">
        <v>2095211</v>
      </c>
      <c r="J274" s="151">
        <v>23.3</v>
      </c>
    </row>
    <row r="275" spans="1:10">
      <c r="A275" s="124">
        <v>3</v>
      </c>
      <c r="B275" s="124" t="s">
        <v>35</v>
      </c>
      <c r="C275" s="124">
        <v>63</v>
      </c>
      <c r="D275" s="155" t="s">
        <v>223</v>
      </c>
      <c r="E275" s="132">
        <v>8.5199999999999998E-3</v>
      </c>
      <c r="F275" s="133">
        <v>89364</v>
      </c>
      <c r="G275" s="133">
        <v>761</v>
      </c>
      <c r="H275" s="133">
        <v>88983</v>
      </c>
      <c r="I275" s="133">
        <v>2005487</v>
      </c>
      <c r="J275" s="151">
        <v>22.4</v>
      </c>
    </row>
    <row r="276" spans="1:10">
      <c r="A276" s="124">
        <v>3</v>
      </c>
      <c r="B276" s="124" t="s">
        <v>35</v>
      </c>
      <c r="C276" s="124">
        <v>64</v>
      </c>
      <c r="D276" s="155" t="s">
        <v>224</v>
      </c>
      <c r="E276" s="132">
        <v>9.0329999999999994E-3</v>
      </c>
      <c r="F276" s="133">
        <v>88602</v>
      </c>
      <c r="G276" s="133">
        <v>800</v>
      </c>
      <c r="H276" s="133">
        <v>88202</v>
      </c>
      <c r="I276" s="133">
        <v>1916504</v>
      </c>
      <c r="J276" s="151">
        <v>21.6</v>
      </c>
    </row>
    <row r="277" spans="1:10">
      <c r="A277" s="124">
        <v>3</v>
      </c>
      <c r="B277" s="124" t="s">
        <v>35</v>
      </c>
      <c r="C277" s="124">
        <v>65</v>
      </c>
      <c r="D277" s="155" t="s">
        <v>225</v>
      </c>
      <c r="E277" s="132">
        <v>9.5729999999999999E-3</v>
      </c>
      <c r="F277" s="133">
        <v>87802</v>
      </c>
      <c r="G277" s="133">
        <v>840</v>
      </c>
      <c r="H277" s="133">
        <v>87382</v>
      </c>
      <c r="I277" s="133">
        <v>1828302</v>
      </c>
      <c r="J277" s="151">
        <v>20.8</v>
      </c>
    </row>
    <row r="278" spans="1:10">
      <c r="A278" s="124">
        <v>3</v>
      </c>
      <c r="B278" s="124" t="s">
        <v>35</v>
      </c>
      <c r="C278" s="124">
        <v>66</v>
      </c>
      <c r="D278" s="155" t="s">
        <v>226</v>
      </c>
      <c r="E278" s="132">
        <v>1.0236E-2</v>
      </c>
      <c r="F278" s="133">
        <v>86961</v>
      </c>
      <c r="G278" s="133">
        <v>890</v>
      </c>
      <c r="H278" s="133">
        <v>86516</v>
      </c>
      <c r="I278" s="133">
        <v>1740920</v>
      </c>
      <c r="J278" s="151">
        <v>20</v>
      </c>
    </row>
    <row r="279" spans="1:10">
      <c r="A279" s="124">
        <v>3</v>
      </c>
      <c r="B279" s="124" t="s">
        <v>35</v>
      </c>
      <c r="C279" s="124">
        <v>67</v>
      </c>
      <c r="D279" s="155" t="s">
        <v>227</v>
      </c>
      <c r="E279" s="132">
        <v>1.103E-2</v>
      </c>
      <c r="F279" s="133">
        <v>86071</v>
      </c>
      <c r="G279" s="133">
        <v>949</v>
      </c>
      <c r="H279" s="133">
        <v>85597</v>
      </c>
      <c r="I279" s="133">
        <v>1654404</v>
      </c>
      <c r="J279" s="151">
        <v>19.2</v>
      </c>
    </row>
    <row r="280" spans="1:10">
      <c r="A280" s="124">
        <v>3</v>
      </c>
      <c r="B280" s="124" t="s">
        <v>35</v>
      </c>
      <c r="C280" s="124">
        <v>68</v>
      </c>
      <c r="D280" s="155" t="s">
        <v>228</v>
      </c>
      <c r="E280" s="132">
        <v>1.2017999999999999E-2</v>
      </c>
      <c r="F280" s="133">
        <v>85122</v>
      </c>
      <c r="G280" s="133">
        <v>1023</v>
      </c>
      <c r="H280" s="133">
        <v>84610</v>
      </c>
      <c r="I280" s="133">
        <v>1568807</v>
      </c>
      <c r="J280" s="151">
        <v>18.399999999999999</v>
      </c>
    </row>
    <row r="281" spans="1:10">
      <c r="A281" s="124">
        <v>3</v>
      </c>
      <c r="B281" s="124" t="s">
        <v>35</v>
      </c>
      <c r="C281" s="124">
        <v>69</v>
      </c>
      <c r="D281" s="155" t="s">
        <v>229</v>
      </c>
      <c r="E281" s="132">
        <v>1.3187000000000001E-2</v>
      </c>
      <c r="F281" s="133">
        <v>84099</v>
      </c>
      <c r="G281" s="133">
        <v>1109</v>
      </c>
      <c r="H281" s="133">
        <v>83544</v>
      </c>
      <c r="I281" s="133">
        <v>1484197</v>
      </c>
      <c r="J281" s="151">
        <v>17.600000000000001</v>
      </c>
    </row>
    <row r="282" spans="1:10">
      <c r="A282" s="124">
        <v>3</v>
      </c>
      <c r="B282" s="124" t="s">
        <v>35</v>
      </c>
      <c r="C282" s="124">
        <v>70</v>
      </c>
      <c r="D282" s="155" t="s">
        <v>230</v>
      </c>
      <c r="E282" s="132">
        <v>1.4484E-2</v>
      </c>
      <c r="F282" s="133">
        <v>82990</v>
      </c>
      <c r="G282" s="133">
        <v>1202</v>
      </c>
      <c r="H282" s="133">
        <v>82389</v>
      </c>
      <c r="I282" s="133">
        <v>1400653</v>
      </c>
      <c r="J282" s="151">
        <v>16.899999999999999</v>
      </c>
    </row>
    <row r="283" spans="1:10">
      <c r="A283" s="124">
        <v>3</v>
      </c>
      <c r="B283" s="124" t="s">
        <v>35</v>
      </c>
      <c r="C283" s="124">
        <v>71</v>
      </c>
      <c r="D283" s="155" t="s">
        <v>231</v>
      </c>
      <c r="E283" s="132">
        <v>1.5956000000000001E-2</v>
      </c>
      <c r="F283" s="133">
        <v>81788</v>
      </c>
      <c r="G283" s="133">
        <v>1305</v>
      </c>
      <c r="H283" s="133">
        <v>81135</v>
      </c>
      <c r="I283" s="133">
        <v>1318264</v>
      </c>
      <c r="J283" s="151">
        <v>16.100000000000001</v>
      </c>
    </row>
    <row r="284" spans="1:10">
      <c r="A284" s="124">
        <v>3</v>
      </c>
      <c r="B284" s="124" t="s">
        <v>35</v>
      </c>
      <c r="C284" s="124">
        <v>72</v>
      </c>
      <c r="D284" s="155" t="s">
        <v>232</v>
      </c>
      <c r="E284" s="132">
        <v>1.7382000000000002E-2</v>
      </c>
      <c r="F284" s="133">
        <v>80483</v>
      </c>
      <c r="G284" s="133">
        <v>1399</v>
      </c>
      <c r="H284" s="133">
        <v>79783</v>
      </c>
      <c r="I284" s="133">
        <v>1237129</v>
      </c>
      <c r="J284" s="151">
        <v>15.4</v>
      </c>
    </row>
    <row r="285" spans="1:10">
      <c r="A285" s="124">
        <v>3</v>
      </c>
      <c r="B285" s="124" t="s">
        <v>35</v>
      </c>
      <c r="C285" s="124">
        <v>73</v>
      </c>
      <c r="D285" s="155" t="s">
        <v>233</v>
      </c>
      <c r="E285" s="132">
        <v>1.9431E-2</v>
      </c>
      <c r="F285" s="133">
        <v>79084</v>
      </c>
      <c r="G285" s="133">
        <v>1537</v>
      </c>
      <c r="H285" s="133">
        <v>78316</v>
      </c>
      <c r="I285" s="133">
        <v>1157345</v>
      </c>
      <c r="J285" s="151">
        <v>14.6</v>
      </c>
    </row>
    <row r="286" spans="1:10">
      <c r="A286" s="124">
        <v>3</v>
      </c>
      <c r="B286" s="124" t="s">
        <v>35</v>
      </c>
      <c r="C286" s="124">
        <v>74</v>
      </c>
      <c r="D286" s="155" t="s">
        <v>234</v>
      </c>
      <c r="E286" s="132">
        <v>2.1198000000000002E-2</v>
      </c>
      <c r="F286" s="133">
        <v>77547</v>
      </c>
      <c r="G286" s="133">
        <v>1644</v>
      </c>
      <c r="H286" s="133">
        <v>76725</v>
      </c>
      <c r="I286" s="133">
        <v>1079030</v>
      </c>
      <c r="J286" s="151">
        <v>13.9</v>
      </c>
    </row>
    <row r="287" spans="1:10">
      <c r="A287" s="124">
        <v>3</v>
      </c>
      <c r="B287" s="124" t="s">
        <v>35</v>
      </c>
      <c r="C287" s="124">
        <v>75</v>
      </c>
      <c r="D287" s="155" t="s">
        <v>235</v>
      </c>
      <c r="E287" s="132">
        <v>2.3549E-2</v>
      </c>
      <c r="F287" s="133">
        <v>75903</v>
      </c>
      <c r="G287" s="133">
        <v>1787</v>
      </c>
      <c r="H287" s="133">
        <v>75010</v>
      </c>
      <c r="I287" s="133">
        <v>1002304</v>
      </c>
      <c r="J287" s="151">
        <v>13.2</v>
      </c>
    </row>
    <row r="288" spans="1:10">
      <c r="A288" s="124">
        <v>3</v>
      </c>
      <c r="B288" s="124" t="s">
        <v>35</v>
      </c>
      <c r="C288" s="124">
        <v>76</v>
      </c>
      <c r="D288" s="155" t="s">
        <v>236</v>
      </c>
      <c r="E288" s="132">
        <v>2.5916999999999999E-2</v>
      </c>
      <c r="F288" s="133">
        <v>74116</v>
      </c>
      <c r="G288" s="133">
        <v>1921</v>
      </c>
      <c r="H288" s="133">
        <v>73156</v>
      </c>
      <c r="I288" s="133">
        <v>927295</v>
      </c>
      <c r="J288" s="151">
        <v>12.5</v>
      </c>
    </row>
    <row r="289" spans="1:10">
      <c r="A289" s="124">
        <v>3</v>
      </c>
      <c r="B289" s="124" t="s">
        <v>35</v>
      </c>
      <c r="C289" s="124">
        <v>77</v>
      </c>
      <c r="D289" s="155" t="s">
        <v>237</v>
      </c>
      <c r="E289" s="132">
        <v>2.9002E-2</v>
      </c>
      <c r="F289" s="133">
        <v>72195</v>
      </c>
      <c r="G289" s="133">
        <v>2094</v>
      </c>
      <c r="H289" s="133">
        <v>71148</v>
      </c>
      <c r="I289" s="133">
        <v>854139</v>
      </c>
      <c r="J289" s="151">
        <v>11.8</v>
      </c>
    </row>
    <row r="290" spans="1:10">
      <c r="A290" s="124">
        <v>3</v>
      </c>
      <c r="B290" s="124" t="s">
        <v>35</v>
      </c>
      <c r="C290" s="124">
        <v>78</v>
      </c>
      <c r="D290" s="155" t="s">
        <v>238</v>
      </c>
      <c r="E290" s="132">
        <v>3.2219999999999999E-2</v>
      </c>
      <c r="F290" s="133">
        <v>70101</v>
      </c>
      <c r="G290" s="133">
        <v>2259</v>
      </c>
      <c r="H290" s="133">
        <v>68972</v>
      </c>
      <c r="I290" s="133">
        <v>782991</v>
      </c>
      <c r="J290" s="151">
        <v>11.2</v>
      </c>
    </row>
    <row r="291" spans="1:10">
      <c r="A291" s="124">
        <v>3</v>
      </c>
      <c r="B291" s="124" t="s">
        <v>35</v>
      </c>
      <c r="C291" s="124">
        <v>79</v>
      </c>
      <c r="D291" s="155" t="s">
        <v>239</v>
      </c>
      <c r="E291" s="132">
        <v>3.5943999999999997E-2</v>
      </c>
      <c r="F291" s="133">
        <v>67843</v>
      </c>
      <c r="G291" s="133">
        <v>2439</v>
      </c>
      <c r="H291" s="133">
        <v>66623</v>
      </c>
      <c r="I291" s="133">
        <v>714019</v>
      </c>
      <c r="J291" s="151">
        <v>10.5</v>
      </c>
    </row>
    <row r="292" spans="1:10">
      <c r="A292" s="124">
        <v>3</v>
      </c>
      <c r="B292" s="124" t="s">
        <v>35</v>
      </c>
      <c r="C292" s="124">
        <v>80</v>
      </c>
      <c r="D292" s="155" t="s">
        <v>240</v>
      </c>
      <c r="E292" s="132">
        <v>4.0043000000000002E-2</v>
      </c>
      <c r="F292" s="133">
        <v>65404</v>
      </c>
      <c r="G292" s="133">
        <v>2619</v>
      </c>
      <c r="H292" s="133">
        <v>64095</v>
      </c>
      <c r="I292" s="133">
        <v>647396</v>
      </c>
      <c r="J292" s="151">
        <v>9.9</v>
      </c>
    </row>
    <row r="293" spans="1:10">
      <c r="A293" s="124">
        <v>3</v>
      </c>
      <c r="B293" s="124" t="s">
        <v>35</v>
      </c>
      <c r="C293" s="124">
        <v>81</v>
      </c>
      <c r="D293" s="155" t="s">
        <v>241</v>
      </c>
      <c r="E293" s="132">
        <v>4.4578E-2</v>
      </c>
      <c r="F293" s="133">
        <v>62785</v>
      </c>
      <c r="G293" s="133">
        <v>2799</v>
      </c>
      <c r="H293" s="133">
        <v>61386</v>
      </c>
      <c r="I293" s="133">
        <v>583301</v>
      </c>
      <c r="J293" s="151">
        <v>9.3000000000000007</v>
      </c>
    </row>
    <row r="294" spans="1:10">
      <c r="A294" s="124">
        <v>3</v>
      </c>
      <c r="B294" s="124" t="s">
        <v>35</v>
      </c>
      <c r="C294" s="124">
        <v>82</v>
      </c>
      <c r="D294" s="155" t="s">
        <v>242</v>
      </c>
      <c r="E294" s="132">
        <v>5.0430999999999997E-2</v>
      </c>
      <c r="F294" s="133">
        <v>59986</v>
      </c>
      <c r="G294" s="133">
        <v>3025</v>
      </c>
      <c r="H294" s="133">
        <v>58474</v>
      </c>
      <c r="I294" s="133">
        <v>521916</v>
      </c>
      <c r="J294" s="151">
        <v>8.6999999999999993</v>
      </c>
    </row>
    <row r="295" spans="1:10">
      <c r="A295" s="124">
        <v>3</v>
      </c>
      <c r="B295" s="124" t="s">
        <v>35</v>
      </c>
      <c r="C295" s="124">
        <v>83</v>
      </c>
      <c r="D295" s="155" t="s">
        <v>243</v>
      </c>
      <c r="E295" s="132">
        <v>5.6908E-2</v>
      </c>
      <c r="F295" s="133">
        <v>56961</v>
      </c>
      <c r="G295" s="133">
        <v>3242</v>
      </c>
      <c r="H295" s="133">
        <v>55340</v>
      </c>
      <c r="I295" s="133">
        <v>463442</v>
      </c>
      <c r="J295" s="151">
        <v>8.1</v>
      </c>
    </row>
    <row r="296" spans="1:10">
      <c r="A296" s="124">
        <v>3</v>
      </c>
      <c r="B296" s="124" t="s">
        <v>35</v>
      </c>
      <c r="C296" s="124">
        <v>84</v>
      </c>
      <c r="D296" s="155" t="s">
        <v>244</v>
      </c>
      <c r="E296" s="132">
        <v>6.3204999999999997E-2</v>
      </c>
      <c r="F296" s="133">
        <v>53719</v>
      </c>
      <c r="G296" s="133">
        <v>3395</v>
      </c>
      <c r="H296" s="133">
        <v>52022</v>
      </c>
      <c r="I296" s="133">
        <v>408102</v>
      </c>
      <c r="J296" s="151">
        <v>7.6</v>
      </c>
    </row>
    <row r="297" spans="1:10">
      <c r="A297" s="124">
        <v>3</v>
      </c>
      <c r="B297" s="124" t="s">
        <v>35</v>
      </c>
      <c r="C297" s="124">
        <v>85</v>
      </c>
      <c r="D297" s="155" t="s">
        <v>245</v>
      </c>
      <c r="E297" s="132">
        <v>7.1076E-2</v>
      </c>
      <c r="F297" s="133">
        <v>50324</v>
      </c>
      <c r="G297" s="133">
        <v>3577</v>
      </c>
      <c r="H297" s="133">
        <v>48536</v>
      </c>
      <c r="I297" s="133">
        <v>356080</v>
      </c>
      <c r="J297" s="151">
        <v>7.1</v>
      </c>
    </row>
    <row r="298" spans="1:10">
      <c r="A298" s="124">
        <v>3</v>
      </c>
      <c r="B298" s="124" t="s">
        <v>35</v>
      </c>
      <c r="C298" s="124">
        <v>86</v>
      </c>
      <c r="D298" s="155" t="s">
        <v>246</v>
      </c>
      <c r="E298" s="132">
        <v>8.0252000000000004E-2</v>
      </c>
      <c r="F298" s="133">
        <v>46747</v>
      </c>
      <c r="G298" s="133">
        <v>3752</v>
      </c>
      <c r="H298" s="133">
        <v>44872</v>
      </c>
      <c r="I298" s="133">
        <v>307544</v>
      </c>
      <c r="J298" s="151">
        <v>6.6</v>
      </c>
    </row>
    <row r="299" spans="1:10">
      <c r="A299" s="124">
        <v>3</v>
      </c>
      <c r="B299" s="124" t="s">
        <v>35</v>
      </c>
      <c r="C299" s="124">
        <v>87</v>
      </c>
      <c r="D299" s="155" t="s">
        <v>247</v>
      </c>
      <c r="E299" s="132">
        <v>9.0432999999999999E-2</v>
      </c>
      <c r="F299" s="133">
        <v>42996</v>
      </c>
      <c r="G299" s="133">
        <v>3888</v>
      </c>
      <c r="H299" s="133">
        <v>41052</v>
      </c>
      <c r="I299" s="133">
        <v>262673</v>
      </c>
      <c r="J299" s="151">
        <v>6.1</v>
      </c>
    </row>
    <row r="300" spans="1:10">
      <c r="A300" s="124">
        <v>3</v>
      </c>
      <c r="B300" s="124" t="s">
        <v>35</v>
      </c>
      <c r="C300" s="124">
        <v>88</v>
      </c>
      <c r="D300" s="155" t="s">
        <v>248</v>
      </c>
      <c r="E300" s="132">
        <v>0.10168199999999999</v>
      </c>
      <c r="F300" s="133">
        <v>39108</v>
      </c>
      <c r="G300" s="133">
        <v>3977</v>
      </c>
      <c r="H300" s="133">
        <v>37119</v>
      </c>
      <c r="I300" s="133">
        <v>221621</v>
      </c>
      <c r="J300" s="151">
        <v>5.7</v>
      </c>
    </row>
    <row r="301" spans="1:10">
      <c r="A301" s="124">
        <v>3</v>
      </c>
      <c r="B301" s="124" t="s">
        <v>35</v>
      </c>
      <c r="C301" s="124">
        <v>89</v>
      </c>
      <c r="D301" s="155" t="s">
        <v>249</v>
      </c>
      <c r="E301" s="132">
        <v>0.114054</v>
      </c>
      <c r="F301" s="133">
        <v>35131</v>
      </c>
      <c r="G301" s="133">
        <v>4007</v>
      </c>
      <c r="H301" s="133">
        <v>33128</v>
      </c>
      <c r="I301" s="133">
        <v>184502</v>
      </c>
      <c r="J301" s="151">
        <v>5.3</v>
      </c>
    </row>
    <row r="302" spans="1:10">
      <c r="A302" s="124">
        <v>3</v>
      </c>
      <c r="B302" s="124" t="s">
        <v>35</v>
      </c>
      <c r="C302" s="124">
        <v>90</v>
      </c>
      <c r="D302" s="155" t="s">
        <v>250</v>
      </c>
      <c r="E302" s="132">
        <v>0.12759000000000001</v>
      </c>
      <c r="F302" s="133">
        <v>31124</v>
      </c>
      <c r="G302" s="133">
        <v>3971</v>
      </c>
      <c r="H302" s="133">
        <v>29139</v>
      </c>
      <c r="I302" s="133">
        <v>151374</v>
      </c>
      <c r="J302" s="151">
        <v>4.9000000000000004</v>
      </c>
    </row>
    <row r="303" spans="1:10">
      <c r="A303" s="124">
        <v>3</v>
      </c>
      <c r="B303" s="124" t="s">
        <v>35</v>
      </c>
      <c r="C303" s="124">
        <v>91</v>
      </c>
      <c r="D303" s="155" t="s">
        <v>251</v>
      </c>
      <c r="E303" s="132">
        <v>0.142319</v>
      </c>
      <c r="F303" s="133">
        <v>27153</v>
      </c>
      <c r="G303" s="133">
        <v>3864</v>
      </c>
      <c r="H303" s="133">
        <v>25221</v>
      </c>
      <c r="I303" s="133">
        <v>122236</v>
      </c>
      <c r="J303" s="151">
        <v>4.5</v>
      </c>
    </row>
    <row r="304" spans="1:10">
      <c r="A304" s="124">
        <v>3</v>
      </c>
      <c r="B304" s="124" t="s">
        <v>35</v>
      </c>
      <c r="C304" s="124">
        <v>92</v>
      </c>
      <c r="D304" s="155" t="s">
        <v>252</v>
      </c>
      <c r="E304" s="132">
        <v>0.15825</v>
      </c>
      <c r="F304" s="133">
        <v>23289</v>
      </c>
      <c r="G304" s="133">
        <v>3685</v>
      </c>
      <c r="H304" s="133">
        <v>21446</v>
      </c>
      <c r="I304" s="133">
        <v>97015</v>
      </c>
      <c r="J304" s="151">
        <v>4.2</v>
      </c>
    </row>
    <row r="305" spans="1:10">
      <c r="A305" s="124">
        <v>3</v>
      </c>
      <c r="B305" s="124" t="s">
        <v>35</v>
      </c>
      <c r="C305" s="124">
        <v>93</v>
      </c>
      <c r="D305" s="155" t="s">
        <v>253</v>
      </c>
      <c r="E305" s="132">
        <v>0.175367</v>
      </c>
      <c r="F305" s="133">
        <v>19603</v>
      </c>
      <c r="G305" s="133">
        <v>3438</v>
      </c>
      <c r="H305" s="133">
        <v>17884</v>
      </c>
      <c r="I305" s="133">
        <v>75569</v>
      </c>
      <c r="J305" s="151">
        <v>3.9</v>
      </c>
    </row>
    <row r="306" spans="1:10">
      <c r="A306" s="124">
        <v>3</v>
      </c>
      <c r="B306" s="124" t="s">
        <v>35</v>
      </c>
      <c r="C306" s="124">
        <v>94</v>
      </c>
      <c r="D306" s="155" t="s">
        <v>254</v>
      </c>
      <c r="E306" s="132">
        <v>0.193631</v>
      </c>
      <c r="F306" s="133">
        <v>16165</v>
      </c>
      <c r="G306" s="133">
        <v>3130</v>
      </c>
      <c r="H306" s="133">
        <v>14600</v>
      </c>
      <c r="I306" s="133">
        <v>57685</v>
      </c>
      <c r="J306" s="151">
        <v>3.6</v>
      </c>
    </row>
    <row r="307" spans="1:10">
      <c r="A307" s="124">
        <v>3</v>
      </c>
      <c r="B307" s="124" t="s">
        <v>35</v>
      </c>
      <c r="C307" s="124">
        <v>95</v>
      </c>
      <c r="D307" s="155" t="s">
        <v>255</v>
      </c>
      <c r="E307" s="132">
        <v>0.21297199999999999</v>
      </c>
      <c r="F307" s="133">
        <v>13035</v>
      </c>
      <c r="G307" s="133">
        <v>2776</v>
      </c>
      <c r="H307" s="133">
        <v>11647</v>
      </c>
      <c r="I307" s="133">
        <v>43084</v>
      </c>
      <c r="J307" s="151">
        <v>3.3</v>
      </c>
    </row>
    <row r="308" spans="1:10">
      <c r="A308" s="124">
        <v>3</v>
      </c>
      <c r="B308" s="124" t="s">
        <v>35</v>
      </c>
      <c r="C308" s="124">
        <v>96</v>
      </c>
      <c r="D308" s="155" t="s">
        <v>256</v>
      </c>
      <c r="E308" s="132">
        <v>0.233293</v>
      </c>
      <c r="F308" s="133">
        <v>10259</v>
      </c>
      <c r="G308" s="133">
        <v>2393</v>
      </c>
      <c r="H308" s="133">
        <v>9062</v>
      </c>
      <c r="I308" s="133">
        <v>31437</v>
      </c>
      <c r="J308" s="151">
        <v>3.1</v>
      </c>
    </row>
    <row r="309" spans="1:10">
      <c r="A309" s="124">
        <v>3</v>
      </c>
      <c r="B309" s="124" t="s">
        <v>35</v>
      </c>
      <c r="C309" s="124">
        <v>97</v>
      </c>
      <c r="D309" s="155" t="s">
        <v>257</v>
      </c>
      <c r="E309" s="132">
        <v>0.254465</v>
      </c>
      <c r="F309" s="133">
        <v>7866</v>
      </c>
      <c r="G309" s="133">
        <v>2002</v>
      </c>
      <c r="H309" s="133">
        <v>6865</v>
      </c>
      <c r="I309" s="133">
        <v>22375</v>
      </c>
      <c r="J309" s="151">
        <v>2.8</v>
      </c>
    </row>
    <row r="310" spans="1:10">
      <c r="A310" s="124">
        <v>3</v>
      </c>
      <c r="B310" s="124" t="s">
        <v>35</v>
      </c>
      <c r="C310" s="124">
        <v>98</v>
      </c>
      <c r="D310" s="155" t="s">
        <v>258</v>
      </c>
      <c r="E310" s="132">
        <v>0.276333</v>
      </c>
      <c r="F310" s="133">
        <v>5864</v>
      </c>
      <c r="G310" s="133">
        <v>1620</v>
      </c>
      <c r="H310" s="133">
        <v>5054</v>
      </c>
      <c r="I310" s="133">
        <v>15510</v>
      </c>
      <c r="J310" s="151">
        <v>2.6</v>
      </c>
    </row>
    <row r="311" spans="1:10">
      <c r="A311" s="124">
        <v>3</v>
      </c>
      <c r="B311" s="124" t="s">
        <v>35</v>
      </c>
      <c r="C311" s="124">
        <v>99</v>
      </c>
      <c r="D311" s="155" t="s">
        <v>259</v>
      </c>
      <c r="E311" s="132">
        <v>0.29871900000000001</v>
      </c>
      <c r="F311" s="133">
        <v>4244</v>
      </c>
      <c r="G311" s="133">
        <v>1268</v>
      </c>
      <c r="H311" s="133">
        <v>3610</v>
      </c>
      <c r="I311" s="133">
        <v>10456</v>
      </c>
      <c r="J311" s="151">
        <v>2.5</v>
      </c>
    </row>
    <row r="312" spans="1:10">
      <c r="A312" s="124">
        <v>3</v>
      </c>
      <c r="B312" s="124" t="s">
        <v>35</v>
      </c>
      <c r="C312" s="124">
        <v>100</v>
      </c>
      <c r="D312" s="156" t="s">
        <v>260</v>
      </c>
      <c r="E312" s="134">
        <v>1</v>
      </c>
      <c r="F312" s="135">
        <v>2976</v>
      </c>
      <c r="G312" s="135">
        <v>2976</v>
      </c>
      <c r="H312" s="135">
        <v>6846</v>
      </c>
      <c r="I312" s="135">
        <v>6846</v>
      </c>
      <c r="J312" s="152">
        <v>2.2999999999999998</v>
      </c>
    </row>
  </sheetData>
  <mergeCells count="5">
    <mergeCell ref="D5:J5"/>
    <mergeCell ref="D2:J2"/>
    <mergeCell ref="D6:D7"/>
    <mergeCell ref="D3:J3"/>
    <mergeCell ref="D4:J4"/>
  </mergeCells>
  <hyperlinks>
    <hyperlink ref="D5:J5" r:id="rId1" display="SOURCE: NCHS, National Vital Statistics System, Mortality." xr:uid="{43D5FAB5-7FEF-480B-BDA0-5122AFA07572}"/>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CBC8B-CCBD-4011-BEA6-72C4227DD497}">
  <sheetPr>
    <tabColor rgb="FFFFFF00"/>
  </sheetPr>
  <dimension ref="A1:M40"/>
  <sheetViews>
    <sheetView workbookViewId="0"/>
  </sheetViews>
  <sheetFormatPr defaultRowHeight="15.6"/>
  <cols>
    <col min="1" max="16384" width="8.796875" style="47"/>
  </cols>
  <sheetData>
    <row r="1" spans="1:13" s="270" customFormat="1">
      <c r="A1" s="271" t="s">
        <v>379</v>
      </c>
    </row>
    <row r="2" spans="1:13">
      <c r="L2" s="47" t="s">
        <v>375</v>
      </c>
      <c r="M2" s="47">
        <v>2</v>
      </c>
    </row>
    <row r="3" spans="1:13" ht="16.2" thickBot="1"/>
    <row r="4" spans="1:13" ht="16.2" thickBot="1">
      <c r="B4" s="245" t="s">
        <v>366</v>
      </c>
      <c r="C4" s="246"/>
      <c r="D4" s="246"/>
      <c r="E4" s="246"/>
      <c r="F4" s="247"/>
    </row>
    <row r="5" spans="1:13">
      <c r="B5" s="326" t="s">
        <v>122</v>
      </c>
      <c r="C5" s="328" t="s">
        <v>0</v>
      </c>
      <c r="D5" s="328" t="s">
        <v>263</v>
      </c>
      <c r="E5" s="328"/>
      <c r="F5" s="330"/>
      <c r="I5" s="288" t="s">
        <v>355</v>
      </c>
      <c r="J5" s="289" t="s">
        <v>378</v>
      </c>
    </row>
    <row r="6" spans="1:13" ht="16.2" thickBot="1">
      <c r="B6" s="327"/>
      <c r="C6" s="329"/>
      <c r="D6" s="272" t="s">
        <v>264</v>
      </c>
      <c r="E6" s="272" t="s">
        <v>265</v>
      </c>
      <c r="F6" s="273" t="s">
        <v>156</v>
      </c>
      <c r="I6" s="290" t="s">
        <v>351</v>
      </c>
      <c r="J6" s="291" t="s">
        <v>352</v>
      </c>
    </row>
    <row r="7" spans="1:13">
      <c r="B7" s="274" t="s">
        <v>130</v>
      </c>
      <c r="C7" s="246"/>
      <c r="D7" s="246"/>
      <c r="E7" s="246"/>
      <c r="F7" s="248"/>
      <c r="I7" s="292"/>
      <c r="J7" s="293"/>
    </row>
    <row r="8" spans="1:13">
      <c r="B8" s="249"/>
      <c r="C8" s="275" t="s">
        <v>3</v>
      </c>
      <c r="D8" s="276">
        <f>I8-J8</f>
        <v>1.5123995846794287</v>
      </c>
      <c r="E8" s="277">
        <f>ABS('DT19'!AA5)</f>
        <v>1.2068982589323838</v>
      </c>
      <c r="F8" s="278">
        <f>'DT20'!AG5</f>
        <v>1.3812928563854854</v>
      </c>
      <c r="I8" s="294">
        <f>'Appen5a. 2019 LT NCHS_abridged'!M5</f>
        <v>78.848227890624997</v>
      </c>
      <c r="J8" s="295">
        <f>'Appen3a. 2020 LT_construct'!Q5</f>
        <v>77.335828305945569</v>
      </c>
    </row>
    <row r="9" spans="1:13">
      <c r="B9" s="249"/>
      <c r="C9" s="279" t="s">
        <v>35</v>
      </c>
      <c r="D9" s="276">
        <f>I9-J9</f>
        <v>1.1540839428662935</v>
      </c>
      <c r="E9" s="277">
        <f>ABS('DT19'!AA21)</f>
        <v>1.0753941816067396</v>
      </c>
      <c r="F9" s="278">
        <f>'DT20'!AG22</f>
        <v>1.2510508051670257</v>
      </c>
      <c r="I9" s="296">
        <f>'Appen5a. 2019 LT NCHS_abridged'!M29</f>
        <v>81.385999999999996</v>
      </c>
      <c r="J9" s="297">
        <f>'Appen3a. 2020 LT_construct'!Q16</f>
        <v>80.231916057133702</v>
      </c>
    </row>
    <row r="10" spans="1:13" ht="16.2" thickBot="1">
      <c r="B10" s="252"/>
      <c r="C10" s="280" t="s">
        <v>34</v>
      </c>
      <c r="D10" s="281">
        <f>I10-J10</f>
        <v>1.7919536418659021</v>
      </c>
      <c r="E10" s="282">
        <f>ABS('DT19'!AA37)</f>
        <v>1.2950223887864496</v>
      </c>
      <c r="F10" s="283">
        <f>'DT20'!AG39</f>
        <v>1.4710462263832795</v>
      </c>
      <c r="I10" s="298">
        <f>'Appen5a. 2019 LT NCHS_abridged'!M17</f>
        <v>76.31130025634765</v>
      </c>
      <c r="J10" s="299">
        <f>'Appen3a. 2020 LT_construct'!Q27</f>
        <v>74.519346614481748</v>
      </c>
    </row>
    <row r="11" spans="1:13">
      <c r="B11" s="254" t="s">
        <v>4</v>
      </c>
      <c r="C11" s="255"/>
      <c r="D11" s="255"/>
      <c r="E11" s="255"/>
      <c r="F11" s="256"/>
      <c r="I11" s="300"/>
      <c r="J11" s="301"/>
    </row>
    <row r="12" spans="1:13">
      <c r="B12" s="249"/>
      <c r="C12" s="250" t="s">
        <v>3</v>
      </c>
      <c r="D12" s="257">
        <v>1.41</v>
      </c>
      <c r="E12" s="257">
        <v>1.71</v>
      </c>
      <c r="F12" s="258">
        <v>1.95</v>
      </c>
      <c r="I12" s="302"/>
      <c r="J12" s="303"/>
    </row>
    <row r="13" spans="1:13">
      <c r="B13" s="249"/>
      <c r="C13" s="251" t="s">
        <v>35</v>
      </c>
      <c r="D13" s="257">
        <v>1.04</v>
      </c>
      <c r="E13" s="257">
        <v>1.49</v>
      </c>
      <c r="F13" s="258">
        <v>1.82</v>
      </c>
      <c r="I13" s="304"/>
      <c r="J13" s="305"/>
    </row>
    <row r="14" spans="1:13" ht="16.2" thickBot="1">
      <c r="B14" s="252"/>
      <c r="C14" s="253" t="s">
        <v>34</v>
      </c>
      <c r="D14" s="259">
        <v>1.68</v>
      </c>
      <c r="E14" s="259">
        <v>1.85</v>
      </c>
      <c r="F14" s="260">
        <v>2</v>
      </c>
      <c r="I14" s="306"/>
      <c r="J14" s="307"/>
    </row>
    <row r="22" spans="1:10" s="261" customFormat="1">
      <c r="A22" s="262" t="s">
        <v>376</v>
      </c>
    </row>
    <row r="24" spans="1:10" ht="16.2" thickBot="1">
      <c r="D24" s="263"/>
    </row>
    <row r="25" spans="1:10" ht="16.2" thickBot="1">
      <c r="B25" s="323" t="s">
        <v>122</v>
      </c>
      <c r="C25" s="323" t="s">
        <v>0</v>
      </c>
      <c r="D25" s="325" t="s">
        <v>370</v>
      </c>
      <c r="E25" s="325"/>
      <c r="F25" s="325"/>
      <c r="I25" s="308" t="s">
        <v>380</v>
      </c>
      <c r="J25" s="309" t="s">
        <v>377</v>
      </c>
    </row>
    <row r="26" spans="1:10" ht="16.2" thickBot="1">
      <c r="B26" s="324"/>
      <c r="C26" s="324"/>
      <c r="D26" s="272" t="s">
        <v>264</v>
      </c>
      <c r="E26" s="272" t="s">
        <v>265</v>
      </c>
      <c r="F26" s="273" t="s">
        <v>156</v>
      </c>
      <c r="I26" s="310" t="s">
        <v>374</v>
      </c>
      <c r="J26" s="311" t="s">
        <v>352</v>
      </c>
    </row>
    <row r="27" spans="1:10" ht="18">
      <c r="B27" s="264" t="s">
        <v>371</v>
      </c>
      <c r="C27" s="264"/>
      <c r="D27" s="264"/>
      <c r="E27" s="264"/>
      <c r="F27" s="264"/>
      <c r="I27" s="310"/>
      <c r="J27" s="311"/>
    </row>
    <row r="28" spans="1:10">
      <c r="B28" s="265" t="s">
        <v>130</v>
      </c>
      <c r="C28" s="266" t="s">
        <v>3</v>
      </c>
      <c r="D28" s="284">
        <f>ROUND(I28-J28,$M$2)</f>
        <v>1.57</v>
      </c>
      <c r="E28" s="284">
        <f>ROUND(ABS('DT19'!AA7),$M$2)</f>
        <v>1.21</v>
      </c>
      <c r="F28" s="284">
        <f>ROUND('DT20'!AG7,$M$2)</f>
        <v>1.39</v>
      </c>
      <c r="I28" s="312">
        <f>'Appen5a. 2019 LT NCHS_abridged'!M7</f>
        <v>64.453576170240638</v>
      </c>
      <c r="J28" s="313">
        <f>'Appen3a. 2020 LT_construct'!Q7</f>
        <v>62.886664873815086</v>
      </c>
    </row>
    <row r="29" spans="1:10">
      <c r="B29" s="255"/>
      <c r="C29" s="267" t="s">
        <v>35</v>
      </c>
      <c r="D29" s="284">
        <f>ROUND(I29-J29,$M$2)</f>
        <v>1.21</v>
      </c>
      <c r="E29" s="284">
        <f>ROUND(ABS('DT19'!AA23),$M$2)</f>
        <v>1.08</v>
      </c>
      <c r="F29" s="284">
        <f>ROUND('DT20'!AG24,$M$2)</f>
        <v>1.26</v>
      </c>
      <c r="I29" s="312">
        <f>'Appen5a. 2019 LT NCHS_abridged'!M31</f>
        <v>66.948245649371572</v>
      </c>
      <c r="J29" s="313">
        <f>'Appen3a. 2020 LT_construct'!Q18</f>
        <v>65.742139744789654</v>
      </c>
    </row>
    <row r="30" spans="1:10">
      <c r="B30" s="255"/>
      <c r="C30" s="267" t="s">
        <v>34</v>
      </c>
      <c r="D30" s="284">
        <f>ROUND(I30-J30,M$2)</f>
        <v>1.85</v>
      </c>
      <c r="E30" s="284">
        <f>ROUND(ABS('DT19'!AA39),Summary!$M$2)</f>
        <v>1.3</v>
      </c>
      <c r="F30" s="284">
        <f>ROUND('DT20'!AG41,M$2)</f>
        <v>1.48</v>
      </c>
      <c r="I30" s="312">
        <f>'Appen5a. 2019 LT NCHS_abridged'!M19</f>
        <v>61.953273104218717</v>
      </c>
      <c r="J30" s="313">
        <f>'Appen3a. 2020 LT_construct'!Q29</f>
        <v>60.104290078017378</v>
      </c>
    </row>
    <row r="31" spans="1:10">
      <c r="B31" s="265" t="s">
        <v>372</v>
      </c>
      <c r="C31" s="266" t="s">
        <v>3</v>
      </c>
      <c r="D31" s="285">
        <v>1.48</v>
      </c>
      <c r="E31" s="285">
        <v>1.68</v>
      </c>
      <c r="F31" s="285">
        <v>1.93</v>
      </c>
      <c r="I31" s="310"/>
      <c r="J31" s="311"/>
    </row>
    <row r="32" spans="1:10">
      <c r="B32" s="255"/>
      <c r="C32" s="267" t="s">
        <v>35</v>
      </c>
      <c r="D32" s="285">
        <v>1.1100000000000001</v>
      </c>
      <c r="E32" s="285">
        <v>1.46</v>
      </c>
      <c r="F32" s="285">
        <v>1.79</v>
      </c>
      <c r="I32" s="310"/>
      <c r="J32" s="311"/>
    </row>
    <row r="33" spans="2:10" ht="16.2" thickBot="1">
      <c r="B33" s="255"/>
      <c r="C33" s="267" t="s">
        <v>34</v>
      </c>
      <c r="D33" s="285">
        <v>1.76</v>
      </c>
      <c r="E33" s="285">
        <v>1.82</v>
      </c>
      <c r="F33" s="285">
        <v>1.98</v>
      </c>
      <c r="I33" s="310"/>
      <c r="J33" s="311"/>
    </row>
    <row r="34" spans="2:10" ht="18">
      <c r="B34" s="264" t="s">
        <v>373</v>
      </c>
      <c r="C34" s="264"/>
      <c r="D34" s="286"/>
      <c r="E34" s="286"/>
      <c r="F34" s="286"/>
      <c r="I34" s="310"/>
      <c r="J34" s="311"/>
    </row>
    <row r="35" spans="2:10">
      <c r="B35" s="265" t="s">
        <v>130</v>
      </c>
      <c r="C35" s="266" t="s">
        <v>3</v>
      </c>
      <c r="D35" s="284">
        <f>ROUND(I35-J35,$M$2)</f>
        <v>0.7</v>
      </c>
      <c r="E35" s="284">
        <f>ROUND(ABS('DT19'!AA12),$M$2)</f>
        <v>0.97</v>
      </c>
      <c r="F35" s="284">
        <f>ROUND('DT20'!AG12,$M$2)</f>
        <v>1.17</v>
      </c>
      <c r="I35" s="312">
        <f>'Appen5a. 2019 LT NCHS_abridged'!M12</f>
        <v>19.590261925763247</v>
      </c>
      <c r="J35" s="313">
        <f>'Appen3a. 2020 LT_construct'!Q12</f>
        <v>18.888331120447383</v>
      </c>
    </row>
    <row r="36" spans="2:10">
      <c r="B36" s="255"/>
      <c r="C36" s="267" t="s">
        <v>35</v>
      </c>
      <c r="D36" s="284">
        <f>ROUND(I36-J36,$M$2)</f>
        <v>0.64</v>
      </c>
      <c r="E36" s="285">
        <f>ROUND(ABS('DT19'!AA28),Summary!$M$2)</f>
        <v>0.89</v>
      </c>
      <c r="F36" s="284">
        <f>ROUND('DT20'!AG29,$M$2)</f>
        <v>1.08</v>
      </c>
      <c r="I36" s="312">
        <f>'Appen5a. 2019 LT NCHS_abridged'!M36</f>
        <v>20.823033643880549</v>
      </c>
      <c r="J36" s="313">
        <f>'Appen3a. 2020 LT_construct'!Q23</f>
        <v>20.182613150142924</v>
      </c>
    </row>
    <row r="37" spans="2:10">
      <c r="B37" s="255"/>
      <c r="C37" s="267" t="s">
        <v>34</v>
      </c>
      <c r="D37" s="284">
        <f>ROUND(I37-J37,M$2)</f>
        <v>0.74</v>
      </c>
      <c r="E37" s="285">
        <f>ROUND(ABS('DT19'!AA44),Summary!$M$2)</f>
        <v>1.01</v>
      </c>
      <c r="F37" s="284">
        <f>ROUND('DT20'!AG46,$M$2)</f>
        <v>1.24</v>
      </c>
      <c r="I37" s="312">
        <f>'Appen5a. 2019 LT NCHS_abridged'!M24</f>
        <v>18.201061974823364</v>
      </c>
      <c r="J37" s="313">
        <f>'Appen3a. 2020 LT_construct'!Q34</f>
        <v>17.463808666613122</v>
      </c>
    </row>
    <row r="38" spans="2:10">
      <c r="B38" s="265" t="s">
        <v>372</v>
      </c>
      <c r="C38" s="266" t="s">
        <v>3</v>
      </c>
      <c r="D38" s="285">
        <v>0.94</v>
      </c>
      <c r="E38" s="285">
        <v>1.23</v>
      </c>
      <c r="F38" s="285">
        <v>1.49</v>
      </c>
      <c r="I38" s="310"/>
      <c r="J38" s="311"/>
    </row>
    <row r="39" spans="2:10">
      <c r="B39" s="255"/>
      <c r="C39" s="267" t="s">
        <v>35</v>
      </c>
      <c r="D39" s="285">
        <v>0.67</v>
      </c>
      <c r="E39" s="285">
        <v>1.03</v>
      </c>
      <c r="F39" s="285">
        <v>1.37</v>
      </c>
      <c r="I39" s="310"/>
      <c r="J39" s="311"/>
    </row>
    <row r="40" spans="2:10" ht="16.2" thickBot="1">
      <c r="B40" s="268"/>
      <c r="C40" s="269" t="s">
        <v>34</v>
      </c>
      <c r="D40" s="287">
        <v>1.18</v>
      </c>
      <c r="E40" s="287">
        <v>1.39</v>
      </c>
      <c r="F40" s="287">
        <v>1.55</v>
      </c>
      <c r="I40" s="314"/>
      <c r="J40" s="315"/>
    </row>
  </sheetData>
  <mergeCells count="6">
    <mergeCell ref="B25:B26"/>
    <mergeCell ref="C25:C26"/>
    <mergeCell ref="D25:F25"/>
    <mergeCell ref="B5:B6"/>
    <mergeCell ref="C5:C6"/>
    <mergeCell ref="D5:F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C744A-DE3C-6944-AA69-82259A5AF5B0}">
  <sheetPr>
    <tabColor theme="9"/>
  </sheetPr>
  <dimension ref="A1:AA47"/>
  <sheetViews>
    <sheetView zoomScaleNormal="100" workbookViewId="0">
      <pane xSplit="4" ySplit="4" topLeftCell="E5" activePane="bottomRight" state="frozen"/>
      <selection pane="topRight" activeCell="F1" sqref="F1"/>
      <selection pane="bottomLeft" activeCell="A4" sqref="A4"/>
      <selection pane="bottomRight"/>
    </sheetView>
  </sheetViews>
  <sheetFormatPr defaultColWidth="11.19921875" defaultRowHeight="15.6"/>
  <cols>
    <col min="1" max="1" width="6.19921875" style="64" customWidth="1"/>
    <col min="2" max="3" width="13.296875" style="76" customWidth="1"/>
    <col min="4" max="5" width="13.296875" style="64" customWidth="1"/>
    <col min="6" max="6" width="19.5" style="64" hidden="1" customWidth="1"/>
    <col min="7" max="10" width="13.296875" style="64" customWidth="1"/>
    <col min="11" max="11" width="14.69921875" style="64" customWidth="1"/>
    <col min="12" max="12" width="13.296875" style="64" customWidth="1"/>
    <col min="13" max="13" width="12.796875" style="64" customWidth="1"/>
    <col min="14" max="14" width="16" style="64" customWidth="1"/>
    <col min="15" max="18" width="13.296875" style="64" customWidth="1"/>
    <col min="19" max="19" width="16.796875" style="76" customWidth="1"/>
    <col min="20" max="25" width="13.296875" style="76" customWidth="1"/>
    <col min="26" max="26" width="13.296875" style="64" customWidth="1"/>
    <col min="27" max="27" width="13.19921875" style="64" customWidth="1"/>
    <col min="28" max="16384" width="11.19921875" style="64"/>
  </cols>
  <sheetData>
    <row r="1" spans="1:27">
      <c r="A1" s="47"/>
    </row>
    <row r="2" spans="1:27" s="63" customFormat="1" ht="18">
      <c r="B2" s="89"/>
      <c r="C2" s="7" t="str">
        <f>_xlfn.CONCAT(C5," ",B5," DT19")</f>
        <v>United States Total DT19</v>
      </c>
      <c r="H2" s="91"/>
      <c r="I2" s="64"/>
      <c r="J2" s="64"/>
      <c r="K2" s="64"/>
      <c r="L2" s="64"/>
      <c r="M2" s="64"/>
      <c r="N2" s="64"/>
      <c r="O2" s="91"/>
      <c r="P2" s="64"/>
      <c r="Q2" s="64"/>
      <c r="R2" s="91"/>
      <c r="S2" s="91"/>
      <c r="T2" s="92"/>
      <c r="U2" s="92"/>
      <c r="V2" s="91"/>
      <c r="W2" s="91"/>
      <c r="X2" s="91"/>
      <c r="Y2" s="90"/>
      <c r="Z2" s="91"/>
    </row>
    <row r="3" spans="1:27" s="105" customFormat="1" ht="45" customHeight="1">
      <c r="D3" s="106"/>
      <c r="E3" s="106"/>
      <c r="F3" s="106"/>
      <c r="H3" s="107" t="s">
        <v>129</v>
      </c>
      <c r="I3" s="107" t="s">
        <v>128</v>
      </c>
      <c r="J3" s="107" t="s">
        <v>127</v>
      </c>
      <c r="K3" s="107" t="s">
        <v>272</v>
      </c>
      <c r="L3" s="107" t="s">
        <v>273</v>
      </c>
      <c r="M3" s="105" t="s">
        <v>293</v>
      </c>
      <c r="N3" s="105" t="s">
        <v>294</v>
      </c>
      <c r="P3" s="105" t="s">
        <v>126</v>
      </c>
      <c r="Q3" s="105" t="s">
        <v>125</v>
      </c>
      <c r="Z3" s="105" t="s">
        <v>124</v>
      </c>
      <c r="AA3" s="105" t="s">
        <v>123</v>
      </c>
    </row>
    <row r="4" spans="1:27" s="94" customFormat="1" ht="25.95" customHeight="1">
      <c r="A4" s="93"/>
      <c r="B4" s="108" t="s">
        <v>0</v>
      </c>
      <c r="C4" s="108" t="s">
        <v>122</v>
      </c>
      <c r="D4" s="108" t="s">
        <v>41</v>
      </c>
      <c r="E4" s="108" t="s">
        <v>118</v>
      </c>
      <c r="F4" s="108" t="s">
        <v>36</v>
      </c>
      <c r="G4" s="108" t="s">
        <v>5</v>
      </c>
      <c r="H4" s="109" t="s">
        <v>275</v>
      </c>
      <c r="I4" s="109" t="s">
        <v>348</v>
      </c>
      <c r="J4" s="109" t="s">
        <v>276</v>
      </c>
      <c r="K4" s="109" t="s">
        <v>346</v>
      </c>
      <c r="L4" s="109" t="s">
        <v>347</v>
      </c>
      <c r="M4" s="109" t="s">
        <v>278</v>
      </c>
      <c r="N4" s="109" t="s">
        <v>279</v>
      </c>
      <c r="O4" s="108" t="s">
        <v>280</v>
      </c>
      <c r="P4" s="109" t="s">
        <v>349</v>
      </c>
      <c r="Q4" s="109" t="s">
        <v>282</v>
      </c>
      <c r="R4" s="109" t="s">
        <v>283</v>
      </c>
      <c r="S4" s="109" t="s">
        <v>350</v>
      </c>
      <c r="T4" s="108" t="s">
        <v>285</v>
      </c>
      <c r="U4" s="108" t="s">
        <v>286</v>
      </c>
      <c r="V4" s="109" t="s">
        <v>287</v>
      </c>
      <c r="W4" s="109" t="s">
        <v>288</v>
      </c>
      <c r="X4" s="109" t="s">
        <v>289</v>
      </c>
      <c r="Y4" s="108" t="s">
        <v>290</v>
      </c>
      <c r="Z4" s="109" t="s">
        <v>291</v>
      </c>
      <c r="AA4" s="109" t="s">
        <v>121</v>
      </c>
    </row>
    <row r="5" spans="1:27" ht="16.95" customHeight="1">
      <c r="A5" s="95"/>
      <c r="B5" s="76" t="s">
        <v>3</v>
      </c>
      <c r="C5" s="76" t="s">
        <v>42</v>
      </c>
      <c r="D5" s="38" t="s">
        <v>108</v>
      </c>
      <c r="E5" s="38">
        <v>0</v>
      </c>
      <c r="F5" s="96" t="str">
        <f t="shared" ref="F5:F14" si="0">_xlfn.CONCAT(C5,B5,E5)</f>
        <v>United StatesTotal0</v>
      </c>
      <c r="G5" s="97">
        <v>5</v>
      </c>
      <c r="H5" s="317">
        <f>INDEX('Appen5a. 2019 LT NCHS_abridged'!$E$4:$P$38,MATCH('DT19'!F5,'Appen5a. 2019 LT NCHS_abridged'!$E$4:$E$38,0),MATCH('DT19'!$H$4,'Appen5a. 2019 LT NCHS_abridged'!$E$4:$P$4,0))</f>
        <v>1.3090107513219454E-3</v>
      </c>
      <c r="I5" s="97">
        <f>VLOOKUP(F5,'Appen1a. py 2020'!$F$4:$G$35,2,FALSE)</f>
        <v>19375565.800000001</v>
      </c>
      <c r="J5" s="97">
        <f>VLOOKUP(F5,'Appen2a. Deaths 2020'!$F$3:$H$33,3,FALSE)</f>
        <v>54</v>
      </c>
      <c r="K5" s="98">
        <f t="shared" ref="K5:K14" si="1">H5*I5</f>
        <v>25362.823945145792</v>
      </c>
      <c r="L5" s="98">
        <f t="shared" ref="L5:L14" si="2">H5*(I5-J5)+J5</f>
        <v>25416.753258565219</v>
      </c>
      <c r="M5" s="99">
        <f>K5/L5</f>
        <v>0.99787819817618706</v>
      </c>
      <c r="N5" s="99">
        <f t="shared" ref="N5:N14" si="3">L5/K5</f>
        <v>1.0021263134395471</v>
      </c>
      <c r="O5" s="99">
        <f>INDEX('Appen5a. 2019 LT NCHS_abridged'!$E$4:$I$38,MATCH('DT19'!F5,'Appen5a. 2019 LT NCHS_abridged'!$E$4:$E$38,0),MATCH('DT19'!$O$4,'Appen5a. 2019 LT NCHS_abridged'!$E$4:$I$4,0))</f>
        <v>0.99349343749999997</v>
      </c>
      <c r="P5" s="99">
        <f>EXP((1/M5)*LN(O5))</f>
        <v>0.99347964771146846</v>
      </c>
      <c r="Q5" s="99">
        <f t="shared" ref="Q5:Q14" si="4">1-P5</f>
        <v>6.520352288531539E-3</v>
      </c>
      <c r="R5" s="316">
        <f>INDEX('Appen5a. 2019 LT NCHS_abridged'!$E$4:$N$38,MATCH('DT19'!F5,'Appen5a. 2019 LT NCHS_abridged'!$E$4:$E$38,0),MATCH('DT19'!$R$4,'Appen5a. 2019 LT NCHS_abridged'!$E$4:$N$4,0))</f>
        <v>0.48074059843427308</v>
      </c>
      <c r="S5" s="115">
        <f t="shared" ref="S5:S13" si="5">G5+(R5-G5)*N5*(1-O5)/(1-P5)</f>
        <v>0.48070926838065642</v>
      </c>
      <c r="T5" s="116">
        <v>100000</v>
      </c>
      <c r="U5" s="116">
        <f t="shared" ref="U5:U14" si="6">Q5*T5</f>
        <v>652.03522885315385</v>
      </c>
      <c r="V5" s="117">
        <f t="shared" ref="V5:V14" si="7">U5/W5</f>
        <v>1.3118015252759272E-3</v>
      </c>
      <c r="W5" s="116">
        <f t="shared" ref="W5:W13" si="8">(T6*G5)+S5*U5</f>
        <v>497053.26323355461</v>
      </c>
      <c r="X5" s="116">
        <f t="shared" ref="X5:X13" si="9">X6+W5</f>
        <v>7764132.9631692609</v>
      </c>
      <c r="Y5" s="118">
        <f t="shared" ref="Y5:Y14" si="10">X5/T5</f>
        <v>77.641329631692614</v>
      </c>
      <c r="Z5" s="100">
        <f>'Appen5a. 2019 LT NCHS_abridged'!M5</f>
        <v>78.848227890624997</v>
      </c>
      <c r="AA5" s="100">
        <f t="shared" ref="AA5:AA14" si="11">Y5-Z5</f>
        <v>-1.2068982589323838</v>
      </c>
    </row>
    <row r="6" spans="1:27">
      <c r="A6" s="95"/>
      <c r="B6" s="76" t="str">
        <f t="shared" ref="B6:B14" si="12">$B$5</f>
        <v>Total</v>
      </c>
      <c r="C6" s="76" t="str">
        <f t="shared" ref="C6:C14" si="13">$C$5</f>
        <v>United States</v>
      </c>
      <c r="D6" s="39" t="s">
        <v>109</v>
      </c>
      <c r="E6" s="39">
        <v>5</v>
      </c>
      <c r="F6" s="96" t="str">
        <f t="shared" si="0"/>
        <v>United StatesTotal5</v>
      </c>
      <c r="G6" s="97">
        <v>10</v>
      </c>
      <c r="H6" s="317">
        <f>INDEX('Appen5a. 2019 LT NCHS_abridged'!$E$4:$P$38,MATCH('DT19'!F6,'Appen5a. 2019 LT NCHS_abridged'!$E$4:$E$38,0),MATCH('DT19'!$H$4,'Appen5a. 2019 LT NCHS_abridged'!$E$4:$P$4,0))</f>
        <v>1.3375400445672989E-4</v>
      </c>
      <c r="I6" s="97">
        <f>VLOOKUP(F6,'Appen1a. py 2020'!$F$4:$G$35,2,FALSE)</f>
        <v>40982318.5</v>
      </c>
      <c r="J6" s="97">
        <f>VLOOKUP(F6,'Appen2a. Deaths 2020'!$F$3:$H$33,3,FALSE)</f>
        <v>49</v>
      </c>
      <c r="K6" s="98">
        <f t="shared" si="1"/>
        <v>5481.5492112961238</v>
      </c>
      <c r="L6" s="98">
        <f t="shared" si="2"/>
        <v>5530.5426573499053</v>
      </c>
      <c r="M6" s="99">
        <f t="shared" ref="M6:M14" si="14">K6/L6</f>
        <v>0.9911412949706353</v>
      </c>
      <c r="N6" s="99">
        <f t="shared" si="3"/>
        <v>1.0089378830993285</v>
      </c>
      <c r="O6" s="99">
        <f>INDEX('Appen5a. 2019 LT NCHS_abridged'!$E$4:$I$38,MATCH('DT19'!F6,'Appen5a. 2019 LT NCHS_abridged'!$E$4:$E$38,0),MATCH('DT19'!$O$4,'Appen5a. 2019 LT NCHS_abridged'!$E$4:$I$4,0))</f>
        <v>0.9986632555134517</v>
      </c>
      <c r="P6" s="99">
        <f t="shared" ref="P6:P13" si="15">EXP((1/M6)*LN(O6))</f>
        <v>0.99865131590791922</v>
      </c>
      <c r="Q6" s="99">
        <f t="shared" si="4"/>
        <v>1.3486840920807763E-3</v>
      </c>
      <c r="R6" s="316">
        <f>INDEX('Appen5a. 2019 LT NCHS_abridged'!$E$4:$N$38,MATCH('DT19'!F6,'Appen5a. 2019 LT NCHS_abridged'!$E$4:$E$38,0),MATCH('DT19'!$R$4,'Appen5a. 2019 LT NCHS_abridged'!$E$4:$N$4,0))</f>
        <v>5.5504441437731629</v>
      </c>
      <c r="S6" s="115">
        <f t="shared" si="5"/>
        <v>5.5504175509646787</v>
      </c>
      <c r="T6" s="119">
        <f t="shared" ref="T6:T14" si="16">T5-U5</f>
        <v>99347.964771146842</v>
      </c>
      <c r="U6" s="116">
        <f t="shared" si="6"/>
        <v>133.98901966744714</v>
      </c>
      <c r="V6" s="117">
        <f t="shared" si="7"/>
        <v>1.3494939343304969E-4</v>
      </c>
      <c r="W6" s="116">
        <f t="shared" si="8"/>
        <v>992883.45252119261</v>
      </c>
      <c r="X6" s="116">
        <f t="shared" si="9"/>
        <v>7267079.6999357063</v>
      </c>
      <c r="Y6" s="118">
        <f t="shared" si="10"/>
        <v>73.147746072864194</v>
      </c>
      <c r="Z6" s="100">
        <f>'Appen5a. 2019 LT NCHS_abridged'!M6</f>
        <v>74.361470288398351</v>
      </c>
      <c r="AA6" s="100">
        <f t="shared" si="11"/>
        <v>-1.2137242155341568</v>
      </c>
    </row>
    <row r="7" spans="1:27">
      <c r="A7" s="95"/>
      <c r="B7" s="76" t="str">
        <f t="shared" si="12"/>
        <v>Total</v>
      </c>
      <c r="C7" s="76" t="str">
        <f t="shared" si="13"/>
        <v>United States</v>
      </c>
      <c r="D7" s="40" t="s">
        <v>110</v>
      </c>
      <c r="E7" s="40">
        <v>15</v>
      </c>
      <c r="F7" s="96" t="str">
        <f t="shared" si="0"/>
        <v>United StatesTotal15</v>
      </c>
      <c r="G7" s="97">
        <v>10</v>
      </c>
      <c r="H7" s="317">
        <f>INDEX('Appen5a. 2019 LT NCHS_abridged'!$E$4:$P$38,MATCH('DT19'!F7,'Appen5a. 2019 LT NCHS_abridged'!$E$4:$E$38,0),MATCH('DT19'!$H$4,'Appen5a. 2019 LT NCHS_abridged'!$E$4:$P$4,0))</f>
        <v>6.9304575031340244E-4</v>
      </c>
      <c r="I7" s="97">
        <f>VLOOKUP(F7,'Appen1a. py 2020'!$F$4:$G$35,2,FALSE)</f>
        <v>42605265.899999999</v>
      </c>
      <c r="J7" s="97">
        <f>VLOOKUP(F7,'Appen2a. Deaths 2020'!$F$3:$H$33,3,FALSE)</f>
        <v>501</v>
      </c>
      <c r="K7" s="98">
        <f t="shared" si="1"/>
        <v>29527.398472967518</v>
      </c>
      <c r="L7" s="98">
        <f t="shared" si="2"/>
        <v>30028.051257046613</v>
      </c>
      <c r="M7" s="99">
        <f t="shared" si="14"/>
        <v>0.98332716366462147</v>
      </c>
      <c r="N7" s="99">
        <f t="shared" si="3"/>
        <v>1.0169555331648146</v>
      </c>
      <c r="O7" s="99">
        <f>INDEX('Appen5a. 2019 LT NCHS_abridged'!$E$4:$I$38,MATCH('DT19'!F7,'Appen5a. 2019 LT NCHS_abridged'!$E$4:$E$38,0),MATCH('DT19'!$O$4,'Appen5a. 2019 LT NCHS_abridged'!$E$4:$I$4,0))</f>
        <v>0.99308890111488313</v>
      </c>
      <c r="P7" s="99">
        <f t="shared" si="15"/>
        <v>0.99297213247604088</v>
      </c>
      <c r="Q7" s="99">
        <f t="shared" si="4"/>
        <v>7.0278675239591193E-3</v>
      </c>
      <c r="R7" s="316">
        <f>INDEX('Appen5a. 2019 LT NCHS_abridged'!$E$4:$N$38,MATCH('DT19'!F7,'Appen5a. 2019 LT NCHS_abridged'!$E$4:$E$38,0),MATCH('DT19'!$R$4,'Appen5a. 2019 LT NCHS_abridged'!$E$4:$N$4,0))</f>
        <v>5.9582882338866794</v>
      </c>
      <c r="S7" s="115">
        <f t="shared" si="5"/>
        <v>5.958050875167789</v>
      </c>
      <c r="T7" s="119">
        <f t="shared" si="16"/>
        <v>99213.975751479389</v>
      </c>
      <c r="U7" s="116">
        <f t="shared" si="6"/>
        <v>697.26267810668958</v>
      </c>
      <c r="V7" s="117">
        <f t="shared" si="7"/>
        <v>7.04788795392775E-4</v>
      </c>
      <c r="W7" s="116">
        <f t="shared" si="8"/>
        <v>989321.45724324242</v>
      </c>
      <c r="X7" s="116">
        <f t="shared" si="9"/>
        <v>6274196.2474145135</v>
      </c>
      <c r="Y7" s="118">
        <f t="shared" si="10"/>
        <v>63.239036636639959</v>
      </c>
      <c r="Z7" s="100">
        <f>'Appen5a. 2019 LT NCHS_abridged'!M7</f>
        <v>64.453576170240638</v>
      </c>
      <c r="AA7" s="100">
        <f t="shared" si="11"/>
        <v>-1.2145395336006786</v>
      </c>
    </row>
    <row r="8" spans="1:27">
      <c r="A8" s="95"/>
      <c r="B8" s="76" t="str">
        <f t="shared" si="12"/>
        <v>Total</v>
      </c>
      <c r="C8" s="76" t="str">
        <f t="shared" si="13"/>
        <v>United States</v>
      </c>
      <c r="D8" s="40" t="s">
        <v>111</v>
      </c>
      <c r="E8" s="40">
        <v>25</v>
      </c>
      <c r="F8" s="96" t="str">
        <f t="shared" si="0"/>
        <v>United StatesTotal25</v>
      </c>
      <c r="G8" s="97">
        <v>10</v>
      </c>
      <c r="H8" s="317">
        <f>INDEX('Appen5a. 2019 LT NCHS_abridged'!$E$4:$P$38,MATCH('DT19'!F8,'Appen5a. 2019 LT NCHS_abridged'!$E$4:$E$38,0),MATCH('DT19'!$H$4,'Appen5a. 2019 LT NCHS_abridged'!$E$4:$P$4,0))</f>
        <v>1.2914253292168284E-3</v>
      </c>
      <c r="I8" s="97">
        <f>VLOOKUP(F8,'Appen1a. py 2020'!$F$4:$G$35,2,FALSE)</f>
        <v>46040567.299999997</v>
      </c>
      <c r="J8" s="97">
        <f>VLOOKUP(F8,'Appen2a. Deaths 2020'!$F$3:$H$33,3,FALSE)</f>
        <v>2254</v>
      </c>
      <c r="K8" s="98">
        <f t="shared" si="1"/>
        <v>59457.954782732042</v>
      </c>
      <c r="L8" s="98">
        <f t="shared" si="2"/>
        <v>61709.043910039989</v>
      </c>
      <c r="M8" s="99">
        <f t="shared" si="14"/>
        <v>0.96352092035991344</v>
      </c>
      <c r="N8" s="99">
        <f t="shared" si="3"/>
        <v>1.0378601843190496</v>
      </c>
      <c r="O8" s="99">
        <f>INDEX('Appen5a. 2019 LT NCHS_abridged'!$E$4:$I$38,MATCH('DT19'!F8,'Appen5a. 2019 LT NCHS_abridged'!$E$4:$E$38,0),MATCH('DT19'!$O$4,'Appen5a. 2019 LT NCHS_abridged'!$E$4:$I$4,0))</f>
        <v>0.98716272854915033</v>
      </c>
      <c r="P8" s="99">
        <f t="shared" si="15"/>
        <v>0.98667995820350407</v>
      </c>
      <c r="Q8" s="99">
        <f t="shared" si="4"/>
        <v>1.3320041796495929E-2</v>
      </c>
      <c r="R8" s="316">
        <f>INDEX('Appen5a. 2019 LT NCHS_abridged'!$E$4:$N$38,MATCH('DT19'!F8,'Appen5a. 2019 LT NCHS_abridged'!$E$4:$E$38,0),MATCH('DT19'!$R$4,'Appen5a. 2019 LT NCHS_abridged'!$E$4:$N$4,0))</f>
        <v>5.3564912324045881</v>
      </c>
      <c r="S8" s="115">
        <f t="shared" si="5"/>
        <v>5.3553578580893557</v>
      </c>
      <c r="T8" s="119">
        <f t="shared" si="16"/>
        <v>98516.713073372695</v>
      </c>
      <c r="U8" s="116">
        <f t="shared" si="6"/>
        <v>1312.2467357907212</v>
      </c>
      <c r="V8" s="117">
        <f t="shared" si="7"/>
        <v>1.3402961668193864E-3</v>
      </c>
      <c r="W8" s="116">
        <f t="shared" si="8"/>
        <v>979072.21424408874</v>
      </c>
      <c r="X8" s="116">
        <f t="shared" si="9"/>
        <v>5284874.7901712712</v>
      </c>
      <c r="Y8" s="118">
        <f t="shared" si="10"/>
        <v>53.644449000599863</v>
      </c>
      <c r="Z8" s="100">
        <f>'Appen5a. 2019 LT NCHS_abridged'!M8</f>
        <v>54.860656260238308</v>
      </c>
      <c r="AA8" s="100">
        <f t="shared" si="11"/>
        <v>-1.2162072596384448</v>
      </c>
    </row>
    <row r="9" spans="1:27">
      <c r="A9" s="95"/>
      <c r="B9" s="76" t="str">
        <f t="shared" si="12"/>
        <v>Total</v>
      </c>
      <c r="C9" s="76" t="str">
        <f t="shared" si="13"/>
        <v>United States</v>
      </c>
      <c r="D9" s="40" t="s">
        <v>112</v>
      </c>
      <c r="E9" s="40">
        <v>35</v>
      </c>
      <c r="F9" s="96" t="str">
        <f t="shared" si="0"/>
        <v>United StatesTotal35</v>
      </c>
      <c r="G9" s="97">
        <v>10</v>
      </c>
      <c r="H9" s="317">
        <f>INDEX('Appen5a. 2019 LT NCHS_abridged'!$E$4:$P$38,MATCH('DT19'!F9,'Appen5a. 2019 LT NCHS_abridged'!$E$4:$E$38,0),MATCH('DT19'!$H$4,'Appen5a. 2019 LT NCHS_abridged'!$E$4:$P$4,0))</f>
        <v>2.0021408624867876E-3</v>
      </c>
      <c r="I9" s="97">
        <f>VLOOKUP(F9,'Appen1a. py 2020'!$F$4:$G$35,2,FALSE)</f>
        <v>42126716.899999999</v>
      </c>
      <c r="J9" s="97">
        <f>VLOOKUP(F9,'Appen2a. Deaths 2020'!$F$3:$H$33,3,FALSE)</f>
        <v>6079</v>
      </c>
      <c r="K9" s="98">
        <f t="shared" si="1"/>
        <v>84343.621307902737</v>
      </c>
      <c r="L9" s="98">
        <f t="shared" si="2"/>
        <v>90410.450293599672</v>
      </c>
      <c r="M9" s="99">
        <f t="shared" si="14"/>
        <v>0.93289681706046745</v>
      </c>
      <c r="N9" s="99">
        <f t="shared" si="3"/>
        <v>1.0719299087663017</v>
      </c>
      <c r="O9" s="99">
        <f>INDEX('Appen5a. 2019 LT NCHS_abridged'!$E$4:$I$38,MATCH('DT19'!F9,'Appen5a. 2019 LT NCHS_abridged'!$E$4:$E$38,0),MATCH('DT19'!$O$4,'Appen5a. 2019 LT NCHS_abridged'!$E$4:$I$4,0))</f>
        <v>0.98016280262440814</v>
      </c>
      <c r="P9" s="99">
        <f t="shared" si="15"/>
        <v>0.97875117955880231</v>
      </c>
      <c r="Q9" s="99">
        <f t="shared" si="4"/>
        <v>2.1248820441197691E-2</v>
      </c>
      <c r="R9" s="316">
        <f>INDEX('Appen5a. 2019 LT NCHS_abridged'!$E$4:$N$38,MATCH('DT19'!F9,'Appen5a. 2019 LT NCHS_abridged'!$E$4:$E$38,0),MATCH('DT19'!$R$4,'Appen5a. 2019 LT NCHS_abridged'!$E$4:$N$4,0))</f>
        <v>5.3618882959339853</v>
      </c>
      <c r="S9" s="115">
        <f t="shared" si="5"/>
        <v>5.358556368337573</v>
      </c>
      <c r="T9" s="119">
        <f t="shared" si="16"/>
        <v>97204.46633758198</v>
      </c>
      <c r="U9" s="116">
        <f t="shared" si="6"/>
        <v>2065.4802512897249</v>
      </c>
      <c r="V9" s="117">
        <f t="shared" si="7"/>
        <v>2.1460474808175502E-3</v>
      </c>
      <c r="W9" s="116">
        <f t="shared" si="8"/>
        <v>962457.85321714659</v>
      </c>
      <c r="X9" s="116">
        <f t="shared" si="9"/>
        <v>4305802.5759271821</v>
      </c>
      <c r="Y9" s="118">
        <f t="shared" si="10"/>
        <v>44.296344994822917</v>
      </c>
      <c r="Z9" s="100">
        <f>'Appen5a. 2019 LT NCHS_abridged'!M9</f>
        <v>45.504418819369732</v>
      </c>
      <c r="AA9" s="100">
        <f t="shared" si="11"/>
        <v>-1.2080738245468154</v>
      </c>
    </row>
    <row r="10" spans="1:27">
      <c r="A10" s="95"/>
      <c r="B10" s="76" t="str">
        <f t="shared" si="12"/>
        <v>Total</v>
      </c>
      <c r="C10" s="76" t="str">
        <f t="shared" si="13"/>
        <v>United States</v>
      </c>
      <c r="D10" s="40" t="s">
        <v>113</v>
      </c>
      <c r="E10" s="40">
        <v>45</v>
      </c>
      <c r="F10" s="96" t="str">
        <f t="shared" si="0"/>
        <v>United StatesTotal45</v>
      </c>
      <c r="G10" s="97">
        <v>10</v>
      </c>
      <c r="H10" s="317">
        <f>INDEX('Appen5a. 2019 LT NCHS_abridged'!$E$4:$P$38,MATCH('DT19'!F10,'Appen5a. 2019 LT NCHS_abridged'!$E$4:$E$38,0),MATCH('DT19'!$H$4,'Appen5a. 2019 LT NCHS_abridged'!$E$4:$P$4,0))</f>
        <v>3.9073016290727246E-3</v>
      </c>
      <c r="I10" s="97">
        <f>VLOOKUP(F10,'Appen1a. py 2020'!$F$4:$G$35,2,FALSE)</f>
        <v>40403772.200000003</v>
      </c>
      <c r="J10" s="97">
        <f>VLOOKUP(F10,'Appen2a. Deaths 2020'!$F$3:$H$33,3,FALSE)</f>
        <v>16964</v>
      </c>
      <c r="K10" s="98">
        <f t="shared" si="1"/>
        <v>157869.72493774327</v>
      </c>
      <c r="L10" s="98">
        <f t="shared" si="2"/>
        <v>174767.4414729077</v>
      </c>
      <c r="M10" s="99">
        <f t="shared" si="14"/>
        <v>0.90331313205278063</v>
      </c>
      <c r="N10" s="99">
        <f t="shared" si="3"/>
        <v>1.1070358267985083</v>
      </c>
      <c r="O10" s="99">
        <f>INDEX('Appen5a. 2019 LT NCHS_abridged'!$E$4:$I$38,MATCH('DT19'!F10,'Appen5a. 2019 LT NCHS_abridged'!$E$4:$E$38,0),MATCH('DT19'!$O$4,'Appen5a. 2019 LT NCHS_abridged'!$E$4:$I$4,0))</f>
        <v>0.96158081846774468</v>
      </c>
      <c r="P10" s="99">
        <f t="shared" si="15"/>
        <v>0.95755705769231503</v>
      </c>
      <c r="Q10" s="99">
        <f t="shared" si="4"/>
        <v>4.2442942307684972E-2</v>
      </c>
      <c r="R10" s="316">
        <f>INDEX('Appen5a. 2019 LT NCHS_abridged'!$E$4:$N$38,MATCH('DT19'!F10,'Appen5a. 2019 LT NCHS_abridged'!$E$4:$E$38,0),MATCH('DT19'!$R$4,'Appen5a. 2019 LT NCHS_abridged'!$E$4:$N$4,0))</f>
        <v>5.6444504641321416</v>
      </c>
      <c r="S10" s="115">
        <f t="shared" si="5"/>
        <v>5.6353717550529137</v>
      </c>
      <c r="T10" s="119">
        <f t="shared" si="16"/>
        <v>95138.986086292251</v>
      </c>
      <c r="U10" s="116">
        <f t="shared" si="6"/>
        <v>4037.9784976721453</v>
      </c>
      <c r="V10" s="117">
        <f t="shared" si="7"/>
        <v>4.3244027824770907E-3</v>
      </c>
      <c r="W10" s="116">
        <f t="shared" si="8"/>
        <v>933765.5858594937</v>
      </c>
      <c r="X10" s="116">
        <f t="shared" si="9"/>
        <v>3343344.7227100357</v>
      </c>
      <c r="Y10" s="118">
        <f t="shared" si="10"/>
        <v>35.141689650524341</v>
      </c>
      <c r="Z10" s="100">
        <f>'Appen5a. 2019 LT NCHS_abridged'!M10</f>
        <v>36.31685048788129</v>
      </c>
      <c r="AA10" s="100">
        <f t="shared" si="11"/>
        <v>-1.1751608373569482</v>
      </c>
    </row>
    <row r="11" spans="1:27">
      <c r="A11" s="95"/>
      <c r="B11" s="76" t="str">
        <f t="shared" si="12"/>
        <v>Total</v>
      </c>
      <c r="C11" s="76" t="str">
        <f t="shared" si="13"/>
        <v>United States</v>
      </c>
      <c r="D11" s="40" t="s">
        <v>114</v>
      </c>
      <c r="E11" s="40">
        <v>55</v>
      </c>
      <c r="F11" s="96" t="str">
        <f t="shared" si="0"/>
        <v>United StatesTotal55</v>
      </c>
      <c r="G11" s="97">
        <v>10</v>
      </c>
      <c r="H11" s="317">
        <f>INDEX('Appen5a. 2019 LT NCHS_abridged'!$E$4:$P$38,MATCH('DT19'!F11,'Appen5a. 2019 LT NCHS_abridged'!$E$4:$E$38,0),MATCH('DT19'!$H$4,'Appen5a. 2019 LT NCHS_abridged'!$E$4:$P$4,0))</f>
        <v>8.8506458016725676E-3</v>
      </c>
      <c r="I11" s="97">
        <f>VLOOKUP(F11,'Appen1a. py 2020'!$F$4:$G$35,2,FALSE)</f>
        <v>42434095.100000001</v>
      </c>
      <c r="J11" s="97">
        <f>VLOOKUP(F11,'Appen2a. Deaths 2020'!$F$3:$H$33,3,FALSE)</f>
        <v>42090</v>
      </c>
      <c r="K11" s="98">
        <f t="shared" si="1"/>
        <v>375569.1456445895</v>
      </c>
      <c r="L11" s="98">
        <f t="shared" si="2"/>
        <v>417286.62196279707</v>
      </c>
      <c r="M11" s="99">
        <f t="shared" si="14"/>
        <v>0.9000268062225899</v>
      </c>
      <c r="N11" s="99">
        <f t="shared" si="3"/>
        <v>1.1110780179948165</v>
      </c>
      <c r="O11" s="99">
        <f>INDEX('Appen5a. 2019 LT NCHS_abridged'!$E$4:$I$38,MATCH('DT19'!F11,'Appen5a. 2019 LT NCHS_abridged'!$E$4:$E$38,0),MATCH('DT19'!$O$4,'Appen5a. 2019 LT NCHS_abridged'!$E$4:$I$4,0))</f>
        <v>0.91485617431177257</v>
      </c>
      <c r="P11" s="99">
        <f t="shared" si="15"/>
        <v>0.90585768205462536</v>
      </c>
      <c r="Q11" s="99">
        <f t="shared" si="4"/>
        <v>9.4142317945374643E-2</v>
      </c>
      <c r="R11" s="316">
        <f>INDEX('Appen5a. 2019 LT NCHS_abridged'!$E$4:$N$38,MATCH('DT19'!F11,'Appen5a. 2019 LT NCHS_abridged'!$E$4:$E$38,0),MATCH('DT19'!$R$4,'Appen5a. 2019 LT NCHS_abridged'!$E$4:$N$4,0))</f>
        <v>5.5377770749215793</v>
      </c>
      <c r="S11" s="115">
        <f t="shared" si="5"/>
        <v>5.5160156166414289</v>
      </c>
      <c r="T11" s="119">
        <f t="shared" si="16"/>
        <v>91101.007588620108</v>
      </c>
      <c r="U11" s="116">
        <f t="shared" si="6"/>
        <v>8576.4600215518622</v>
      </c>
      <c r="V11" s="117">
        <f t="shared" si="7"/>
        <v>9.8291524443024358E-3</v>
      </c>
      <c r="W11" s="116">
        <f t="shared" si="8"/>
        <v>872553.36308506341</v>
      </c>
      <c r="X11" s="116">
        <f t="shared" si="9"/>
        <v>2409579.1368505419</v>
      </c>
      <c r="Y11" s="118">
        <f t="shared" si="10"/>
        <v>26.449533332620732</v>
      </c>
      <c r="Z11" s="100">
        <f>'Appen5a. 2019 LT NCHS_abridged'!M11</f>
        <v>27.542341348254453</v>
      </c>
      <c r="AA11" s="100">
        <f t="shared" si="11"/>
        <v>-1.0928080156337217</v>
      </c>
    </row>
    <row r="12" spans="1:27">
      <c r="A12" s="95"/>
      <c r="B12" s="76" t="str">
        <f t="shared" si="12"/>
        <v>Total</v>
      </c>
      <c r="C12" s="76" t="str">
        <f t="shared" si="13"/>
        <v>United States</v>
      </c>
      <c r="D12" s="41" t="s">
        <v>117</v>
      </c>
      <c r="E12" s="41">
        <v>65</v>
      </c>
      <c r="F12" s="96" t="str">
        <f t="shared" si="0"/>
        <v>United StatesTotal65</v>
      </c>
      <c r="G12" s="97">
        <v>10</v>
      </c>
      <c r="H12" s="317">
        <f>INDEX('Appen5a. 2019 LT NCHS_abridged'!$E$4:$P$38,MATCH('DT19'!F12,'Appen5a. 2019 LT NCHS_abridged'!$E$4:$E$38,0),MATCH('DT19'!$H$4,'Appen5a. 2019 LT NCHS_abridged'!$E$4:$P$4,0))</f>
        <v>1.8067563305378568E-2</v>
      </c>
      <c r="I12" s="97">
        <f>VLOOKUP(F12,'Appen1a. py 2020'!$F$4:$G$35,2,FALSE)</f>
        <v>32568951.399999999</v>
      </c>
      <c r="J12" s="97">
        <f>VLOOKUP(F12,'Appen2a. Deaths 2020'!$F$3:$H$33,3,FALSE)</f>
        <v>76277</v>
      </c>
      <c r="K12" s="98">
        <f t="shared" si="1"/>
        <v>588441.59120929788</v>
      </c>
      <c r="L12" s="98">
        <f t="shared" si="2"/>
        <v>663340.45168305351</v>
      </c>
      <c r="M12" s="99">
        <f t="shared" si="14"/>
        <v>0.88708835668966168</v>
      </c>
      <c r="N12" s="99">
        <f t="shared" si="3"/>
        <v>1.1272834238651148</v>
      </c>
      <c r="O12" s="99">
        <f>INDEX('Appen5a. 2019 LT NCHS_abridged'!$E$4:$I$38,MATCH('DT19'!F12,'Appen5a. 2019 LT NCHS_abridged'!$E$4:$E$38,0),MATCH('DT19'!$O$4,'Appen5a. 2019 LT NCHS_abridged'!$E$4:$I$4,0))</f>
        <v>0.83289870156339818</v>
      </c>
      <c r="P12" s="99">
        <f t="shared" si="15"/>
        <v>0.81373854204758878</v>
      </c>
      <c r="Q12" s="99">
        <f t="shared" si="4"/>
        <v>0.18626145795241122</v>
      </c>
      <c r="R12" s="316">
        <f>INDEX('Appen5a. 2019 LT NCHS_abridged'!$E$4:$N$38,MATCH('DT19'!F12,'Appen5a. 2019 LT NCHS_abridged'!$E$4:$E$38,0),MATCH('DT19'!$R$4,'Appen5a. 2019 LT NCHS_abridged'!$E$4:$N$4,0))</f>
        <v>5.5038670885511438</v>
      </c>
      <c r="S12" s="115">
        <f t="shared" si="5"/>
        <v>5.4529567143572351</v>
      </c>
      <c r="T12" s="119">
        <f t="shared" si="16"/>
        <v>82524.54756706825</v>
      </c>
      <c r="U12" s="116">
        <f t="shared" si="6"/>
        <v>15371.142546705243</v>
      </c>
      <c r="V12" s="117">
        <f t="shared" si="7"/>
        <v>2.0349635619896892E-2</v>
      </c>
      <c r="W12" s="116">
        <f t="shared" si="8"/>
        <v>755352.22516102856</v>
      </c>
      <c r="X12" s="116">
        <f t="shared" si="9"/>
        <v>1537025.7737654785</v>
      </c>
      <c r="Y12" s="118">
        <f t="shared" si="10"/>
        <v>18.625073618444588</v>
      </c>
      <c r="Z12" s="100">
        <f>'Appen5a. 2019 LT NCHS_abridged'!M12</f>
        <v>19.590261925763247</v>
      </c>
      <c r="AA12" s="100">
        <f t="shared" si="11"/>
        <v>-0.9651883073186589</v>
      </c>
    </row>
    <row r="13" spans="1:27">
      <c r="A13" s="95"/>
      <c r="B13" s="76" t="str">
        <f t="shared" si="12"/>
        <v>Total</v>
      </c>
      <c r="C13" s="76" t="str">
        <f t="shared" si="13"/>
        <v>United States</v>
      </c>
      <c r="D13" s="41" t="s">
        <v>116</v>
      </c>
      <c r="E13" s="41">
        <v>75</v>
      </c>
      <c r="F13" s="96" t="str">
        <f t="shared" si="0"/>
        <v>United StatesTotal75</v>
      </c>
      <c r="G13" s="97">
        <v>10</v>
      </c>
      <c r="H13" s="317">
        <f>INDEX('Appen5a. 2019 LT NCHS_abridged'!$E$4:$P$38,MATCH('DT19'!F13,'Appen5a. 2019 LT NCHS_abridged'!$E$4:$E$38,0),MATCH('DT19'!$H$4,'Appen5a. 2019 LT NCHS_abridged'!$E$4:$P$4,0))</f>
        <v>4.5908059923882694E-2</v>
      </c>
      <c r="I13" s="97">
        <f>VLOOKUP(F13,'Appen1a. py 2020'!$F$4:$G$35,2,FALSE)</f>
        <v>16467057.4</v>
      </c>
      <c r="J13" s="97">
        <f>VLOOKUP(F13,'Appen2a. Deaths 2020'!$F$3:$H$33,3,FALSE)</f>
        <v>97030</v>
      </c>
      <c r="K13" s="98">
        <f t="shared" si="1"/>
        <v>755970.65788921597</v>
      </c>
      <c r="L13" s="98">
        <f t="shared" si="2"/>
        <v>848546.19883480167</v>
      </c>
      <c r="M13" s="99">
        <f t="shared" si="14"/>
        <v>0.89090100094407632</v>
      </c>
      <c r="N13" s="99">
        <f t="shared" si="3"/>
        <v>1.1224591721642618</v>
      </c>
      <c r="O13" s="99">
        <f>INDEX('Appen5a. 2019 LT NCHS_abridged'!$E$4:$I$38,MATCH('DT19'!F13,'Appen5a. 2019 LT NCHS_abridged'!$E$4:$E$38,0),MATCH('DT19'!$O$4,'Appen5a. 2019 LT NCHS_abridged'!$E$4:$I$4,0))</f>
        <v>0.61979670707286483</v>
      </c>
      <c r="P13" s="99">
        <f t="shared" si="15"/>
        <v>0.58453198655485761</v>
      </c>
      <c r="Q13" s="99">
        <f t="shared" si="4"/>
        <v>0.41546801344514239</v>
      </c>
      <c r="R13" s="316">
        <f>INDEX('Appen5a. 2019 LT NCHS_abridged'!$E$4:$N$38,MATCH('DT19'!F13,'Appen5a. 2019 LT NCHS_abridged'!$E$4:$E$38,0),MATCH('DT19'!$R$4,'Appen5a. 2019 LT NCHS_abridged'!$E$4:$N$4,0))</f>
        <v>5.4809488496269756</v>
      </c>
      <c r="S13" s="115">
        <f t="shared" si="5"/>
        <v>5.3580966815659687</v>
      </c>
      <c r="T13" s="119">
        <f t="shared" si="16"/>
        <v>67153.405020363003</v>
      </c>
      <c r="U13" s="116">
        <f t="shared" si="6"/>
        <v>27900.091779887269</v>
      </c>
      <c r="V13" s="117">
        <f t="shared" si="7"/>
        <v>5.147385527549922E-2</v>
      </c>
      <c r="W13" s="116">
        <f t="shared" si="8"/>
        <v>542024.52158595726</v>
      </c>
      <c r="X13" s="116">
        <f t="shared" si="9"/>
        <v>781673.54860444996</v>
      </c>
      <c r="Y13" s="118">
        <f t="shared" si="10"/>
        <v>11.64011785206457</v>
      </c>
      <c r="Z13" s="100">
        <f>'Appen5a. 2019 LT NCHS_abridged'!M13</f>
        <v>12.416361742188064</v>
      </c>
      <c r="AA13" s="100">
        <f t="shared" si="11"/>
        <v>-0.77624389012349404</v>
      </c>
    </row>
    <row r="14" spans="1:27">
      <c r="A14" s="95"/>
      <c r="B14" s="76" t="str">
        <f t="shared" si="12"/>
        <v>Total</v>
      </c>
      <c r="C14" s="76" t="str">
        <f t="shared" si="13"/>
        <v>United States</v>
      </c>
      <c r="D14" s="41" t="s">
        <v>115</v>
      </c>
      <c r="E14" s="41">
        <v>85</v>
      </c>
      <c r="F14" s="96" t="str">
        <f t="shared" si="0"/>
        <v>United StatesTotal85</v>
      </c>
      <c r="G14" s="97" t="s">
        <v>37</v>
      </c>
      <c r="H14" s="317">
        <f>INDEX('Appen5a. 2019 LT NCHS_abridged'!$E$4:$P$38,MATCH('DT19'!F14,'Appen5a. 2019 LT NCHS_abridged'!$E$4:$E$38,0),MATCH('DT19'!$H$4,'Appen5a. 2019 LT NCHS_abridged'!$E$4:$P$4,0))</f>
        <v>0.14990778288435239</v>
      </c>
      <c r="I14" s="97">
        <f>VLOOKUP(F14,'Appen1a. py 2020'!$F$4:$G$35,2,FALSE)</f>
        <v>6704707.3300000001</v>
      </c>
      <c r="J14" s="97">
        <f>VLOOKUP(F14,'Appen2a. Deaths 2020'!$F$3:$H$33,3,FALSE)</f>
        <v>109529</v>
      </c>
      <c r="K14" s="98">
        <f t="shared" si="1"/>
        <v>1005087.810728766</v>
      </c>
      <c r="L14" s="98">
        <f t="shared" si="2"/>
        <v>1098197.5611772258</v>
      </c>
      <c r="M14" s="99">
        <f t="shared" si="14"/>
        <v>0.91521584663814981</v>
      </c>
      <c r="N14" s="99">
        <f t="shared" si="3"/>
        <v>1.0926384236825517</v>
      </c>
      <c r="O14" s="99">
        <f>INDEX('Appen5a. 2019 LT NCHS_abridged'!$E$4:$I$38,MATCH('DT19'!F14,'Appen5a. 2019 LT NCHS_abridged'!$E$4:$E$38,0),MATCH('DT19'!$O$4,'Appen5a. 2019 LT NCHS_abridged'!$E$4:$I$4,0))</f>
        <v>0</v>
      </c>
      <c r="P14" s="99">
        <v>0</v>
      </c>
      <c r="Q14" s="99">
        <f t="shared" si="4"/>
        <v>1</v>
      </c>
      <c r="R14" s="316">
        <f>INDEX('Appen5a. 2019 LT NCHS_abridged'!$E$4:$N$38,MATCH('DT19'!F14,'Appen5a. 2019 LT NCHS_abridged'!$E$4:$E$38,0),MATCH('DT19'!$R$4,'Appen5a. 2019 LT NCHS_abridged'!$E$4:$N$4,0))</f>
        <v>6.6707677263925538</v>
      </c>
      <c r="S14" s="115">
        <f>R14*M14</f>
        <v>6.1051923324368067</v>
      </c>
      <c r="T14" s="119">
        <f t="shared" si="16"/>
        <v>39253.313240475734</v>
      </c>
      <c r="U14" s="116">
        <f t="shared" si="6"/>
        <v>39253.313240475734</v>
      </c>
      <c r="V14" s="117">
        <f t="shared" si="7"/>
        <v>0.16379500358850502</v>
      </c>
      <c r="W14" s="116">
        <f>U14*S14</f>
        <v>239649.02701849263</v>
      </c>
      <c r="X14" s="116">
        <f>W14</f>
        <v>239649.02701849263</v>
      </c>
      <c r="Y14" s="118">
        <f t="shared" si="10"/>
        <v>6.1051923324368067</v>
      </c>
      <c r="Z14" s="100">
        <f>'Appen5a. 2019 LT NCHS_abridged'!M14</f>
        <v>6.6707677263925538</v>
      </c>
      <c r="AA14" s="100">
        <f t="shared" si="11"/>
        <v>-0.56557539395574707</v>
      </c>
    </row>
    <row r="15" spans="1:27">
      <c r="B15" s="110"/>
      <c r="C15" s="110"/>
      <c r="D15" s="111" t="s">
        <v>3</v>
      </c>
      <c r="E15" s="112"/>
      <c r="F15" s="112"/>
      <c r="G15" s="112"/>
      <c r="H15" s="318"/>
      <c r="I15" s="112"/>
      <c r="J15" s="113"/>
      <c r="K15" s="113"/>
      <c r="L15" s="112"/>
      <c r="M15" s="112"/>
      <c r="N15" s="112"/>
      <c r="O15" s="112"/>
      <c r="P15" s="112"/>
      <c r="Q15" s="114"/>
      <c r="R15" s="112"/>
      <c r="S15" s="110"/>
      <c r="T15" s="110"/>
      <c r="U15" s="110"/>
      <c r="V15" s="110"/>
      <c r="W15" s="110"/>
      <c r="X15" s="110"/>
      <c r="Y15" s="110"/>
      <c r="Z15" s="112"/>
      <c r="AA15" s="112"/>
    </row>
    <row r="16" spans="1:27">
      <c r="D16" s="63"/>
      <c r="H16" s="102"/>
      <c r="J16" s="101"/>
      <c r="K16" s="101"/>
      <c r="Q16" s="121"/>
    </row>
    <row r="17" spans="1:27">
      <c r="D17" s="63"/>
      <c r="H17" s="102"/>
      <c r="J17" s="101"/>
      <c r="K17" s="101"/>
      <c r="Q17" s="121"/>
    </row>
    <row r="18" spans="1:27">
      <c r="C18" s="7" t="str">
        <f>_xlfn.CONCAT(C22," ",B22," DT19")</f>
        <v>United States Female DT19</v>
      </c>
      <c r="D18" s="63"/>
      <c r="H18" s="102"/>
      <c r="J18" s="101"/>
      <c r="K18" s="101"/>
      <c r="Q18" s="121"/>
    </row>
    <row r="19" spans="1:27" ht="7.95" customHeight="1">
      <c r="H19" s="102"/>
      <c r="M19" s="102"/>
      <c r="N19" s="102"/>
      <c r="O19" s="102"/>
      <c r="P19" s="102"/>
      <c r="Q19" s="103"/>
      <c r="S19" s="120"/>
      <c r="T19" s="120"/>
      <c r="U19" s="120"/>
      <c r="V19" s="120"/>
      <c r="W19" s="120"/>
      <c r="X19" s="120"/>
      <c r="Y19" s="120"/>
      <c r="Z19" s="102"/>
      <c r="AA19" s="102"/>
    </row>
    <row r="20" spans="1:27" s="94" customFormat="1" ht="23.55" customHeight="1">
      <c r="A20" s="93"/>
      <c r="B20" s="108" t="s">
        <v>0</v>
      </c>
      <c r="C20" s="108" t="s">
        <v>122</v>
      </c>
      <c r="D20" s="108" t="s">
        <v>41</v>
      </c>
      <c r="E20" s="108" t="s">
        <v>118</v>
      </c>
      <c r="F20" s="108" t="s">
        <v>36</v>
      </c>
      <c r="G20" s="108" t="s">
        <v>5</v>
      </c>
      <c r="H20" s="109" t="s">
        <v>275</v>
      </c>
      <c r="I20" s="109" t="s">
        <v>348</v>
      </c>
      <c r="J20" s="109" t="s">
        <v>276</v>
      </c>
      <c r="K20" s="109" t="s">
        <v>346</v>
      </c>
      <c r="L20" s="109" t="s">
        <v>277</v>
      </c>
      <c r="M20" s="109" t="s">
        <v>278</v>
      </c>
      <c r="N20" s="109" t="s">
        <v>279</v>
      </c>
      <c r="O20" s="108" t="s">
        <v>292</v>
      </c>
      <c r="P20" s="109" t="s">
        <v>281</v>
      </c>
      <c r="Q20" s="109" t="s">
        <v>282</v>
      </c>
      <c r="R20" s="109" t="s">
        <v>283</v>
      </c>
      <c r="S20" s="109" t="s">
        <v>284</v>
      </c>
      <c r="T20" s="108" t="s">
        <v>285</v>
      </c>
      <c r="U20" s="108" t="s">
        <v>286</v>
      </c>
      <c r="V20" s="109" t="s">
        <v>287</v>
      </c>
      <c r="W20" s="109" t="s">
        <v>288</v>
      </c>
      <c r="X20" s="109" t="s">
        <v>289</v>
      </c>
      <c r="Y20" s="108" t="s">
        <v>290</v>
      </c>
      <c r="Z20" s="109" t="s">
        <v>291</v>
      </c>
      <c r="AA20" s="109" t="s">
        <v>121</v>
      </c>
    </row>
    <row r="21" spans="1:27">
      <c r="B21" s="76" t="s">
        <v>35</v>
      </c>
      <c r="C21" s="76" t="s">
        <v>42</v>
      </c>
      <c r="D21" s="38" t="s">
        <v>108</v>
      </c>
      <c r="E21" s="38">
        <v>0</v>
      </c>
      <c r="F21" s="96" t="str">
        <f t="shared" ref="F21:F30" si="17">_xlfn.CONCAT(C21,B21,E21)</f>
        <v>United StatesFemale0</v>
      </c>
      <c r="G21" s="97">
        <v>5</v>
      </c>
      <c r="H21" s="317">
        <f>INDEX('Appen5a. 2019 LT NCHS_abridged'!$E$4:$P$38,MATCH('DT19'!F21,'Appen5a. 2019 LT NCHS_abridged'!$E$4:$E$38,0),MATCH('DT19'!$H$4,'Appen5a. 2019 LT NCHS_abridged'!$E$4:$P$4,0))</f>
        <v>1.1843052411036256E-3</v>
      </c>
      <c r="I21" s="97">
        <f>VLOOKUP(F21,'Appen1a. py 2020'!$F$4:$G$35,2,FALSE)</f>
        <v>9468037.5399999991</v>
      </c>
      <c r="J21" s="97">
        <f>VLOOKUP(F21,'Appen2a. Deaths 2020'!$F$3:$H$33,3,FALSE)</f>
        <v>20</v>
      </c>
      <c r="K21" s="98">
        <f t="shared" ref="K21:K30" si="18">H21*I21</f>
        <v>11213.046481587877</v>
      </c>
      <c r="L21" s="98">
        <f t="shared" ref="L21:L30" si="19">H21*(I21-J21)+J21</f>
        <v>11233.022795483055</v>
      </c>
      <c r="M21" s="99">
        <f t="shared" ref="M21:M30" si="20">K21/L21</f>
        <v>0.99822164396361668</v>
      </c>
      <c r="N21" s="99">
        <f t="shared" ref="N21:N30" si="21">L21/K21</f>
        <v>1.0017815242207353</v>
      </c>
      <c r="O21" s="99">
        <f>INDEX('Appen5a. 2019 LT NCHS_abridged'!$E$4:$I$38,MATCH('DT19'!F21,'Appen5a. 2019 LT NCHS_abridged'!$E$4:$E$38,0),MATCH('DT19'!$O$4,'Appen5a. 2019 LT NCHS_abridged'!$E$4:$I$4,0))</f>
        <v>0.99411000000000005</v>
      </c>
      <c r="P21" s="99">
        <f>EXP((1/M21)*LN(O21))</f>
        <v>0.99409953784065219</v>
      </c>
      <c r="Q21" s="99">
        <f t="shared" ref="Q21:Q30" si="22">1-P21</f>
        <v>5.9004621593478079E-3</v>
      </c>
      <c r="R21" s="316">
        <f>INDEX('Appen5a. 2019 LT NCHS_abridged'!$E$4:$N$38,MATCH('DT19'!F21,'Appen5a. 2019 LT NCHS_abridged'!$E$4:$E$38,0),MATCH('DT19'!$R$4,'Appen5a. 2019 LT NCHS_abridged'!$E$4:$N$4,0))</f>
        <v>0.48047538200339557</v>
      </c>
      <c r="S21" s="115">
        <f t="shared" ref="S21:S29" si="23">G21+(R21-G21)*N21*(1-O21)/(1-P21)</f>
        <v>0.48045162318211254</v>
      </c>
      <c r="T21" s="116">
        <v>100000</v>
      </c>
      <c r="U21" s="116">
        <f t="shared" ref="U21:U30" si="24">Q21*T21</f>
        <v>590.04621593478078</v>
      </c>
      <c r="V21" s="117">
        <f t="shared" ref="V21:V30" si="25">U21/W21</f>
        <v>1.1864201859391481E-3</v>
      </c>
      <c r="W21" s="116">
        <f t="shared" ref="W21:W29" si="26">(T22*G21)+S21*U21</f>
        <v>497333.25758252438</v>
      </c>
      <c r="X21" s="116">
        <f t="shared" ref="X21:X29" si="27">X22+W21</f>
        <v>8031060.5818393249</v>
      </c>
      <c r="Y21" s="118">
        <f t="shared" ref="Y21:Y30" si="28">X21/T21</f>
        <v>80.310605818393256</v>
      </c>
      <c r="Z21" s="100">
        <f>'Appen5a. 2019 LT NCHS_abridged'!M29</f>
        <v>81.385999999999996</v>
      </c>
      <c r="AA21" s="100">
        <f t="shared" ref="AA21:AA30" si="29">Y21-Z21</f>
        <v>-1.0753941816067396</v>
      </c>
    </row>
    <row r="22" spans="1:27">
      <c r="B22" s="76" t="s">
        <v>35</v>
      </c>
      <c r="C22" s="76" t="str">
        <f t="shared" ref="C22:C30" si="30">$C$5</f>
        <v>United States</v>
      </c>
      <c r="D22" s="39" t="s">
        <v>109</v>
      </c>
      <c r="E22" s="39">
        <v>5</v>
      </c>
      <c r="F22" s="96" t="str">
        <f t="shared" si="17"/>
        <v>United StatesFemale5</v>
      </c>
      <c r="G22" s="97">
        <v>10</v>
      </c>
      <c r="H22" s="317">
        <f>INDEX('Appen5a. 2019 LT NCHS_abridged'!$E$4:$P$38,MATCH('DT19'!F22,'Appen5a. 2019 LT NCHS_abridged'!$E$4:$E$38,0),MATCH('DT19'!$H$4,'Appen5a. 2019 LT NCHS_abridged'!$E$4:$P$4,0))</f>
        <v>1.1574435192724795E-4</v>
      </c>
      <c r="I22" s="97">
        <f>VLOOKUP(F22,'Appen1a. py 2020'!$F$4:$G$35,2,FALSE)</f>
        <v>20045138.100000001</v>
      </c>
      <c r="J22" s="97">
        <f>VLOOKUP(F22,'Appen2a. Deaths 2020'!$F$3:$H$33,3,FALSE)</f>
        <v>21</v>
      </c>
      <c r="K22" s="98">
        <f t="shared" si="18"/>
        <v>2320.1115186766865</v>
      </c>
      <c r="L22" s="98">
        <f t="shared" si="19"/>
        <v>2341.1090880452957</v>
      </c>
      <c r="M22" s="99">
        <f t="shared" si="20"/>
        <v>0.99103093081999816</v>
      </c>
      <c r="N22" s="99">
        <f t="shared" si="21"/>
        <v>1.0090502414214062</v>
      </c>
      <c r="O22" s="99">
        <f>INDEX('Appen5a. 2019 LT NCHS_abridged'!$E$4:$I$38,MATCH('DT19'!F22,'Appen5a. 2019 LT NCHS_abridged'!$E$4:$E$38,0),MATCH('DT19'!$O$4,'Appen5a. 2019 LT NCHS_abridged'!$E$4:$I$4,0))</f>
        <v>0.99884318636770575</v>
      </c>
      <c r="P22" s="99">
        <f t="shared" ref="P22:P29" si="31">EXP((1/M22)*LN(O22))</f>
        <v>0.99883272303779169</v>
      </c>
      <c r="Q22" s="99">
        <f t="shared" si="22"/>
        <v>1.1672769622083079E-3</v>
      </c>
      <c r="R22" s="316">
        <f>INDEX('Appen5a. 2019 LT NCHS_abridged'!$E$4:$N$38,MATCH('DT19'!F22,'Appen5a. 2019 LT NCHS_abridged'!$E$4:$E$38,0),MATCH('DT19'!$R$4,'Appen5a. 2019 LT NCHS_abridged'!$E$4:$N$4,0))</f>
        <v>5.2956521739130435</v>
      </c>
      <c r="S22" s="115">
        <f t="shared" si="23"/>
        <v>5.2956275384189677</v>
      </c>
      <c r="T22" s="119">
        <f t="shared" ref="T22:T30" si="32">T21-U21</f>
        <v>99409.953784065219</v>
      </c>
      <c r="U22" s="116">
        <f t="shared" si="24"/>
        <v>116.03894886633194</v>
      </c>
      <c r="V22" s="117">
        <f t="shared" si="25"/>
        <v>1.1679183018389697E-4</v>
      </c>
      <c r="W22" s="116">
        <f t="shared" si="26"/>
        <v>993553.64740513463</v>
      </c>
      <c r="X22" s="116">
        <f t="shared" si="27"/>
        <v>7533727.3242568001</v>
      </c>
      <c r="Y22" s="118">
        <f t="shared" si="28"/>
        <v>75.784436442061889</v>
      </c>
      <c r="Z22" s="100">
        <f>'Appen5a. 2019 LT NCHS_abridged'!M30</f>
        <v>76.865356952449929</v>
      </c>
      <c r="AA22" s="100">
        <f t="shared" si="29"/>
        <v>-1.0809205103880402</v>
      </c>
    </row>
    <row r="23" spans="1:27">
      <c r="B23" s="76" t="s">
        <v>35</v>
      </c>
      <c r="C23" s="76" t="str">
        <f t="shared" si="30"/>
        <v>United States</v>
      </c>
      <c r="D23" s="40" t="s">
        <v>110</v>
      </c>
      <c r="E23" s="40">
        <v>15</v>
      </c>
      <c r="F23" s="96" t="str">
        <f t="shared" si="17"/>
        <v>United StatesFemale15</v>
      </c>
      <c r="G23" s="97">
        <v>10</v>
      </c>
      <c r="H23" s="317">
        <f>INDEX('Appen5a. 2019 LT NCHS_abridged'!$E$4:$P$38,MATCH('DT19'!F23,'Appen5a. 2019 LT NCHS_abridged'!$E$4:$E$38,0),MATCH('DT19'!$H$4,'Appen5a. 2019 LT NCHS_abridged'!$E$4:$P$4,0))</f>
        <v>3.8228960202543364E-4</v>
      </c>
      <c r="I23" s="97">
        <f>VLOOKUP(F23,'Appen1a. py 2020'!$F$4:$G$35,2,FALSE)</f>
        <v>20848863.899999999</v>
      </c>
      <c r="J23" s="97">
        <f>VLOOKUP(F23,'Appen2a. Deaths 2020'!$F$3:$H$33,3,FALSE)</f>
        <v>192</v>
      </c>
      <c r="K23" s="98">
        <f t="shared" si="18"/>
        <v>7970.3038830134301</v>
      </c>
      <c r="L23" s="98">
        <f t="shared" si="19"/>
        <v>8162.2304834098404</v>
      </c>
      <c r="M23" s="99">
        <f t="shared" si="20"/>
        <v>0.97648601068218899</v>
      </c>
      <c r="N23" s="99">
        <f t="shared" si="21"/>
        <v>1.0240802111454559</v>
      </c>
      <c r="O23" s="99">
        <f>INDEX('Appen5a. 2019 LT NCHS_abridged'!$E$4:$I$38,MATCH('DT19'!F23,'Appen5a. 2019 LT NCHS_abridged'!$E$4:$E$38,0),MATCH('DT19'!$O$4,'Appen5a. 2019 LT NCHS_abridged'!$E$4:$I$4,0))</f>
        <v>0.99618312922977759</v>
      </c>
      <c r="P23" s="99">
        <f t="shared" si="31"/>
        <v>0.99609139802930435</v>
      </c>
      <c r="Q23" s="99">
        <f t="shared" si="22"/>
        <v>3.9086019706956465E-3</v>
      </c>
      <c r="R23" s="316">
        <f>INDEX('Appen5a. 2019 LT NCHS_abridged'!$E$4:$N$38,MATCH('DT19'!F23,'Appen5a. 2019 LT NCHS_abridged'!$E$4:$E$38,0),MATCH('DT19'!$R$4,'Appen5a. 2019 LT NCHS_abridged'!$E$4:$N$4,0))</f>
        <v>5.8707124010554086</v>
      </c>
      <c r="S23" s="115">
        <f t="shared" si="23"/>
        <v>5.8705223926588577</v>
      </c>
      <c r="T23" s="119">
        <f t="shared" si="32"/>
        <v>99293.914835198884</v>
      </c>
      <c r="U23" s="116">
        <f t="shared" si="24"/>
        <v>388.10039120294402</v>
      </c>
      <c r="V23" s="117">
        <f t="shared" si="25"/>
        <v>3.9149208425406028E-4</v>
      </c>
      <c r="W23" s="116">
        <f t="shared" si="26"/>
        <v>991336.49647711602</v>
      </c>
      <c r="X23" s="116">
        <f t="shared" si="27"/>
        <v>6540173.6768516656</v>
      </c>
      <c r="Y23" s="118">
        <f t="shared" si="28"/>
        <v>65.866812560533944</v>
      </c>
      <c r="Z23" s="100">
        <f>'Appen5a. 2019 LT NCHS_abridged'!M31</f>
        <v>66.948245649371572</v>
      </c>
      <c r="AA23" s="100">
        <f t="shared" si="29"/>
        <v>-1.0814330888376276</v>
      </c>
    </row>
    <row r="24" spans="1:27">
      <c r="B24" s="76" t="s">
        <v>35</v>
      </c>
      <c r="C24" s="76" t="str">
        <f t="shared" si="30"/>
        <v>United States</v>
      </c>
      <c r="D24" s="40" t="s">
        <v>111</v>
      </c>
      <c r="E24" s="40">
        <v>25</v>
      </c>
      <c r="F24" s="96" t="str">
        <f t="shared" si="17"/>
        <v>United StatesFemale25</v>
      </c>
      <c r="G24" s="97">
        <v>10</v>
      </c>
      <c r="H24" s="317">
        <f>INDEX('Appen5a. 2019 LT NCHS_abridged'!$E$4:$P$38,MATCH('DT19'!F24,'Appen5a. 2019 LT NCHS_abridged'!$E$4:$E$38,0),MATCH('DT19'!$H$4,'Appen5a. 2019 LT NCHS_abridged'!$E$4:$P$4,0))</f>
        <v>7.9131099942579021E-4</v>
      </c>
      <c r="I24" s="97">
        <f>VLOOKUP(F24,'Appen1a. py 2020'!$F$4:$G$35,2,FALSE)</f>
        <v>22612707.699999999</v>
      </c>
      <c r="J24" s="97">
        <f>VLOOKUP(F24,'Appen2a. Deaths 2020'!$F$3:$H$33,3,FALSE)</f>
        <v>788</v>
      </c>
      <c r="K24" s="98">
        <f t="shared" si="18"/>
        <v>17893.684329810261</v>
      </c>
      <c r="L24" s="98">
        <f t="shared" si="19"/>
        <v>18681.060776742714</v>
      </c>
      <c r="M24" s="99">
        <f t="shared" si="20"/>
        <v>0.95785162007969538</v>
      </c>
      <c r="N24" s="99">
        <f t="shared" si="21"/>
        <v>1.0440030366256496</v>
      </c>
      <c r="O24" s="99">
        <f>INDEX('Appen5a. 2019 LT NCHS_abridged'!$E$4:$I$38,MATCH('DT19'!F24,'Appen5a. 2019 LT NCHS_abridged'!$E$4:$E$38,0),MATCH('DT19'!$O$4,'Appen5a. 2019 LT NCHS_abridged'!$E$4:$I$4,0))</f>
        <v>0.99211460113024053</v>
      </c>
      <c r="P24" s="99">
        <f t="shared" si="31"/>
        <v>0.99176905147958883</v>
      </c>
      <c r="Q24" s="99">
        <f t="shared" si="22"/>
        <v>8.2309485204111743E-3</v>
      </c>
      <c r="R24" s="316">
        <f>INDEX('Appen5a. 2019 LT NCHS_abridged'!$E$4:$N$38,MATCH('DT19'!F24,'Appen5a. 2019 LT NCHS_abridged'!$E$4:$E$38,0),MATCH('DT19'!$R$4,'Appen5a. 2019 LT NCHS_abridged'!$E$4:$N$4,0))</f>
        <v>5.5589743589743588</v>
      </c>
      <c r="S24" s="115">
        <f t="shared" si="23"/>
        <v>5.5582018041873491</v>
      </c>
      <c r="T24" s="119">
        <f t="shared" si="32"/>
        <v>98905.814443995943</v>
      </c>
      <c r="U24" s="116">
        <f t="shared" si="24"/>
        <v>814.08866705787057</v>
      </c>
      <c r="V24" s="117">
        <f t="shared" si="25"/>
        <v>8.2611514655433593E-4</v>
      </c>
      <c r="W24" s="116">
        <f t="shared" si="26"/>
        <v>985442.12686739024</v>
      </c>
      <c r="X24" s="116">
        <f t="shared" si="27"/>
        <v>5548837.1803745497</v>
      </c>
      <c r="Y24" s="118">
        <f t="shared" si="28"/>
        <v>56.102234348583238</v>
      </c>
      <c r="Z24" s="100">
        <f>'Appen5a. 2019 LT NCHS_abridged'!M32</f>
        <v>57.182263918234483</v>
      </c>
      <c r="AA24" s="100">
        <f t="shared" si="29"/>
        <v>-1.080029569651245</v>
      </c>
    </row>
    <row r="25" spans="1:27">
      <c r="B25" s="76" t="s">
        <v>35</v>
      </c>
      <c r="C25" s="76" t="str">
        <f t="shared" si="30"/>
        <v>United States</v>
      </c>
      <c r="D25" s="40" t="s">
        <v>112</v>
      </c>
      <c r="E25" s="40">
        <v>35</v>
      </c>
      <c r="F25" s="96" t="str">
        <f t="shared" si="17"/>
        <v>United StatesFemale35</v>
      </c>
      <c r="G25" s="97">
        <v>10</v>
      </c>
      <c r="H25" s="317">
        <f>INDEX('Appen5a. 2019 LT NCHS_abridged'!$E$4:$P$38,MATCH('DT19'!F25,'Appen5a. 2019 LT NCHS_abridged'!$E$4:$E$38,0),MATCH('DT19'!$H$4,'Appen5a. 2019 LT NCHS_abridged'!$E$4:$P$4,0))</f>
        <v>1.4245671684958304E-3</v>
      </c>
      <c r="I25" s="97">
        <f>VLOOKUP(F25,'Appen1a. py 2020'!$F$4:$G$35,2,FALSE)</f>
        <v>21086104.600000001</v>
      </c>
      <c r="J25" s="97">
        <f>VLOOKUP(F25,'Appen2a. Deaths 2020'!$F$3:$H$33,3,FALSE)</f>
        <v>2011</v>
      </c>
      <c r="K25" s="98">
        <f t="shared" si="18"/>
        <v>30038.572324628905</v>
      </c>
      <c r="L25" s="98">
        <f t="shared" si="19"/>
        <v>32046.707520053063</v>
      </c>
      <c r="M25" s="99">
        <f t="shared" si="20"/>
        <v>0.93733723833665039</v>
      </c>
      <c r="N25" s="99">
        <f t="shared" si="21"/>
        <v>1.0668518854265809</v>
      </c>
      <c r="O25" s="99">
        <f>INDEX('Appen5a. 2019 LT NCHS_abridged'!$E$4:$I$38,MATCH('DT19'!F25,'Appen5a. 2019 LT NCHS_abridged'!$E$4:$E$38,0),MATCH('DT19'!$O$4,'Appen5a. 2019 LT NCHS_abridged'!$E$4:$I$4,0))</f>
        <v>0.98584631688354041</v>
      </c>
      <c r="P25" s="99">
        <f t="shared" si="31"/>
        <v>0.98490729190668858</v>
      </c>
      <c r="Q25" s="99">
        <f t="shared" si="22"/>
        <v>1.5092708093311424E-2</v>
      </c>
      <c r="R25" s="316">
        <f>INDEX('Appen5a. 2019 LT NCHS_abridged'!$E$4:$N$38,MATCH('DT19'!F25,'Appen5a. 2019 LT NCHS_abridged'!$E$4:$E$38,0),MATCH('DT19'!$R$4,'Appen5a. 2019 LT NCHS_abridged'!$E$4:$N$4,0))</f>
        <v>5.4377249820014395</v>
      </c>
      <c r="S25" s="115">
        <f t="shared" si="23"/>
        <v>5.4355559701187275</v>
      </c>
      <c r="T25" s="119">
        <f t="shared" si="32"/>
        <v>98091.725776938067</v>
      </c>
      <c r="U25" s="116">
        <f t="shared" si="24"/>
        <v>1480.4697835204781</v>
      </c>
      <c r="V25" s="117">
        <f t="shared" si="25"/>
        <v>1.5197402729213284E-3</v>
      </c>
      <c r="W25" s="116">
        <f t="shared" si="26"/>
        <v>974159.73630457104</v>
      </c>
      <c r="X25" s="116">
        <f t="shared" si="27"/>
        <v>4563395.0535071595</v>
      </c>
      <c r="Y25" s="118">
        <f t="shared" si="28"/>
        <v>46.521712380556771</v>
      </c>
      <c r="Z25" s="100">
        <f>'Appen5a. 2019 LT NCHS_abridged'!M33</f>
        <v>47.592569571109777</v>
      </c>
      <c r="AA25" s="100">
        <f t="shared" si="29"/>
        <v>-1.0708571905530064</v>
      </c>
    </row>
    <row r="26" spans="1:27">
      <c r="B26" s="76" t="s">
        <v>35</v>
      </c>
      <c r="C26" s="76" t="str">
        <f t="shared" si="30"/>
        <v>United States</v>
      </c>
      <c r="D26" s="40" t="s">
        <v>113</v>
      </c>
      <c r="E26" s="40">
        <v>45</v>
      </c>
      <c r="F26" s="96" t="str">
        <f t="shared" si="17"/>
        <v>United StatesFemale45</v>
      </c>
      <c r="G26" s="97">
        <v>10</v>
      </c>
      <c r="H26" s="317">
        <f>INDEX('Appen5a. 2019 LT NCHS_abridged'!$E$4:$P$38,MATCH('DT19'!F26,'Appen5a. 2019 LT NCHS_abridged'!$E$4:$E$38,0),MATCH('DT19'!$H$4,'Appen5a. 2019 LT NCHS_abridged'!$E$4:$P$4,0))</f>
        <v>2.9596051068106538E-3</v>
      </c>
      <c r="I26" s="97">
        <f>VLOOKUP(F26,'Appen1a. py 2020'!$F$4:$G$35,2,FALSE)</f>
        <v>20460697.100000001</v>
      </c>
      <c r="J26" s="97">
        <f>VLOOKUP(F26,'Appen2a. Deaths 2020'!$F$3:$H$33,3,FALSE)</f>
        <v>5579</v>
      </c>
      <c r="K26" s="98">
        <f t="shared" si="18"/>
        <v>60555.583626065942</v>
      </c>
      <c r="L26" s="98">
        <f t="shared" si="19"/>
        <v>66118.071989175049</v>
      </c>
      <c r="M26" s="99">
        <f t="shared" si="20"/>
        <v>0.9158703786157012</v>
      </c>
      <c r="N26" s="99">
        <f t="shared" si="21"/>
        <v>1.0918575634157501</v>
      </c>
      <c r="O26" s="99">
        <f>INDEX('Appen5a. 2019 LT NCHS_abridged'!$E$4:$I$38,MATCH('DT19'!F26,'Appen5a. 2019 LT NCHS_abridged'!$E$4:$E$38,0),MATCH('DT19'!$O$4,'Appen5a. 2019 LT NCHS_abridged'!$E$4:$I$4,0))</f>
        <v>0.97077975772108982</v>
      </c>
      <c r="P26" s="99">
        <f t="shared" si="31"/>
        <v>0.96813885879530814</v>
      </c>
      <c r="Q26" s="99">
        <f t="shared" si="22"/>
        <v>3.1861141204691856E-2</v>
      </c>
      <c r="R26" s="316">
        <f>INDEX('Appen5a. 2019 LT NCHS_abridged'!$E$4:$N$38,MATCH('DT19'!F26,'Appen5a. 2019 LT NCHS_abridged'!$E$4:$E$38,0),MATCH('DT19'!$R$4,'Appen5a. 2019 LT NCHS_abridged'!$E$4:$N$4,0))</f>
        <v>5.6544039617969579</v>
      </c>
      <c r="S26" s="115">
        <f t="shared" si="23"/>
        <v>5.6485116575126879</v>
      </c>
      <c r="T26" s="119">
        <f t="shared" si="32"/>
        <v>96611.255993417595</v>
      </c>
      <c r="U26" s="116">
        <f t="shared" si="24"/>
        <v>3078.1448691689102</v>
      </c>
      <c r="V26" s="117">
        <f t="shared" si="25"/>
        <v>3.2309085298377208E-3</v>
      </c>
      <c r="W26" s="116">
        <f t="shared" si="26"/>
        <v>952718.04841950035</v>
      </c>
      <c r="X26" s="116">
        <f t="shared" si="27"/>
        <v>3589235.3172025885</v>
      </c>
      <c r="Y26" s="118">
        <f t="shared" si="28"/>
        <v>37.151316172177012</v>
      </c>
      <c r="Z26" s="100">
        <f>'Appen5a. 2019 LT NCHS_abridged'!M34</f>
        <v>38.197781866291812</v>
      </c>
      <c r="AA26" s="100">
        <f t="shared" si="29"/>
        <v>-1.0464656941148007</v>
      </c>
    </row>
    <row r="27" spans="1:27">
      <c r="B27" s="76" t="s">
        <v>35</v>
      </c>
      <c r="C27" s="76" t="str">
        <f t="shared" si="30"/>
        <v>United States</v>
      </c>
      <c r="D27" s="40" t="s">
        <v>114</v>
      </c>
      <c r="E27" s="40">
        <v>55</v>
      </c>
      <c r="F27" s="96" t="str">
        <f t="shared" si="17"/>
        <v>United StatesFemale55</v>
      </c>
      <c r="G27" s="97">
        <v>10</v>
      </c>
      <c r="H27" s="317">
        <f>INDEX('Appen5a. 2019 LT NCHS_abridged'!$E$4:$P$38,MATCH('DT19'!F27,'Appen5a. 2019 LT NCHS_abridged'!$E$4:$E$38,0),MATCH('DT19'!$H$4,'Appen5a. 2019 LT NCHS_abridged'!$E$4:$P$4,0))</f>
        <v>6.7089884437427404E-3</v>
      </c>
      <c r="I27" s="97">
        <f>VLOOKUP(F27,'Appen1a. py 2020'!$F$4:$G$35,2,FALSE)</f>
        <v>21929073.600000001</v>
      </c>
      <c r="J27" s="97">
        <f>VLOOKUP(F27,'Appen2a. Deaths 2020'!$F$3:$H$33,3,FALSE)</f>
        <v>15093</v>
      </c>
      <c r="K27" s="98">
        <f t="shared" si="18"/>
        <v>147121.90136438402</v>
      </c>
      <c r="L27" s="98">
        <f t="shared" si="19"/>
        <v>162113.64260180262</v>
      </c>
      <c r="M27" s="99">
        <f t="shared" si="20"/>
        <v>0.90752325962940328</v>
      </c>
      <c r="N27" s="99">
        <f t="shared" si="21"/>
        <v>1.1019001324642197</v>
      </c>
      <c r="O27" s="99">
        <f>INDEX('Appen5a. 2019 LT NCHS_abridged'!$E$4:$I$38,MATCH('DT19'!F27,'Appen5a. 2019 LT NCHS_abridged'!$E$4:$E$38,0),MATCH('DT19'!$O$4,'Appen5a. 2019 LT NCHS_abridged'!$E$4:$I$4,0))</f>
        <v>0.93484950117652066</v>
      </c>
      <c r="P27" s="99">
        <f t="shared" si="31"/>
        <v>0.9284537529719501</v>
      </c>
      <c r="Q27" s="99">
        <f t="shared" si="22"/>
        <v>7.1546247028049903E-2</v>
      </c>
      <c r="R27" s="316">
        <f>INDEX('Appen5a. 2019 LT NCHS_abridged'!$E$4:$N$38,MATCH('DT19'!F27,'Appen5a. 2019 LT NCHS_abridged'!$E$4:$E$38,0),MATCH('DT19'!$R$4,'Appen5a. 2019 LT NCHS_abridged'!$E$4:$N$4,0))</f>
        <v>5.5630004902761891</v>
      </c>
      <c r="S27" s="115">
        <f t="shared" si="23"/>
        <v>5.5479246755137366</v>
      </c>
      <c r="T27" s="119">
        <f t="shared" si="32"/>
        <v>93533.11112424868</v>
      </c>
      <c r="U27" s="116">
        <f t="shared" si="24"/>
        <v>6691.9430737975381</v>
      </c>
      <c r="V27" s="117">
        <f t="shared" si="25"/>
        <v>7.3900184284288063E-3</v>
      </c>
      <c r="W27" s="116">
        <f t="shared" si="26"/>
        <v>905538.07661076612</v>
      </c>
      <c r="X27" s="116">
        <f t="shared" si="27"/>
        <v>2636517.2687830883</v>
      </c>
      <c r="Y27" s="118">
        <f t="shared" si="28"/>
        <v>28.188063425803922</v>
      </c>
      <c r="Z27" s="100">
        <f>'Appen5a. 2019 LT NCHS_abridged'!M35</f>
        <v>29.1773298836256</v>
      </c>
      <c r="AA27" s="100">
        <f t="shared" si="29"/>
        <v>-0.9892664578216781</v>
      </c>
    </row>
    <row r="28" spans="1:27">
      <c r="B28" s="76" t="s">
        <v>35</v>
      </c>
      <c r="C28" s="76" t="str">
        <f t="shared" si="30"/>
        <v>United States</v>
      </c>
      <c r="D28" s="41" t="s">
        <v>117</v>
      </c>
      <c r="E28" s="41">
        <v>65</v>
      </c>
      <c r="F28" s="96" t="str">
        <f t="shared" si="17"/>
        <v>United StatesFemale65</v>
      </c>
      <c r="G28" s="97">
        <v>10</v>
      </c>
      <c r="H28" s="317">
        <f>INDEX('Appen5a. 2019 LT NCHS_abridged'!$E$4:$P$38,MATCH('DT19'!F28,'Appen5a. 2019 LT NCHS_abridged'!$E$4:$E$38,0),MATCH('DT19'!$H$4,'Appen5a. 2019 LT NCHS_abridged'!$E$4:$P$4,0))</f>
        <v>1.4405621327922493E-2</v>
      </c>
      <c r="I28" s="97">
        <f>VLOOKUP(F28,'Appen1a. py 2020'!$F$4:$G$35,2,FALSE)</f>
        <v>17369154.699999999</v>
      </c>
      <c r="J28" s="97">
        <f>VLOOKUP(F28,'Appen2a. Deaths 2020'!$F$3:$H$33,3,FALSE)</f>
        <v>29263</v>
      </c>
      <c r="K28" s="98">
        <f t="shared" si="18"/>
        <v>250213.46539430521</v>
      </c>
      <c r="L28" s="98">
        <f t="shared" si="19"/>
        <v>279054.91369738622</v>
      </c>
      <c r="M28" s="99">
        <f t="shared" si="20"/>
        <v>0.89664597580117378</v>
      </c>
      <c r="N28" s="99">
        <f t="shared" si="21"/>
        <v>1.1152673708332623</v>
      </c>
      <c r="O28" s="99">
        <f>INDEX('Appen5a. 2019 LT NCHS_abridged'!$E$4:$I$38,MATCH('DT19'!F28,'Appen5a. 2019 LT NCHS_abridged'!$E$4:$E$38,0),MATCH('DT19'!$O$4,'Appen5a. 2019 LT NCHS_abridged'!$E$4:$I$4,0))</f>
        <v>0.86447916903942967</v>
      </c>
      <c r="P28" s="99">
        <f t="shared" si="31"/>
        <v>0.85008899508863922</v>
      </c>
      <c r="Q28" s="99">
        <f t="shared" si="22"/>
        <v>0.14991100491136078</v>
      </c>
      <c r="R28" s="316">
        <f>INDEX('Appen5a. 2019 LT NCHS_abridged'!$E$4:$N$38,MATCH('DT19'!F28,'Appen5a. 2019 LT NCHS_abridged'!$E$4:$E$38,0),MATCH('DT19'!$R$4,'Appen5a. 2019 LT NCHS_abridged'!$E$4:$N$4,0))</f>
        <v>5.6279519287335074</v>
      </c>
      <c r="S28" s="115">
        <f t="shared" si="23"/>
        <v>5.592051972686952</v>
      </c>
      <c r="T28" s="119">
        <f t="shared" si="32"/>
        <v>86841.168050451146</v>
      </c>
      <c r="U28" s="116">
        <f t="shared" si="24"/>
        <v>13018.446770119488</v>
      </c>
      <c r="V28" s="117">
        <f t="shared" si="25"/>
        <v>1.6051803537891565E-2</v>
      </c>
      <c r="W28" s="116">
        <f t="shared" si="26"/>
        <v>811027.04374548339</v>
      </c>
      <c r="X28" s="116">
        <f t="shared" si="27"/>
        <v>1730979.1921723222</v>
      </c>
      <c r="Y28" s="118">
        <f t="shared" si="28"/>
        <v>19.932702784083862</v>
      </c>
      <c r="Z28" s="100">
        <f>'Appen5a. 2019 LT NCHS_abridged'!M36</f>
        <v>20.823033643880549</v>
      </c>
      <c r="AA28" s="100">
        <f t="shared" si="29"/>
        <v>-0.89033085979668769</v>
      </c>
    </row>
    <row r="29" spans="1:27">
      <c r="B29" s="76" t="s">
        <v>35</v>
      </c>
      <c r="C29" s="76" t="str">
        <f t="shared" si="30"/>
        <v>United States</v>
      </c>
      <c r="D29" s="41" t="s">
        <v>116</v>
      </c>
      <c r="E29" s="41">
        <v>75</v>
      </c>
      <c r="F29" s="96" t="str">
        <f t="shared" si="17"/>
        <v>United StatesFemale75</v>
      </c>
      <c r="G29" s="97">
        <v>10</v>
      </c>
      <c r="H29" s="317">
        <f>INDEX('Appen5a. 2019 LT NCHS_abridged'!$E$4:$P$38,MATCH('DT19'!F29,'Appen5a. 2019 LT NCHS_abridged'!$E$4:$E$38,0),MATCH('DT19'!$H$4,'Appen5a. 2019 LT NCHS_abridged'!$E$4:$P$4,0))</f>
        <v>3.9582127614797305E-2</v>
      </c>
      <c r="I29" s="97">
        <f>VLOOKUP(F29,'Appen1a. py 2020'!$F$4:$G$35,2,FALSE)</f>
        <v>9235949.0099999998</v>
      </c>
      <c r="J29" s="97">
        <f>VLOOKUP(F29,'Appen2a. Deaths 2020'!$F$3:$H$33,3,FALSE)</f>
        <v>42311</v>
      </c>
      <c r="K29" s="98">
        <f t="shared" si="18"/>
        <v>365578.51235758082</v>
      </c>
      <c r="L29" s="98">
        <f t="shared" si="19"/>
        <v>406214.75295607111</v>
      </c>
      <c r="M29" s="99">
        <f t="shared" si="20"/>
        <v>0.89996365148538859</v>
      </c>
      <c r="N29" s="99">
        <f t="shared" si="21"/>
        <v>1.1111559876329467</v>
      </c>
      <c r="O29" s="99">
        <f>INDEX('Appen5a. 2019 LT NCHS_abridged'!$E$4:$I$38,MATCH('DT19'!F29,'Appen5a. 2019 LT NCHS_abridged'!$E$4:$E$38,0),MATCH('DT19'!$O$4,'Appen5a. 2019 LT NCHS_abridged'!$E$4:$I$4,0))</f>
        <v>0.66300409733475618</v>
      </c>
      <c r="P29" s="99">
        <f t="shared" si="31"/>
        <v>0.63339797508455731</v>
      </c>
      <c r="Q29" s="99">
        <f t="shared" si="22"/>
        <v>0.36660202491544269</v>
      </c>
      <c r="R29" s="316">
        <f>INDEX('Appen5a. 2019 LT NCHS_abridged'!$E$4:$N$38,MATCH('DT19'!F29,'Appen5a. 2019 LT NCHS_abridged'!$E$4:$E$38,0),MATCH('DT19'!$R$4,'Appen5a. 2019 LT NCHS_abridged'!$E$4:$N$4,0))</f>
        <v>5.5899761523124436</v>
      </c>
      <c r="S29" s="115">
        <f t="shared" si="23"/>
        <v>5.4955089332734683</v>
      </c>
      <c r="T29" s="119">
        <f t="shared" si="32"/>
        <v>73822.721280331665</v>
      </c>
      <c r="U29" s="116">
        <f t="shared" si="24"/>
        <v>27063.559106137931</v>
      </c>
      <c r="V29" s="117">
        <f t="shared" si="25"/>
        <v>4.3911562762969591E-2</v>
      </c>
      <c r="W29" s="116">
        <f t="shared" si="26"/>
        <v>616319.65257589286</v>
      </c>
      <c r="X29" s="116">
        <f t="shared" si="27"/>
        <v>919952.1484268388</v>
      </c>
      <c r="Y29" s="118">
        <f t="shared" si="28"/>
        <v>12.461639620862073</v>
      </c>
      <c r="Z29" s="100">
        <f>'Appen5a. 2019 LT NCHS_abridged'!M37</f>
        <v>13.205103882586986</v>
      </c>
      <c r="AA29" s="100">
        <f t="shared" si="29"/>
        <v>-0.7434642617249132</v>
      </c>
    </row>
    <row r="30" spans="1:27">
      <c r="B30" s="76" t="s">
        <v>35</v>
      </c>
      <c r="C30" s="76" t="str">
        <f t="shared" si="30"/>
        <v>United States</v>
      </c>
      <c r="D30" s="41" t="s">
        <v>115</v>
      </c>
      <c r="E30" s="41">
        <v>85</v>
      </c>
      <c r="F30" s="96" t="str">
        <f t="shared" si="17"/>
        <v>United StatesFemale85</v>
      </c>
      <c r="G30" s="97" t="s">
        <v>37</v>
      </c>
      <c r="H30" s="317">
        <f>INDEX('Appen5a. 2019 LT NCHS_abridged'!$E$4:$P$38,MATCH('DT19'!F30,'Appen5a. 2019 LT NCHS_abridged'!$E$4:$E$38,0),MATCH('DT19'!$H$4,'Appen5a. 2019 LT NCHS_abridged'!$E$4:$P$4,0))</f>
        <v>0.14132739460965343</v>
      </c>
      <c r="I30" s="97">
        <f>VLOOKUP(F30,'Appen1a. py 2020'!$F$4:$G$35,2,FALSE)</f>
        <v>4271744.18</v>
      </c>
      <c r="J30" s="97">
        <f>VLOOKUP(F30,'Appen2a. Deaths 2020'!$F$3:$H$33,3,FALSE)</f>
        <v>63040</v>
      </c>
      <c r="K30" s="98">
        <f t="shared" si="18"/>
        <v>603714.47539835039</v>
      </c>
      <c r="L30" s="98">
        <f t="shared" si="19"/>
        <v>657845.19644215785</v>
      </c>
      <c r="M30" s="99">
        <f t="shared" si="20"/>
        <v>0.91771510784518284</v>
      </c>
      <c r="N30" s="99">
        <f t="shared" si="21"/>
        <v>1.0896627847263232</v>
      </c>
      <c r="O30" s="99">
        <f>INDEX('Appen5a. 2019 LT NCHS_abridged'!$E$4:$I$38,MATCH('DT19'!F30,'Appen5a. 2019 LT NCHS_abridged'!$E$4:$E$38,0),MATCH('DT19'!$O$4,'Appen5a. 2019 LT NCHS_abridged'!$E$4:$I$4,0))</f>
        <v>0</v>
      </c>
      <c r="P30" s="99">
        <v>0</v>
      </c>
      <c r="Q30" s="99">
        <f t="shared" si="22"/>
        <v>1</v>
      </c>
      <c r="R30" s="316">
        <f>INDEX('Appen5a. 2019 LT NCHS_abridged'!$E$4:$N$38,MATCH('DT19'!F30,'Appen5a. 2019 LT NCHS_abridged'!$E$4:$E$38,0),MATCH('DT19'!$R$4,'Appen5a. 2019 LT NCHS_abridged'!$E$4:$N$4,0))</f>
        <v>7.0757690167713214</v>
      </c>
      <c r="S30" s="115">
        <f>R30*M30</f>
        <v>6.4935401263138965</v>
      </c>
      <c r="T30" s="119">
        <f t="shared" si="32"/>
        <v>46759.162174193734</v>
      </c>
      <c r="U30" s="116">
        <f t="shared" si="24"/>
        <v>46759.162174193734</v>
      </c>
      <c r="V30" s="117">
        <f t="shared" si="25"/>
        <v>0.15399920236847092</v>
      </c>
      <c r="W30" s="116">
        <f>U30*S30</f>
        <v>303632.49585094594</v>
      </c>
      <c r="X30" s="116">
        <f>W30</f>
        <v>303632.49585094594</v>
      </c>
      <c r="Y30" s="118">
        <f t="shared" si="28"/>
        <v>6.4935401263138965</v>
      </c>
      <c r="Z30" s="100">
        <f>'Appen5a. 2019 LT NCHS_abridged'!M38</f>
        <v>7.0757690167713214</v>
      </c>
      <c r="AA30" s="100">
        <f t="shared" si="29"/>
        <v>-0.58222889045742487</v>
      </c>
    </row>
    <row r="31" spans="1:27" ht="15.45" customHeight="1">
      <c r="B31" s="110"/>
      <c r="C31" s="110"/>
      <c r="D31" s="111" t="s">
        <v>3</v>
      </c>
      <c r="E31" s="112"/>
      <c r="F31" s="112"/>
      <c r="G31" s="112"/>
      <c r="H31" s="112"/>
      <c r="I31" s="112"/>
      <c r="J31" s="112"/>
      <c r="K31" s="112"/>
      <c r="L31" s="112"/>
      <c r="M31" s="112"/>
      <c r="N31" s="112"/>
      <c r="O31" s="112"/>
      <c r="P31" s="112"/>
      <c r="Q31" s="112"/>
      <c r="R31" s="112"/>
      <c r="S31" s="110"/>
      <c r="T31" s="110"/>
      <c r="U31" s="110"/>
      <c r="V31" s="110"/>
      <c r="W31" s="110"/>
      <c r="X31" s="110"/>
      <c r="Y31" s="110"/>
      <c r="Z31" s="112"/>
      <c r="AA31" s="112"/>
    </row>
    <row r="32" spans="1:27" ht="15.45" customHeight="1">
      <c r="D32" s="63"/>
    </row>
    <row r="33" spans="2:27" ht="15.45" customHeight="1">
      <c r="D33" s="63"/>
    </row>
    <row r="34" spans="2:27" ht="15.45" customHeight="1">
      <c r="C34" s="7" t="str">
        <f>_xlfn.CONCAT(C39," ",B39," DT19")</f>
        <v>United States Male DT19</v>
      </c>
    </row>
    <row r="35" spans="2:27" ht="12.45" customHeight="1">
      <c r="C35" s="7"/>
    </row>
    <row r="36" spans="2:27" s="104" customFormat="1" ht="25.5" customHeight="1">
      <c r="B36" s="108" t="s">
        <v>0</v>
      </c>
      <c r="C36" s="108" t="s">
        <v>122</v>
      </c>
      <c r="D36" s="108" t="s">
        <v>41</v>
      </c>
      <c r="E36" s="108" t="s">
        <v>118</v>
      </c>
      <c r="F36" s="108" t="s">
        <v>36</v>
      </c>
      <c r="G36" s="108" t="s">
        <v>5</v>
      </c>
      <c r="H36" s="109" t="s">
        <v>275</v>
      </c>
      <c r="I36" s="109" t="s">
        <v>348</v>
      </c>
      <c r="J36" s="109" t="s">
        <v>276</v>
      </c>
      <c r="K36" s="109" t="s">
        <v>346</v>
      </c>
      <c r="L36" s="109" t="s">
        <v>277</v>
      </c>
      <c r="M36" s="109" t="s">
        <v>278</v>
      </c>
      <c r="N36" s="109" t="s">
        <v>279</v>
      </c>
      <c r="O36" s="108" t="s">
        <v>292</v>
      </c>
      <c r="P36" s="109" t="s">
        <v>281</v>
      </c>
      <c r="Q36" s="109" t="s">
        <v>282</v>
      </c>
      <c r="R36" s="109" t="s">
        <v>283</v>
      </c>
      <c r="S36" s="109" t="s">
        <v>284</v>
      </c>
      <c r="T36" s="108" t="s">
        <v>285</v>
      </c>
      <c r="U36" s="108" t="s">
        <v>286</v>
      </c>
      <c r="V36" s="109" t="s">
        <v>287</v>
      </c>
      <c r="W36" s="109" t="s">
        <v>288</v>
      </c>
      <c r="X36" s="109" t="s">
        <v>289</v>
      </c>
      <c r="Y36" s="108" t="s">
        <v>290</v>
      </c>
      <c r="Z36" s="109" t="s">
        <v>291</v>
      </c>
      <c r="AA36" s="109" t="s">
        <v>121</v>
      </c>
    </row>
    <row r="37" spans="2:27">
      <c r="B37" s="76" t="s">
        <v>34</v>
      </c>
      <c r="C37" s="76" t="s">
        <v>42</v>
      </c>
      <c r="D37" s="38" t="s">
        <v>108</v>
      </c>
      <c r="E37" s="38">
        <v>0</v>
      </c>
      <c r="F37" s="96" t="str">
        <f t="shared" ref="F37:F46" si="33">_xlfn.CONCAT(C37,B37,E37)</f>
        <v>United StatesMale0</v>
      </c>
      <c r="G37" s="97">
        <v>5</v>
      </c>
      <c r="H37" s="317">
        <f>INDEX('Appen5a. 2019 LT NCHS_abridged'!$E$4:$P$38,MATCH('DT19'!F37,'Appen5a. 2019 LT NCHS_abridged'!$E$4:$E$38,0),MATCH('DT19'!$H$4,'Appen5a. 2019 LT NCHS_abridged'!$E$4:$P$4,0))</f>
        <v>1.4275290074551594E-3</v>
      </c>
      <c r="I37" s="97">
        <f>VLOOKUP(F37,'Appen1a. py 2020'!$F$4:$G$35,2,FALSE)</f>
        <v>9907528.2899999991</v>
      </c>
      <c r="J37" s="97">
        <f>VLOOKUP(F37,'Appen2a. Deaths 2020'!$F$3:$H$33,3,FALSE)</f>
        <v>34</v>
      </c>
      <c r="K37" s="98">
        <f t="shared" ref="K37:K46" si="34">H37*I37</f>
        <v>14143.284026157611</v>
      </c>
      <c r="L37" s="98">
        <f t="shared" ref="L37:L46" si="35">H37*(I37-J37)+J37</f>
        <v>14177.235490171357</v>
      </c>
      <c r="M37" s="99">
        <f t="shared" ref="M37:M46" si="36">K37/L37</f>
        <v>0.99760521266383118</v>
      </c>
      <c r="N37" s="99">
        <f t="shared" ref="N37:N46" si="37">L37/K37</f>
        <v>1.0024005361096442</v>
      </c>
      <c r="O37" s="99">
        <f>INDEX('Appen5a. 2019 LT NCHS_abridged'!$E$4:$I$38,MATCH('DT19'!F37,'Appen5a. 2019 LT NCHS_abridged'!$E$4:$E$38,0),MATCH('DT19'!$O$4,'Appen5a. 2019 LT NCHS_abridged'!$E$4:$I$4,0))</f>
        <v>0.99290812500000003</v>
      </c>
      <c r="P37" s="99">
        <f>EXP((1/M37)*LN(O37))</f>
        <v>0.99289116135321387</v>
      </c>
      <c r="Q37" s="99">
        <f t="shared" ref="Q37:Q46" si="38">1-P37</f>
        <v>7.1088386467861309E-3</v>
      </c>
      <c r="R37" s="316">
        <f>INDEX('Appen5a. 2019 LT NCHS_abridged'!$E$4:$N$38,MATCH('DT19'!F37,'Appen5a. 2019 LT NCHS_abridged'!$E$4:$E$38,0),MATCH('DT19'!$R$4,'Appen5a. 2019 LT NCHS_abridged'!$E$4:$N$4,0))</f>
        <v>0.47899224464616197</v>
      </c>
      <c r="S37" s="115">
        <f t="shared" ref="S37:S45" si="39">G37+(R37-G37)*N37*(1-O37)/(1-P37)</f>
        <v>0.47895366973851683</v>
      </c>
      <c r="T37" s="116">
        <v>100000</v>
      </c>
      <c r="U37" s="116">
        <f t="shared" ref="U37:U46" si="40">Q37*T37</f>
        <v>710.88386467861312</v>
      </c>
      <c r="V37" s="117">
        <f t="shared" ref="V37:V46" si="41">U37/W37</f>
        <v>1.4309658026372047E-3</v>
      </c>
      <c r="W37" s="116">
        <f t="shared" ref="W37:W45" si="42">(T38*G37)+S37*U37</f>
        <v>496786.06111235265</v>
      </c>
      <c r="X37" s="116">
        <f t="shared" ref="X37:X45" si="43">X38+W37</f>
        <v>7501627.7867561206</v>
      </c>
      <c r="Y37" s="118">
        <f t="shared" ref="Y37:Y46" si="44">X37/T37</f>
        <v>75.0162778675612</v>
      </c>
      <c r="Z37" s="100">
        <f>'Appen5a. 2019 LT NCHS_abridged'!M17</f>
        <v>76.31130025634765</v>
      </c>
      <c r="AA37" s="100">
        <f t="shared" ref="AA37:AA46" si="45">Y37-Z37</f>
        <v>-1.2950223887864496</v>
      </c>
    </row>
    <row r="38" spans="2:27">
      <c r="B38" s="76" t="s">
        <v>34</v>
      </c>
      <c r="C38" s="76" t="str">
        <f t="shared" ref="C38:C46" si="46">$C$5</f>
        <v>United States</v>
      </c>
      <c r="D38" s="39" t="s">
        <v>109</v>
      </c>
      <c r="E38" s="39">
        <v>5</v>
      </c>
      <c r="F38" s="96" t="str">
        <f t="shared" si="33"/>
        <v>United StatesMale5</v>
      </c>
      <c r="G38" s="97">
        <v>10</v>
      </c>
      <c r="H38" s="317">
        <f>INDEX('Appen5a. 2019 LT NCHS_abridged'!$E$4:$P$38,MATCH('DT19'!F38,'Appen5a. 2019 LT NCHS_abridged'!$E$4:$E$38,0),MATCH('DT19'!$H$4,'Appen5a. 2019 LT NCHS_abridged'!$E$4:$P$4,0))</f>
        <v>1.5162572133134105E-4</v>
      </c>
      <c r="I38" s="97">
        <f>VLOOKUP(F38,'Appen1a. py 2020'!$F$4:$G$35,2,FALSE)</f>
        <v>20937180.300000001</v>
      </c>
      <c r="J38" s="97">
        <f>VLOOKUP(F38,'Appen2a. Deaths 2020'!$F$3:$H$33,3,FALSE)</f>
        <v>28</v>
      </c>
      <c r="K38" s="98">
        <f t="shared" si="34"/>
        <v>3174.6150656318437</v>
      </c>
      <c r="L38" s="98">
        <f t="shared" si="35"/>
        <v>3202.6108201116463</v>
      </c>
      <c r="M38" s="99">
        <f t="shared" si="36"/>
        <v>0.99125845878494012</v>
      </c>
      <c r="N38" s="99">
        <f t="shared" si="37"/>
        <v>1.0088186296294259</v>
      </c>
      <c r="O38" s="99">
        <f>INDEX('Appen5a. 2019 LT NCHS_abridged'!$E$4:$I$38,MATCH('DT19'!F38,'Appen5a. 2019 LT NCHS_abridged'!$E$4:$E$38,0),MATCH('DT19'!$O$4,'Appen5a. 2019 LT NCHS_abridged'!$E$4:$I$4,0))</f>
        <v>0.99848472259203236</v>
      </c>
      <c r="P38" s="99">
        <f t="shared" ref="P38:P45" si="47">EXP((1/M38)*LN(O38))</f>
        <v>0.99847137014025933</v>
      </c>
      <c r="Q38" s="99">
        <f t="shared" si="38"/>
        <v>1.5286298597406711E-3</v>
      </c>
      <c r="R38" s="316">
        <f>INDEX('Appen5a. 2019 LT NCHS_abridged'!$E$4:$N$38,MATCH('DT19'!F38,'Appen5a. 2019 LT NCHS_abridged'!$E$4:$E$38,0),MATCH('DT19'!$R$4,'Appen5a. 2019 LT NCHS_abridged'!$E$4:$N$4,0))</f>
        <v>5.7354346245716066</v>
      </c>
      <c r="S38" s="115">
        <f t="shared" si="39"/>
        <v>5.7354061171152466</v>
      </c>
      <c r="T38" s="119">
        <f t="shared" ref="T38:T46" si="48">T37-U37</f>
        <v>99289.116135321383</v>
      </c>
      <c r="U38" s="116">
        <f t="shared" si="40"/>
        <v>151.77630767171152</v>
      </c>
      <c r="V38" s="117">
        <f t="shared" si="41"/>
        <v>1.5296270213854552E-4</v>
      </c>
      <c r="W38" s="116">
        <f t="shared" si="42"/>
        <v>992243.89703995013</v>
      </c>
      <c r="X38" s="116">
        <f t="shared" si="43"/>
        <v>7004841.725643768</v>
      </c>
      <c r="Y38" s="118">
        <f t="shared" si="44"/>
        <v>70.549945435075202</v>
      </c>
      <c r="Z38" s="100">
        <f>'Appen5a. 2019 LT NCHS_abridged'!M18</f>
        <v>71.852934709566057</v>
      </c>
      <c r="AA38" s="100">
        <f t="shared" si="45"/>
        <v>-1.3029892744908551</v>
      </c>
    </row>
    <row r="39" spans="2:27">
      <c r="B39" s="76" t="s">
        <v>34</v>
      </c>
      <c r="C39" s="76" t="str">
        <f t="shared" si="46"/>
        <v>United States</v>
      </c>
      <c r="D39" s="40" t="s">
        <v>110</v>
      </c>
      <c r="E39" s="40">
        <v>15</v>
      </c>
      <c r="F39" s="96" t="str">
        <f t="shared" si="33"/>
        <v>United StatesMale15</v>
      </c>
      <c r="G39" s="97">
        <v>10</v>
      </c>
      <c r="H39" s="317">
        <f>INDEX('Appen5a. 2019 LT NCHS_abridged'!$E$4:$P$38,MATCH('DT19'!F39,'Appen5a. 2019 LT NCHS_abridged'!$E$4:$E$38,0),MATCH('DT19'!$H$4,'Appen5a. 2019 LT NCHS_abridged'!$E$4:$P$4,0))</f>
        <v>9.9004720121630856E-4</v>
      </c>
      <c r="I39" s="97">
        <f>VLOOKUP(F39,'Appen1a. py 2020'!$F$4:$G$35,2,FALSE)</f>
        <v>21756402</v>
      </c>
      <c r="J39" s="97">
        <f>VLOOKUP(F39,'Appen2a. Deaths 2020'!$F$3:$H$33,3,FALSE)</f>
        <v>309</v>
      </c>
      <c r="K39" s="98">
        <f t="shared" si="34"/>
        <v>21539.864908636897</v>
      </c>
      <c r="L39" s="98">
        <f t="shared" si="35"/>
        <v>21848.55898405172</v>
      </c>
      <c r="M39" s="99">
        <f t="shared" si="36"/>
        <v>0.98587119289468228</v>
      </c>
      <c r="N39" s="99">
        <f t="shared" si="37"/>
        <v>1.0143312911535971</v>
      </c>
      <c r="O39" s="99">
        <f>INDEX('Appen5a. 2019 LT NCHS_abridged'!$E$4:$I$38,MATCH('DT19'!F39,'Appen5a. 2019 LT NCHS_abridged'!$E$4:$E$38,0),MATCH('DT19'!$O$4,'Appen5a. 2019 LT NCHS_abridged'!$E$4:$I$4,0))</f>
        <v>0.99013866546214546</v>
      </c>
      <c r="P39" s="99">
        <f t="shared" si="47"/>
        <v>0.98999804892334342</v>
      </c>
      <c r="Q39" s="99">
        <f t="shared" si="38"/>
        <v>1.0001951076656579E-2</v>
      </c>
      <c r="R39" s="316">
        <f>INDEX('Appen5a. 2019 LT NCHS_abridged'!$E$4:$N$38,MATCH('DT19'!F39,'Appen5a. 2019 LT NCHS_abridged'!$E$4:$E$38,0),MATCH('DT19'!$R$4,'Appen5a. 2019 LT NCHS_abridged'!$E$4:$N$4,0))</f>
        <v>5.991321719673965</v>
      </c>
      <c r="S39" s="115">
        <f t="shared" si="39"/>
        <v>5.9910375126835858</v>
      </c>
      <c r="T39" s="119">
        <f t="shared" si="48"/>
        <v>99137.339827649674</v>
      </c>
      <c r="U39" s="116">
        <f t="shared" si="40"/>
        <v>991.56682282602981</v>
      </c>
      <c r="V39" s="117">
        <f t="shared" si="41"/>
        <v>1.0042217805945094E-3</v>
      </c>
      <c r="W39" s="116">
        <f t="shared" si="42"/>
        <v>987398.24408011965</v>
      </c>
      <c r="X39" s="116">
        <f t="shared" si="43"/>
        <v>6012597.8286038181</v>
      </c>
      <c r="Y39" s="118">
        <f t="shared" si="44"/>
        <v>60.64917455982502</v>
      </c>
      <c r="Z39" s="100">
        <f>'Appen5a. 2019 LT NCHS_abridged'!M19</f>
        <v>61.953273104218717</v>
      </c>
      <c r="AA39" s="100">
        <f t="shared" si="45"/>
        <v>-1.3040985443936961</v>
      </c>
    </row>
    <row r="40" spans="2:27">
      <c r="B40" s="76" t="s">
        <v>34</v>
      </c>
      <c r="C40" s="76" t="str">
        <f t="shared" si="46"/>
        <v>United States</v>
      </c>
      <c r="D40" s="40" t="s">
        <v>111</v>
      </c>
      <c r="E40" s="40">
        <v>25</v>
      </c>
      <c r="F40" s="96" t="str">
        <f t="shared" si="33"/>
        <v>United StatesMale25</v>
      </c>
      <c r="G40" s="97">
        <v>10</v>
      </c>
      <c r="H40" s="317">
        <f>INDEX('Appen5a. 2019 LT NCHS_abridged'!$E$4:$P$38,MATCH('DT19'!F40,'Appen5a. 2019 LT NCHS_abridged'!$E$4:$E$38,0),MATCH('DT19'!$H$4,'Appen5a. 2019 LT NCHS_abridged'!$E$4:$P$4,0))</f>
        <v>1.7743966131797673E-3</v>
      </c>
      <c r="I40" s="97">
        <f>VLOOKUP(F40,'Appen1a. py 2020'!$F$4:$G$35,2,FALSE)</f>
        <v>23427859.600000001</v>
      </c>
      <c r="J40" s="97">
        <f>VLOOKUP(F40,'Appen2a. Deaths 2020'!$F$3:$H$33,3,FALSE)</f>
        <v>1466</v>
      </c>
      <c r="K40" s="98">
        <f t="shared" si="34"/>
        <v>41570.314728291101</v>
      </c>
      <c r="L40" s="98">
        <f t="shared" si="35"/>
        <v>43033.713462856176</v>
      </c>
      <c r="M40" s="99">
        <f t="shared" si="36"/>
        <v>0.96599413304575299</v>
      </c>
      <c r="N40" s="99">
        <f t="shared" si="37"/>
        <v>1.0352029746257645</v>
      </c>
      <c r="O40" s="99">
        <f>INDEX('Appen5a. 2019 LT NCHS_abridged'!$E$4:$I$38,MATCH('DT19'!F40,'Appen5a. 2019 LT NCHS_abridged'!$E$4:$E$38,0),MATCH('DT19'!$O$4,'Appen5a. 2019 LT NCHS_abridged'!$E$4:$I$4,0))</f>
        <v>0.98240357646019139</v>
      </c>
      <c r="P40" s="99">
        <f t="shared" si="47"/>
        <v>0.98178980409304473</v>
      </c>
      <c r="Q40" s="99">
        <f t="shared" si="38"/>
        <v>1.8210195906955273E-2</v>
      </c>
      <c r="R40" s="316">
        <f>INDEX('Appen5a. 2019 LT NCHS_abridged'!$E$4:$N$38,MATCH('DT19'!F40,'Appen5a. 2019 LT NCHS_abridged'!$E$4:$E$38,0),MATCH('DT19'!$R$4,'Appen5a. 2019 LT NCHS_abridged'!$E$4:$N$4,0))</f>
        <v>5.2745594673806853</v>
      </c>
      <c r="S40" s="115">
        <f t="shared" si="39"/>
        <v>5.2730870753350292</v>
      </c>
      <c r="T40" s="119">
        <f t="shared" si="48"/>
        <v>98145.773004823641</v>
      </c>
      <c r="U40" s="116">
        <f t="shared" si="40"/>
        <v>1787.2537538574009</v>
      </c>
      <c r="V40" s="117">
        <f t="shared" si="41"/>
        <v>1.8368306635906501E-3</v>
      </c>
      <c r="W40" s="116">
        <f t="shared" si="42"/>
        <v>973009.53717947192</v>
      </c>
      <c r="X40" s="116">
        <f t="shared" si="43"/>
        <v>5025199.5845236983</v>
      </c>
      <c r="Y40" s="118">
        <f t="shared" si="44"/>
        <v>51.201385761939243</v>
      </c>
      <c r="Z40" s="100">
        <f>'Appen5a. 2019 LT NCHS_abridged'!M20</f>
        <v>52.510628900173387</v>
      </c>
      <c r="AA40" s="100">
        <f t="shared" si="45"/>
        <v>-1.3092431382341445</v>
      </c>
    </row>
    <row r="41" spans="2:27">
      <c r="B41" s="76" t="s">
        <v>34</v>
      </c>
      <c r="C41" s="76" t="str">
        <f t="shared" si="46"/>
        <v>United States</v>
      </c>
      <c r="D41" s="40" t="s">
        <v>112</v>
      </c>
      <c r="E41" s="40">
        <v>35</v>
      </c>
      <c r="F41" s="96" t="str">
        <f t="shared" si="33"/>
        <v>United StatesMale35</v>
      </c>
      <c r="G41" s="97">
        <v>10</v>
      </c>
      <c r="H41" s="317">
        <f>INDEX('Appen5a. 2019 LT NCHS_abridged'!$E$4:$P$38,MATCH('DT19'!F41,'Appen5a. 2019 LT NCHS_abridged'!$E$4:$E$38,0),MATCH('DT19'!$H$4,'Appen5a. 2019 LT NCHS_abridged'!$E$4:$P$4,0))</f>
        <v>2.5827086924545377E-3</v>
      </c>
      <c r="I41" s="97">
        <f>VLOOKUP(F41,'Appen1a. py 2020'!$F$4:$G$35,2,FALSE)</f>
        <v>21040612.300000001</v>
      </c>
      <c r="J41" s="97">
        <f>VLOOKUP(F41,'Appen2a. Deaths 2020'!$F$3:$H$33,3,FALSE)</f>
        <v>4068</v>
      </c>
      <c r="K41" s="98">
        <f t="shared" si="34"/>
        <v>54341.772281775862</v>
      </c>
      <c r="L41" s="98">
        <f t="shared" si="35"/>
        <v>58399.265822814959</v>
      </c>
      <c r="M41" s="99">
        <f t="shared" si="36"/>
        <v>0.93052149742173729</v>
      </c>
      <c r="N41" s="99">
        <f t="shared" si="37"/>
        <v>1.0746661982240837</v>
      </c>
      <c r="O41" s="99">
        <f>INDEX('Appen5a. 2019 LT NCHS_abridged'!$E$4:$I$38,MATCH('DT19'!F41,'Appen5a. 2019 LT NCHS_abridged'!$E$4:$E$38,0),MATCH('DT19'!$O$4,'Appen5a. 2019 LT NCHS_abridged'!$E$4:$I$4,0))</f>
        <v>0.97448121434930934</v>
      </c>
      <c r="P41" s="99">
        <f t="shared" si="47"/>
        <v>0.97260215873937339</v>
      </c>
      <c r="Q41" s="99">
        <f t="shared" si="38"/>
        <v>2.739784126062661E-2</v>
      </c>
      <c r="R41" s="316">
        <f>INDEX('Appen5a. 2019 LT NCHS_abridged'!$E$4:$N$38,MATCH('DT19'!F41,'Appen5a. 2019 LT NCHS_abridged'!$E$4:$E$38,0),MATCH('DT19'!$R$4,'Appen5a. 2019 LT NCHS_abridged'!$E$4:$N$4,0))</f>
        <v>5.3222189417676997</v>
      </c>
      <c r="S41" s="115">
        <f t="shared" si="39"/>
        <v>5.3177226086101097</v>
      </c>
      <c r="T41" s="119">
        <f t="shared" si="48"/>
        <v>96358.519250966245</v>
      </c>
      <c r="U41" s="116">
        <f t="shared" si="40"/>
        <v>2640.0154145470065</v>
      </c>
      <c r="V41" s="117">
        <f t="shared" si="41"/>
        <v>2.7753879946509348E-3</v>
      </c>
      <c r="W41" s="116">
        <f t="shared" si="42"/>
        <v>951223.90802120825</v>
      </c>
      <c r="X41" s="116">
        <f t="shared" si="43"/>
        <v>4052190.0473442264</v>
      </c>
      <c r="Y41" s="118">
        <f t="shared" si="44"/>
        <v>42.053261910244565</v>
      </c>
      <c r="Z41" s="100">
        <f>'Appen5a. 2019 LT NCHS_abridged'!M21</f>
        <v>43.356702656429619</v>
      </c>
      <c r="AA41" s="100">
        <f t="shared" si="45"/>
        <v>-1.3034407461850535</v>
      </c>
    </row>
    <row r="42" spans="2:27">
      <c r="B42" s="76" t="s">
        <v>34</v>
      </c>
      <c r="C42" s="76" t="str">
        <f t="shared" si="46"/>
        <v>United States</v>
      </c>
      <c r="D42" s="40" t="s">
        <v>113</v>
      </c>
      <c r="E42" s="40">
        <v>45</v>
      </c>
      <c r="F42" s="96" t="str">
        <f t="shared" si="33"/>
        <v>United StatesMale45</v>
      </c>
      <c r="G42" s="97">
        <v>10</v>
      </c>
      <c r="H42" s="317">
        <f>INDEX('Appen5a. 2019 LT NCHS_abridged'!$E$4:$P$38,MATCH('DT19'!F42,'Appen5a. 2019 LT NCHS_abridged'!$E$4:$E$38,0),MATCH('DT19'!$H$4,'Appen5a. 2019 LT NCHS_abridged'!$E$4:$P$4,0))</f>
        <v>4.879151370605057E-3</v>
      </c>
      <c r="I42" s="97">
        <f>VLOOKUP(F42,'Appen1a. py 2020'!$F$4:$G$35,2,FALSE)</f>
        <v>19943075.100000001</v>
      </c>
      <c r="J42" s="97">
        <f>VLOOKUP(F42,'Appen2a. Deaths 2020'!$F$3:$H$33,3,FALSE)</f>
        <v>11385</v>
      </c>
      <c r="K42" s="98">
        <f t="shared" si="34"/>
        <v>97305.282208244593</v>
      </c>
      <c r="L42" s="98">
        <f t="shared" si="35"/>
        <v>108634.73306989025</v>
      </c>
      <c r="M42" s="99">
        <f t="shared" si="36"/>
        <v>0.89571060247962453</v>
      </c>
      <c r="N42" s="99">
        <f t="shared" si="37"/>
        <v>1.1164320230570763</v>
      </c>
      <c r="O42" s="99">
        <f>INDEX('Appen5a. 2019 LT NCHS_abridged'!$E$4:$I$38,MATCH('DT19'!F42,'Appen5a. 2019 LT NCHS_abridged'!$E$4:$E$38,0),MATCH('DT19'!$O$4,'Appen5a. 2019 LT NCHS_abridged'!$E$4:$I$4,0))</f>
        <v>0.95222539231687997</v>
      </c>
      <c r="P42" s="99">
        <f t="shared" si="47"/>
        <v>0.94681337734649451</v>
      </c>
      <c r="Q42" s="99">
        <f t="shared" si="38"/>
        <v>5.3186622653505489E-2</v>
      </c>
      <c r="R42" s="316">
        <f>INDEX('Appen5a. 2019 LT NCHS_abridged'!$E$4:$N$38,MATCH('DT19'!F42,'Appen5a. 2019 LT NCHS_abridged'!$E$4:$E$38,0),MATCH('DT19'!$R$4,'Appen5a. 2019 LT NCHS_abridged'!$E$4:$N$4,0))</f>
        <v>5.6374602379112808</v>
      </c>
      <c r="S42" s="115">
        <f t="shared" si="39"/>
        <v>5.6251174402024962</v>
      </c>
      <c r="T42" s="119">
        <f t="shared" si="48"/>
        <v>93718.503836419244</v>
      </c>
      <c r="U42" s="116">
        <f t="shared" si="40"/>
        <v>4984.5706991987372</v>
      </c>
      <c r="V42" s="117">
        <f t="shared" si="41"/>
        <v>5.4453679331827008E-3</v>
      </c>
      <c r="W42" s="116">
        <f t="shared" si="42"/>
        <v>915378.12694419024</v>
      </c>
      <c r="X42" s="116">
        <f t="shared" si="43"/>
        <v>3100966.139323018</v>
      </c>
      <c r="Y42" s="118">
        <f t="shared" si="44"/>
        <v>33.08808839645576</v>
      </c>
      <c r="Z42" s="100">
        <f>'Appen5a. 2019 LT NCHS_abridged'!M22</f>
        <v>34.352713480401469</v>
      </c>
      <c r="AA42" s="100">
        <f t="shared" si="45"/>
        <v>-1.2646250839457096</v>
      </c>
    </row>
    <row r="43" spans="2:27">
      <c r="B43" s="76" t="s">
        <v>34</v>
      </c>
      <c r="C43" s="76" t="str">
        <f t="shared" si="46"/>
        <v>United States</v>
      </c>
      <c r="D43" s="40" t="s">
        <v>114</v>
      </c>
      <c r="E43" s="40">
        <v>55</v>
      </c>
      <c r="F43" s="96" t="str">
        <f t="shared" si="33"/>
        <v>United StatesMale55</v>
      </c>
      <c r="G43" s="97">
        <v>10</v>
      </c>
      <c r="H43" s="317">
        <f>INDEX('Appen5a. 2019 LT NCHS_abridged'!$E$4:$P$38,MATCH('DT19'!F43,'Appen5a. 2019 LT NCHS_abridged'!$E$4:$E$38,0),MATCH('DT19'!$H$4,'Appen5a. 2019 LT NCHS_abridged'!$E$4:$P$4,0))</f>
        <v>1.1146774645808932E-2</v>
      </c>
      <c r="I43" s="97">
        <f>VLOOKUP(F43,'Appen1a. py 2020'!$F$4:$G$35,2,FALSE)</f>
        <v>20505021.5</v>
      </c>
      <c r="J43" s="97">
        <f>VLOOKUP(F43,'Appen2a. Deaths 2020'!$F$3:$H$33,3,FALSE)</f>
        <v>26997</v>
      </c>
      <c r="K43" s="98">
        <f t="shared" si="34"/>
        <v>228564.85376796706</v>
      </c>
      <c r="L43" s="98">
        <f t="shared" si="35"/>
        <v>255260.92429285415</v>
      </c>
      <c r="M43" s="99">
        <f t="shared" si="36"/>
        <v>0.89541654055025122</v>
      </c>
      <c r="N43" s="99">
        <f t="shared" si="37"/>
        <v>1.1167986682326418</v>
      </c>
      <c r="O43" s="99">
        <f>INDEX('Appen5a. 2019 LT NCHS_abridged'!$E$4:$I$38,MATCH('DT19'!F43,'Appen5a. 2019 LT NCHS_abridged'!$E$4:$E$38,0),MATCH('DT19'!$O$4,'Appen5a. 2019 LT NCHS_abridged'!$E$4:$I$4,0))</f>
        <v>0.89382974516034264</v>
      </c>
      <c r="P43" s="99">
        <f t="shared" si="47"/>
        <v>0.88218857509021065</v>
      </c>
      <c r="Q43" s="99">
        <f t="shared" si="38"/>
        <v>0.11781142490978935</v>
      </c>
      <c r="R43" s="316">
        <f>INDEX('Appen5a. 2019 LT NCHS_abridged'!$E$4:$N$38,MATCH('DT19'!F43,'Appen5a. 2019 LT NCHS_abridged'!$E$4:$E$38,0),MATCH('DT19'!$R$4,'Appen5a. 2019 LT NCHS_abridged'!$E$4:$N$4,0))</f>
        <v>5.5237101804896218</v>
      </c>
      <c r="S43" s="115">
        <f t="shared" si="39"/>
        <v>5.4948574656053362</v>
      </c>
      <c r="T43" s="119">
        <f t="shared" si="48"/>
        <v>88733.933137220505</v>
      </c>
      <c r="U43" s="116">
        <f t="shared" si="40"/>
        <v>10453.871100745922</v>
      </c>
      <c r="V43" s="117">
        <f t="shared" si="41"/>
        <v>1.2441483248658559E-2</v>
      </c>
      <c r="W43" s="116">
        <f t="shared" si="42"/>
        <v>840243.15202715551</v>
      </c>
      <c r="X43" s="116">
        <f t="shared" si="43"/>
        <v>2185588.0123788277</v>
      </c>
      <c r="Y43" s="118">
        <f t="shared" si="44"/>
        <v>24.630802840655971</v>
      </c>
      <c r="Z43" s="100">
        <f>'Appen5a. 2019 LT NCHS_abridged'!M23</f>
        <v>25.79340175573039</v>
      </c>
      <c r="AA43" s="100">
        <f t="shared" si="45"/>
        <v>-1.1625989150744189</v>
      </c>
    </row>
    <row r="44" spans="2:27">
      <c r="B44" s="76" t="s">
        <v>34</v>
      </c>
      <c r="C44" s="76" t="str">
        <f t="shared" si="46"/>
        <v>United States</v>
      </c>
      <c r="D44" s="41" t="s">
        <v>117</v>
      </c>
      <c r="E44" s="41">
        <v>65</v>
      </c>
      <c r="F44" s="96" t="str">
        <f t="shared" si="33"/>
        <v>United StatesMale65</v>
      </c>
      <c r="G44" s="97">
        <v>10</v>
      </c>
      <c r="H44" s="317">
        <f>INDEX('Appen5a. 2019 LT NCHS_abridged'!$E$4:$P$38,MATCH('DT19'!F44,'Appen5a. 2019 LT NCHS_abridged'!$E$4:$E$38,0),MATCH('DT19'!$H$4,'Appen5a. 2019 LT NCHS_abridged'!$E$4:$P$4,0))</f>
        <v>2.2240896053677628E-2</v>
      </c>
      <c r="I44" s="97">
        <f>VLOOKUP(F44,'Appen1a. py 2020'!$F$4:$G$35,2,FALSE)</f>
        <v>15199796.800000001</v>
      </c>
      <c r="J44" s="97">
        <f>VLOOKUP(F44,'Appen2a. Deaths 2020'!$F$3:$H$33,3,FALSE)</f>
        <v>47014</v>
      </c>
      <c r="K44" s="98">
        <f t="shared" si="34"/>
        <v>338057.10066582187</v>
      </c>
      <c r="L44" s="98">
        <f t="shared" si="35"/>
        <v>384025.46717875428</v>
      </c>
      <c r="M44" s="99">
        <f t="shared" si="36"/>
        <v>0.88029865089250636</v>
      </c>
      <c r="N44" s="99">
        <f t="shared" si="37"/>
        <v>1.135978112639537</v>
      </c>
      <c r="O44" s="99">
        <f>INDEX('Appen5a. 2019 LT NCHS_abridged'!$E$4:$I$38,MATCH('DT19'!F44,'Appen5a. 2019 LT NCHS_abridged'!$E$4:$E$38,0),MATCH('DT19'!$O$4,'Appen5a. 2019 LT NCHS_abridged'!$E$4:$I$4,0))</f>
        <v>0.79820421676767617</v>
      </c>
      <c r="P44" s="99">
        <f t="shared" si="47"/>
        <v>0.77411176266655535</v>
      </c>
      <c r="Q44" s="99">
        <f t="shared" si="38"/>
        <v>0.22588823733344465</v>
      </c>
      <c r="R44" s="316">
        <f>INDEX('Appen5a. 2019 LT NCHS_abridged'!$E$4:$N$38,MATCH('DT19'!F44,'Appen5a. 2019 LT NCHS_abridged'!$E$4:$E$38,0),MATCH('DT19'!$R$4,'Appen5a. 2019 LT NCHS_abridged'!$E$4:$N$4,0))</f>
        <v>5.407167874647504</v>
      </c>
      <c r="S44" s="115">
        <f t="shared" si="39"/>
        <v>5.3391083656336065</v>
      </c>
      <c r="T44" s="119">
        <f t="shared" si="48"/>
        <v>78280.062036474585</v>
      </c>
      <c r="U44" s="116">
        <f t="shared" si="40"/>
        <v>17682.545231771943</v>
      </c>
      <c r="V44" s="117">
        <f t="shared" si="41"/>
        <v>2.5246922193496498E-2</v>
      </c>
      <c r="W44" s="116">
        <f t="shared" si="42"/>
        <v>700384.19321967463</v>
      </c>
      <c r="X44" s="116">
        <f t="shared" si="43"/>
        <v>1345344.8603516724</v>
      </c>
      <c r="Y44" s="118">
        <f t="shared" si="44"/>
        <v>17.186302940393801</v>
      </c>
      <c r="Z44" s="100">
        <f>'Appen5a. 2019 LT NCHS_abridged'!M24</f>
        <v>18.201061974823364</v>
      </c>
      <c r="AA44" s="100">
        <f t="shared" si="45"/>
        <v>-1.0147590344295629</v>
      </c>
    </row>
    <row r="45" spans="2:27">
      <c r="B45" s="76" t="s">
        <v>34</v>
      </c>
      <c r="C45" s="76" t="str">
        <f t="shared" si="46"/>
        <v>United States</v>
      </c>
      <c r="D45" s="41" t="s">
        <v>116</v>
      </c>
      <c r="E45" s="41">
        <v>75</v>
      </c>
      <c r="F45" s="96" t="str">
        <f t="shared" si="33"/>
        <v>United StatesMale75</v>
      </c>
      <c r="G45" s="97">
        <v>10</v>
      </c>
      <c r="H45" s="317">
        <f>INDEX('Appen5a. 2019 LT NCHS_abridged'!$E$4:$P$38,MATCH('DT19'!F45,'Appen5a. 2019 LT NCHS_abridged'!$E$4:$E$38,0),MATCH('DT19'!$H$4,'Appen5a. 2019 LT NCHS_abridged'!$E$4:$P$4,0))</f>
        <v>5.3988517464378008E-2</v>
      </c>
      <c r="I45" s="97">
        <f>VLOOKUP(F45,'Appen1a. py 2020'!$F$4:$G$35,2,FALSE)</f>
        <v>7231108.4400000004</v>
      </c>
      <c r="J45" s="97">
        <f>VLOOKUP(F45,'Appen2a. Deaths 2020'!$F$3:$H$33,3,FALSE)</f>
        <v>54719</v>
      </c>
      <c r="K45" s="98">
        <f t="shared" si="34"/>
        <v>390396.82429975126</v>
      </c>
      <c r="L45" s="98">
        <f t="shared" si="35"/>
        <v>442161.62661261793</v>
      </c>
      <c r="M45" s="99">
        <f t="shared" si="36"/>
        <v>0.88292787253060678</v>
      </c>
      <c r="N45" s="99">
        <f t="shared" si="37"/>
        <v>1.1325953468133774</v>
      </c>
      <c r="O45" s="99">
        <f>INDEX('Appen5a. 2019 LT NCHS_abridged'!$E$4:$I$38,MATCH('DT19'!F45,'Appen5a. 2019 LT NCHS_abridged'!$E$4:$E$38,0),MATCH('DT19'!$O$4,'Appen5a. 2019 LT NCHS_abridged'!$E$4:$I$4,0))</f>
        <v>0.56781881600126871</v>
      </c>
      <c r="P45" s="99">
        <f t="shared" si="47"/>
        <v>0.52676770361222525</v>
      </c>
      <c r="Q45" s="99">
        <f t="shared" si="38"/>
        <v>0.47323229638777475</v>
      </c>
      <c r="R45" s="316">
        <f>INDEX('Appen5a. 2019 LT NCHS_abridged'!$E$4:$N$38,MATCH('DT19'!F45,'Appen5a. 2019 LT NCHS_abridged'!$E$4:$E$38,0),MATCH('DT19'!$R$4,'Appen5a. 2019 LT NCHS_abridged'!$E$4:$N$4,0))</f>
        <v>5.3840134119130392</v>
      </c>
      <c r="S45" s="115">
        <f t="shared" si="39"/>
        <v>5.2254681995275698</v>
      </c>
      <c r="T45" s="119">
        <f t="shared" si="48"/>
        <v>60597.516804702638</v>
      </c>
      <c r="U45" s="116">
        <f t="shared" si="40"/>
        <v>28676.702032886202</v>
      </c>
      <c r="V45" s="117">
        <f t="shared" si="41"/>
        <v>6.1136879117632853E-2</v>
      </c>
      <c r="W45" s="116">
        <f t="shared" si="42"/>
        <v>469057.34225833882</v>
      </c>
      <c r="X45" s="116">
        <f t="shared" si="43"/>
        <v>644960.66713199764</v>
      </c>
      <c r="Y45" s="118">
        <f t="shared" si="44"/>
        <v>10.643351429904564</v>
      </c>
      <c r="Z45" s="100">
        <f>'Appen5a. 2019 LT NCHS_abridged'!M25</f>
        <v>11.435514795670633</v>
      </c>
      <c r="AA45" s="100">
        <f t="shared" si="45"/>
        <v>-0.79216336576606849</v>
      </c>
    </row>
    <row r="46" spans="2:27">
      <c r="B46" s="76" t="s">
        <v>34</v>
      </c>
      <c r="C46" s="76" t="str">
        <f t="shared" si="46"/>
        <v>United States</v>
      </c>
      <c r="D46" s="41" t="s">
        <v>115</v>
      </c>
      <c r="E46" s="41">
        <v>85</v>
      </c>
      <c r="F46" s="96" t="str">
        <f t="shared" si="33"/>
        <v>United StatesMale85</v>
      </c>
      <c r="G46" s="97" t="s">
        <v>37</v>
      </c>
      <c r="H46" s="317">
        <f>INDEX('Appen5a. 2019 LT NCHS_abridged'!$E$4:$P$38,MATCH('DT19'!F46,'Appen5a. 2019 LT NCHS_abridged'!$E$4:$E$38,0),MATCH('DT19'!$H$4,'Appen5a. 2019 LT NCHS_abridged'!$E$4:$P$4,0))</f>
        <v>0.16552277406677049</v>
      </c>
      <c r="I46" s="97">
        <f>VLOOKUP(F46,'Appen1a. py 2020'!$F$4:$G$35,2,FALSE)</f>
        <v>2432963.15</v>
      </c>
      <c r="J46" s="97">
        <f>VLOOKUP(F46,'Appen2a. Deaths 2020'!$F$3:$H$33,3,FALSE)</f>
        <v>46489</v>
      </c>
      <c r="K46" s="98">
        <f t="shared" si="34"/>
        <v>402710.8097902282</v>
      </c>
      <c r="L46" s="98">
        <f t="shared" si="35"/>
        <v>441504.82154663815</v>
      </c>
      <c r="M46" s="99">
        <f t="shared" si="36"/>
        <v>0.91213230328830741</v>
      </c>
      <c r="N46" s="99">
        <f t="shared" si="37"/>
        <v>1.0963321838234681</v>
      </c>
      <c r="O46" s="99">
        <f>INDEX('Appen5a. 2019 LT NCHS_abridged'!$E$4:$I$38,MATCH('DT19'!F46,'Appen5a. 2019 LT NCHS_abridged'!$E$4:$E$38,0),MATCH('DT19'!$O$4,'Appen5a. 2019 LT NCHS_abridged'!$E$4:$I$4,0))</f>
        <v>0</v>
      </c>
      <c r="P46" s="99">
        <v>0</v>
      </c>
      <c r="Q46" s="99">
        <f t="shared" si="38"/>
        <v>1</v>
      </c>
      <c r="R46" s="316">
        <f>INDEX('Appen5a. 2019 LT NCHS_abridged'!$E$4:$N$38,MATCH('DT19'!F46,'Appen5a. 2019 LT NCHS_abridged'!$E$4:$E$38,0),MATCH('DT19'!$R$4,'Appen5a. 2019 LT NCHS_abridged'!$E$4:$N$4,0))</f>
        <v>6.0414647207193886</v>
      </c>
      <c r="S46" s="115">
        <f>R46*M46</f>
        <v>5.510615130944827</v>
      </c>
      <c r="T46" s="119">
        <f t="shared" si="48"/>
        <v>31920.814771816436</v>
      </c>
      <c r="U46" s="116">
        <f t="shared" si="40"/>
        <v>31920.814771816436</v>
      </c>
      <c r="V46" s="117">
        <f t="shared" si="41"/>
        <v>0.18146794436514099</v>
      </c>
      <c r="W46" s="116">
        <f>U46*S46</f>
        <v>175903.3248736588</v>
      </c>
      <c r="X46" s="116">
        <f>W46</f>
        <v>175903.3248736588</v>
      </c>
      <c r="Y46" s="118">
        <f t="shared" si="44"/>
        <v>5.510615130944827</v>
      </c>
      <c r="Z46" s="100">
        <f>'Appen5a. 2019 LT NCHS_abridged'!M26</f>
        <v>6.0414647207193886</v>
      </c>
      <c r="AA46" s="100">
        <f t="shared" si="45"/>
        <v>-0.53084958977456154</v>
      </c>
    </row>
    <row r="47" spans="2:27">
      <c r="B47" s="110"/>
      <c r="C47" s="110"/>
      <c r="D47" s="111" t="s">
        <v>3</v>
      </c>
      <c r="E47" s="112"/>
      <c r="F47" s="112"/>
      <c r="G47" s="112"/>
      <c r="H47" s="112"/>
      <c r="I47" s="112"/>
      <c r="J47" s="112"/>
      <c r="K47" s="112"/>
      <c r="L47" s="112"/>
      <c r="M47" s="112"/>
      <c r="N47" s="112"/>
      <c r="O47" s="112"/>
      <c r="P47" s="112"/>
      <c r="Q47" s="112"/>
      <c r="R47" s="112"/>
      <c r="S47" s="110"/>
      <c r="T47" s="110"/>
      <c r="U47" s="110"/>
      <c r="V47" s="110"/>
      <c r="W47" s="110"/>
      <c r="X47" s="110"/>
      <c r="Y47" s="110"/>
      <c r="Z47" s="112"/>
      <c r="AA47" s="11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5C769-5425-7F4F-ACC2-9DFEFCD63B75}">
  <sheetPr>
    <tabColor theme="9"/>
  </sheetPr>
  <dimension ref="A1:AI53"/>
  <sheetViews>
    <sheetView zoomScaleNormal="100" workbookViewId="0"/>
  </sheetViews>
  <sheetFormatPr defaultColWidth="11.5" defaultRowHeight="10.199999999999999"/>
  <cols>
    <col min="1" max="1" width="11.5" style="10"/>
    <col min="2" max="3" width="9.19921875" style="10" customWidth="1"/>
    <col min="4" max="5" width="8.5" style="44" customWidth="1"/>
    <col min="6" max="6" width="23.69921875" style="9" hidden="1" customWidth="1"/>
    <col min="7" max="7" width="11.69921875" style="9" customWidth="1"/>
    <col min="8" max="8" width="12.69921875" style="9" customWidth="1"/>
    <col min="9" max="10" width="15.69921875" style="9" customWidth="1"/>
    <col min="11" max="11" width="11.796875" style="9" customWidth="1"/>
    <col min="12" max="12" width="9.5" style="9" customWidth="1"/>
    <col min="13" max="20" width="15.69921875" style="9" customWidth="1"/>
    <col min="21" max="21" width="15.5" style="9" customWidth="1"/>
    <col min="22" max="28" width="15.69921875" style="9" customWidth="1"/>
    <col min="29" max="32" width="15.69921875" style="9" hidden="1" customWidth="1"/>
    <col min="33" max="33" width="15.69921875" style="10" customWidth="1"/>
    <col min="34" max="259" width="11.5" style="10"/>
    <col min="260" max="260" width="9.19921875" style="10" customWidth="1"/>
    <col min="261" max="275" width="15.69921875" style="10" customWidth="1"/>
    <col min="276" max="276" width="20.19921875" style="10" bestFit="1" customWidth="1"/>
    <col min="277" max="283" width="15.69921875" style="10" customWidth="1"/>
    <col min="284" max="287" width="0" style="10" hidden="1" customWidth="1"/>
    <col min="288" max="288" width="15.69921875" style="10" customWidth="1"/>
    <col min="289" max="515" width="11.5" style="10"/>
    <col min="516" max="516" width="9.19921875" style="10" customWidth="1"/>
    <col min="517" max="531" width="15.69921875" style="10" customWidth="1"/>
    <col min="532" max="532" width="20.19921875" style="10" bestFit="1" customWidth="1"/>
    <col min="533" max="539" width="15.69921875" style="10" customWidth="1"/>
    <col min="540" max="543" width="0" style="10" hidden="1" customWidth="1"/>
    <col min="544" max="544" width="15.69921875" style="10" customWidth="1"/>
    <col min="545" max="771" width="11.5" style="10"/>
    <col min="772" max="772" width="9.19921875" style="10" customWidth="1"/>
    <col min="773" max="787" width="15.69921875" style="10" customWidth="1"/>
    <col min="788" max="788" width="20.19921875" style="10" bestFit="1" customWidth="1"/>
    <col min="789" max="795" width="15.69921875" style="10" customWidth="1"/>
    <col min="796" max="799" width="0" style="10" hidden="1" customWidth="1"/>
    <col min="800" max="800" width="15.69921875" style="10" customWidth="1"/>
    <col min="801" max="1027" width="11.5" style="10"/>
    <col min="1028" max="1028" width="9.19921875" style="10" customWidth="1"/>
    <col min="1029" max="1043" width="15.69921875" style="10" customWidth="1"/>
    <col min="1044" max="1044" width="20.19921875" style="10" bestFit="1" customWidth="1"/>
    <col min="1045" max="1051" width="15.69921875" style="10" customWidth="1"/>
    <col min="1052" max="1055" width="0" style="10" hidden="1" customWidth="1"/>
    <col min="1056" max="1056" width="15.69921875" style="10" customWidth="1"/>
    <col min="1057" max="1283" width="11.5" style="10"/>
    <col min="1284" max="1284" width="9.19921875" style="10" customWidth="1"/>
    <col min="1285" max="1299" width="15.69921875" style="10" customWidth="1"/>
    <col min="1300" max="1300" width="20.19921875" style="10" bestFit="1" customWidth="1"/>
    <col min="1301" max="1307" width="15.69921875" style="10" customWidth="1"/>
    <col min="1308" max="1311" width="0" style="10" hidden="1" customWidth="1"/>
    <col min="1312" max="1312" width="15.69921875" style="10" customWidth="1"/>
    <col min="1313" max="1539" width="11.5" style="10"/>
    <col min="1540" max="1540" width="9.19921875" style="10" customWidth="1"/>
    <col min="1541" max="1555" width="15.69921875" style="10" customWidth="1"/>
    <col min="1556" max="1556" width="20.19921875" style="10" bestFit="1" customWidth="1"/>
    <col min="1557" max="1563" width="15.69921875" style="10" customWidth="1"/>
    <col min="1564" max="1567" width="0" style="10" hidden="1" customWidth="1"/>
    <col min="1568" max="1568" width="15.69921875" style="10" customWidth="1"/>
    <col min="1569" max="1795" width="11.5" style="10"/>
    <col min="1796" max="1796" width="9.19921875" style="10" customWidth="1"/>
    <col min="1797" max="1811" width="15.69921875" style="10" customWidth="1"/>
    <col min="1812" max="1812" width="20.19921875" style="10" bestFit="1" customWidth="1"/>
    <col min="1813" max="1819" width="15.69921875" style="10" customWidth="1"/>
    <col min="1820" max="1823" width="0" style="10" hidden="1" customWidth="1"/>
    <col min="1824" max="1824" width="15.69921875" style="10" customWidth="1"/>
    <col min="1825" max="2051" width="11.5" style="10"/>
    <col min="2052" max="2052" width="9.19921875" style="10" customWidth="1"/>
    <col min="2053" max="2067" width="15.69921875" style="10" customWidth="1"/>
    <col min="2068" max="2068" width="20.19921875" style="10" bestFit="1" customWidth="1"/>
    <col min="2069" max="2075" width="15.69921875" style="10" customWidth="1"/>
    <col min="2076" max="2079" width="0" style="10" hidden="1" customWidth="1"/>
    <col min="2080" max="2080" width="15.69921875" style="10" customWidth="1"/>
    <col min="2081" max="2307" width="11.5" style="10"/>
    <col min="2308" max="2308" width="9.19921875" style="10" customWidth="1"/>
    <col min="2309" max="2323" width="15.69921875" style="10" customWidth="1"/>
    <col min="2324" max="2324" width="20.19921875" style="10" bestFit="1" customWidth="1"/>
    <col min="2325" max="2331" width="15.69921875" style="10" customWidth="1"/>
    <col min="2332" max="2335" width="0" style="10" hidden="1" customWidth="1"/>
    <col min="2336" max="2336" width="15.69921875" style="10" customWidth="1"/>
    <col min="2337" max="2563" width="11.5" style="10"/>
    <col min="2564" max="2564" width="9.19921875" style="10" customWidth="1"/>
    <col min="2565" max="2579" width="15.69921875" style="10" customWidth="1"/>
    <col min="2580" max="2580" width="20.19921875" style="10" bestFit="1" customWidth="1"/>
    <col min="2581" max="2587" width="15.69921875" style="10" customWidth="1"/>
    <col min="2588" max="2591" width="0" style="10" hidden="1" customWidth="1"/>
    <col min="2592" max="2592" width="15.69921875" style="10" customWidth="1"/>
    <col min="2593" max="2819" width="11.5" style="10"/>
    <col min="2820" max="2820" width="9.19921875" style="10" customWidth="1"/>
    <col min="2821" max="2835" width="15.69921875" style="10" customWidth="1"/>
    <col min="2836" max="2836" width="20.19921875" style="10" bestFit="1" customWidth="1"/>
    <col min="2837" max="2843" width="15.69921875" style="10" customWidth="1"/>
    <col min="2844" max="2847" width="0" style="10" hidden="1" customWidth="1"/>
    <col min="2848" max="2848" width="15.69921875" style="10" customWidth="1"/>
    <col min="2849" max="3075" width="11.5" style="10"/>
    <col min="3076" max="3076" width="9.19921875" style="10" customWidth="1"/>
    <col min="3077" max="3091" width="15.69921875" style="10" customWidth="1"/>
    <col min="3092" max="3092" width="20.19921875" style="10" bestFit="1" customWidth="1"/>
    <col min="3093" max="3099" width="15.69921875" style="10" customWidth="1"/>
    <col min="3100" max="3103" width="0" style="10" hidden="1" customWidth="1"/>
    <col min="3104" max="3104" width="15.69921875" style="10" customWidth="1"/>
    <col min="3105" max="3331" width="11.5" style="10"/>
    <col min="3332" max="3332" width="9.19921875" style="10" customWidth="1"/>
    <col min="3333" max="3347" width="15.69921875" style="10" customWidth="1"/>
    <col min="3348" max="3348" width="20.19921875" style="10" bestFit="1" customWidth="1"/>
    <col min="3349" max="3355" width="15.69921875" style="10" customWidth="1"/>
    <col min="3356" max="3359" width="0" style="10" hidden="1" customWidth="1"/>
    <col min="3360" max="3360" width="15.69921875" style="10" customWidth="1"/>
    <col min="3361" max="3587" width="11.5" style="10"/>
    <col min="3588" max="3588" width="9.19921875" style="10" customWidth="1"/>
    <col min="3589" max="3603" width="15.69921875" style="10" customWidth="1"/>
    <col min="3604" max="3604" width="20.19921875" style="10" bestFit="1" customWidth="1"/>
    <col min="3605" max="3611" width="15.69921875" style="10" customWidth="1"/>
    <col min="3612" max="3615" width="0" style="10" hidden="1" customWidth="1"/>
    <col min="3616" max="3616" width="15.69921875" style="10" customWidth="1"/>
    <col min="3617" max="3843" width="11.5" style="10"/>
    <col min="3844" max="3844" width="9.19921875" style="10" customWidth="1"/>
    <col min="3845" max="3859" width="15.69921875" style="10" customWidth="1"/>
    <col min="3860" max="3860" width="20.19921875" style="10" bestFit="1" customWidth="1"/>
    <col min="3861" max="3867" width="15.69921875" style="10" customWidth="1"/>
    <col min="3868" max="3871" width="0" style="10" hidden="1" customWidth="1"/>
    <col min="3872" max="3872" width="15.69921875" style="10" customWidth="1"/>
    <col min="3873" max="4099" width="11.5" style="10"/>
    <col min="4100" max="4100" width="9.19921875" style="10" customWidth="1"/>
    <col min="4101" max="4115" width="15.69921875" style="10" customWidth="1"/>
    <col min="4116" max="4116" width="20.19921875" style="10" bestFit="1" customWidth="1"/>
    <col min="4117" max="4123" width="15.69921875" style="10" customWidth="1"/>
    <col min="4124" max="4127" width="0" style="10" hidden="1" customWidth="1"/>
    <col min="4128" max="4128" width="15.69921875" style="10" customWidth="1"/>
    <col min="4129" max="4355" width="11.5" style="10"/>
    <col min="4356" max="4356" width="9.19921875" style="10" customWidth="1"/>
    <col min="4357" max="4371" width="15.69921875" style="10" customWidth="1"/>
    <col min="4372" max="4372" width="20.19921875" style="10" bestFit="1" customWidth="1"/>
    <col min="4373" max="4379" width="15.69921875" style="10" customWidth="1"/>
    <col min="4380" max="4383" width="0" style="10" hidden="1" customWidth="1"/>
    <col min="4384" max="4384" width="15.69921875" style="10" customWidth="1"/>
    <col min="4385" max="4611" width="11.5" style="10"/>
    <col min="4612" max="4612" width="9.19921875" style="10" customWidth="1"/>
    <col min="4613" max="4627" width="15.69921875" style="10" customWidth="1"/>
    <col min="4628" max="4628" width="20.19921875" style="10" bestFit="1" customWidth="1"/>
    <col min="4629" max="4635" width="15.69921875" style="10" customWidth="1"/>
    <col min="4636" max="4639" width="0" style="10" hidden="1" customWidth="1"/>
    <col min="4640" max="4640" width="15.69921875" style="10" customWidth="1"/>
    <col min="4641" max="4867" width="11.5" style="10"/>
    <col min="4868" max="4868" width="9.19921875" style="10" customWidth="1"/>
    <col min="4869" max="4883" width="15.69921875" style="10" customWidth="1"/>
    <col min="4884" max="4884" width="20.19921875" style="10" bestFit="1" customWidth="1"/>
    <col min="4885" max="4891" width="15.69921875" style="10" customWidth="1"/>
    <col min="4892" max="4895" width="0" style="10" hidden="1" customWidth="1"/>
    <col min="4896" max="4896" width="15.69921875" style="10" customWidth="1"/>
    <col min="4897" max="5123" width="11.5" style="10"/>
    <col min="5124" max="5124" width="9.19921875" style="10" customWidth="1"/>
    <col min="5125" max="5139" width="15.69921875" style="10" customWidth="1"/>
    <col min="5140" max="5140" width="20.19921875" style="10" bestFit="1" customWidth="1"/>
    <col min="5141" max="5147" width="15.69921875" style="10" customWidth="1"/>
    <col min="5148" max="5151" width="0" style="10" hidden="1" customWidth="1"/>
    <col min="5152" max="5152" width="15.69921875" style="10" customWidth="1"/>
    <col min="5153" max="5379" width="11.5" style="10"/>
    <col min="5380" max="5380" width="9.19921875" style="10" customWidth="1"/>
    <col min="5381" max="5395" width="15.69921875" style="10" customWidth="1"/>
    <col min="5396" max="5396" width="20.19921875" style="10" bestFit="1" customWidth="1"/>
    <col min="5397" max="5403" width="15.69921875" style="10" customWidth="1"/>
    <col min="5404" max="5407" width="0" style="10" hidden="1" customWidth="1"/>
    <col min="5408" max="5408" width="15.69921875" style="10" customWidth="1"/>
    <col min="5409" max="5635" width="11.5" style="10"/>
    <col min="5636" max="5636" width="9.19921875" style="10" customWidth="1"/>
    <col min="5637" max="5651" width="15.69921875" style="10" customWidth="1"/>
    <col min="5652" max="5652" width="20.19921875" style="10" bestFit="1" customWidth="1"/>
    <col min="5653" max="5659" width="15.69921875" style="10" customWidth="1"/>
    <col min="5660" max="5663" width="0" style="10" hidden="1" customWidth="1"/>
    <col min="5664" max="5664" width="15.69921875" style="10" customWidth="1"/>
    <col min="5665" max="5891" width="11.5" style="10"/>
    <col min="5892" max="5892" width="9.19921875" style="10" customWidth="1"/>
    <col min="5893" max="5907" width="15.69921875" style="10" customWidth="1"/>
    <col min="5908" max="5908" width="20.19921875" style="10" bestFit="1" customWidth="1"/>
    <col min="5909" max="5915" width="15.69921875" style="10" customWidth="1"/>
    <col min="5916" max="5919" width="0" style="10" hidden="1" customWidth="1"/>
    <col min="5920" max="5920" width="15.69921875" style="10" customWidth="1"/>
    <col min="5921" max="6147" width="11.5" style="10"/>
    <col min="6148" max="6148" width="9.19921875" style="10" customWidth="1"/>
    <col min="6149" max="6163" width="15.69921875" style="10" customWidth="1"/>
    <col min="6164" max="6164" width="20.19921875" style="10" bestFit="1" customWidth="1"/>
    <col min="6165" max="6171" width="15.69921875" style="10" customWidth="1"/>
    <col min="6172" max="6175" width="0" style="10" hidden="1" customWidth="1"/>
    <col min="6176" max="6176" width="15.69921875" style="10" customWidth="1"/>
    <col min="6177" max="6403" width="11.5" style="10"/>
    <col min="6404" max="6404" width="9.19921875" style="10" customWidth="1"/>
    <col min="6405" max="6419" width="15.69921875" style="10" customWidth="1"/>
    <col min="6420" max="6420" width="20.19921875" style="10" bestFit="1" customWidth="1"/>
    <col min="6421" max="6427" width="15.69921875" style="10" customWidth="1"/>
    <col min="6428" max="6431" width="0" style="10" hidden="1" customWidth="1"/>
    <col min="6432" max="6432" width="15.69921875" style="10" customWidth="1"/>
    <col min="6433" max="6659" width="11.5" style="10"/>
    <col min="6660" max="6660" width="9.19921875" style="10" customWidth="1"/>
    <col min="6661" max="6675" width="15.69921875" style="10" customWidth="1"/>
    <col min="6676" max="6676" width="20.19921875" style="10" bestFit="1" customWidth="1"/>
    <col min="6677" max="6683" width="15.69921875" style="10" customWidth="1"/>
    <col min="6684" max="6687" width="0" style="10" hidden="1" customWidth="1"/>
    <col min="6688" max="6688" width="15.69921875" style="10" customWidth="1"/>
    <col min="6689" max="6915" width="11.5" style="10"/>
    <col min="6916" max="6916" width="9.19921875" style="10" customWidth="1"/>
    <col min="6917" max="6931" width="15.69921875" style="10" customWidth="1"/>
    <col min="6932" max="6932" width="20.19921875" style="10" bestFit="1" customWidth="1"/>
    <col min="6933" max="6939" width="15.69921875" style="10" customWidth="1"/>
    <col min="6940" max="6943" width="0" style="10" hidden="1" customWidth="1"/>
    <col min="6944" max="6944" width="15.69921875" style="10" customWidth="1"/>
    <col min="6945" max="7171" width="11.5" style="10"/>
    <col min="7172" max="7172" width="9.19921875" style="10" customWidth="1"/>
    <col min="7173" max="7187" width="15.69921875" style="10" customWidth="1"/>
    <col min="7188" max="7188" width="20.19921875" style="10" bestFit="1" customWidth="1"/>
    <col min="7189" max="7195" width="15.69921875" style="10" customWidth="1"/>
    <col min="7196" max="7199" width="0" style="10" hidden="1" customWidth="1"/>
    <col min="7200" max="7200" width="15.69921875" style="10" customWidth="1"/>
    <col min="7201" max="7427" width="11.5" style="10"/>
    <col min="7428" max="7428" width="9.19921875" style="10" customWidth="1"/>
    <col min="7429" max="7443" width="15.69921875" style="10" customWidth="1"/>
    <col min="7444" max="7444" width="20.19921875" style="10" bestFit="1" customWidth="1"/>
    <col min="7445" max="7451" width="15.69921875" style="10" customWidth="1"/>
    <col min="7452" max="7455" width="0" style="10" hidden="1" customWidth="1"/>
    <col min="7456" max="7456" width="15.69921875" style="10" customWidth="1"/>
    <col min="7457" max="7683" width="11.5" style="10"/>
    <col min="7684" max="7684" width="9.19921875" style="10" customWidth="1"/>
    <col min="7685" max="7699" width="15.69921875" style="10" customWidth="1"/>
    <col min="7700" max="7700" width="20.19921875" style="10" bestFit="1" customWidth="1"/>
    <col min="7701" max="7707" width="15.69921875" style="10" customWidth="1"/>
    <col min="7708" max="7711" width="0" style="10" hidden="1" customWidth="1"/>
    <col min="7712" max="7712" width="15.69921875" style="10" customWidth="1"/>
    <col min="7713" max="7939" width="11.5" style="10"/>
    <col min="7940" max="7940" width="9.19921875" style="10" customWidth="1"/>
    <col min="7941" max="7955" width="15.69921875" style="10" customWidth="1"/>
    <col min="7956" max="7956" width="20.19921875" style="10" bestFit="1" customWidth="1"/>
    <col min="7957" max="7963" width="15.69921875" style="10" customWidth="1"/>
    <col min="7964" max="7967" width="0" style="10" hidden="1" customWidth="1"/>
    <col min="7968" max="7968" width="15.69921875" style="10" customWidth="1"/>
    <col min="7969" max="8195" width="11.5" style="10"/>
    <col min="8196" max="8196" width="9.19921875" style="10" customWidth="1"/>
    <col min="8197" max="8211" width="15.69921875" style="10" customWidth="1"/>
    <col min="8212" max="8212" width="20.19921875" style="10" bestFit="1" customWidth="1"/>
    <col min="8213" max="8219" width="15.69921875" style="10" customWidth="1"/>
    <col min="8220" max="8223" width="0" style="10" hidden="1" customWidth="1"/>
    <col min="8224" max="8224" width="15.69921875" style="10" customWidth="1"/>
    <col min="8225" max="8451" width="11.5" style="10"/>
    <col min="8452" max="8452" width="9.19921875" style="10" customWidth="1"/>
    <col min="8453" max="8467" width="15.69921875" style="10" customWidth="1"/>
    <col min="8468" max="8468" width="20.19921875" style="10" bestFit="1" customWidth="1"/>
    <col min="8469" max="8475" width="15.69921875" style="10" customWidth="1"/>
    <col min="8476" max="8479" width="0" style="10" hidden="1" customWidth="1"/>
    <col min="8480" max="8480" width="15.69921875" style="10" customWidth="1"/>
    <col min="8481" max="8707" width="11.5" style="10"/>
    <col min="8708" max="8708" width="9.19921875" style="10" customWidth="1"/>
    <col min="8709" max="8723" width="15.69921875" style="10" customWidth="1"/>
    <col min="8724" max="8724" width="20.19921875" style="10" bestFit="1" customWidth="1"/>
    <col min="8725" max="8731" width="15.69921875" style="10" customWidth="1"/>
    <col min="8732" max="8735" width="0" style="10" hidden="1" customWidth="1"/>
    <col min="8736" max="8736" width="15.69921875" style="10" customWidth="1"/>
    <col min="8737" max="8963" width="11.5" style="10"/>
    <col min="8964" max="8964" width="9.19921875" style="10" customWidth="1"/>
    <col min="8965" max="8979" width="15.69921875" style="10" customWidth="1"/>
    <col min="8980" max="8980" width="20.19921875" style="10" bestFit="1" customWidth="1"/>
    <col min="8981" max="8987" width="15.69921875" style="10" customWidth="1"/>
    <col min="8988" max="8991" width="0" style="10" hidden="1" customWidth="1"/>
    <col min="8992" max="8992" width="15.69921875" style="10" customWidth="1"/>
    <col min="8993" max="9219" width="11.5" style="10"/>
    <col min="9220" max="9220" width="9.19921875" style="10" customWidth="1"/>
    <col min="9221" max="9235" width="15.69921875" style="10" customWidth="1"/>
    <col min="9236" max="9236" width="20.19921875" style="10" bestFit="1" customWidth="1"/>
    <col min="9237" max="9243" width="15.69921875" style="10" customWidth="1"/>
    <col min="9244" max="9247" width="0" style="10" hidden="1" customWidth="1"/>
    <col min="9248" max="9248" width="15.69921875" style="10" customWidth="1"/>
    <col min="9249" max="9475" width="11.5" style="10"/>
    <col min="9476" max="9476" width="9.19921875" style="10" customWidth="1"/>
    <col min="9477" max="9491" width="15.69921875" style="10" customWidth="1"/>
    <col min="9492" max="9492" width="20.19921875" style="10" bestFit="1" customWidth="1"/>
    <col min="9493" max="9499" width="15.69921875" style="10" customWidth="1"/>
    <col min="9500" max="9503" width="0" style="10" hidden="1" customWidth="1"/>
    <col min="9504" max="9504" width="15.69921875" style="10" customWidth="1"/>
    <col min="9505" max="9731" width="11.5" style="10"/>
    <col min="9732" max="9732" width="9.19921875" style="10" customWidth="1"/>
    <col min="9733" max="9747" width="15.69921875" style="10" customWidth="1"/>
    <col min="9748" max="9748" width="20.19921875" style="10" bestFit="1" customWidth="1"/>
    <col min="9749" max="9755" width="15.69921875" style="10" customWidth="1"/>
    <col min="9756" max="9759" width="0" style="10" hidden="1" customWidth="1"/>
    <col min="9760" max="9760" width="15.69921875" style="10" customWidth="1"/>
    <col min="9761" max="9987" width="11.5" style="10"/>
    <col min="9988" max="9988" width="9.19921875" style="10" customWidth="1"/>
    <col min="9989" max="10003" width="15.69921875" style="10" customWidth="1"/>
    <col min="10004" max="10004" width="20.19921875" style="10" bestFit="1" customWidth="1"/>
    <col min="10005" max="10011" width="15.69921875" style="10" customWidth="1"/>
    <col min="10012" max="10015" width="0" style="10" hidden="1" customWidth="1"/>
    <col min="10016" max="10016" width="15.69921875" style="10" customWidth="1"/>
    <col min="10017" max="10243" width="11.5" style="10"/>
    <col min="10244" max="10244" width="9.19921875" style="10" customWidth="1"/>
    <col min="10245" max="10259" width="15.69921875" style="10" customWidth="1"/>
    <col min="10260" max="10260" width="20.19921875" style="10" bestFit="1" customWidth="1"/>
    <col min="10261" max="10267" width="15.69921875" style="10" customWidth="1"/>
    <col min="10268" max="10271" width="0" style="10" hidden="1" customWidth="1"/>
    <col min="10272" max="10272" width="15.69921875" style="10" customWidth="1"/>
    <col min="10273" max="10499" width="11.5" style="10"/>
    <col min="10500" max="10500" width="9.19921875" style="10" customWidth="1"/>
    <col min="10501" max="10515" width="15.69921875" style="10" customWidth="1"/>
    <col min="10516" max="10516" width="20.19921875" style="10" bestFit="1" customWidth="1"/>
    <col min="10517" max="10523" width="15.69921875" style="10" customWidth="1"/>
    <col min="10524" max="10527" width="0" style="10" hidden="1" customWidth="1"/>
    <col min="10528" max="10528" width="15.69921875" style="10" customWidth="1"/>
    <col min="10529" max="10755" width="11.5" style="10"/>
    <col min="10756" max="10756" width="9.19921875" style="10" customWidth="1"/>
    <col min="10757" max="10771" width="15.69921875" style="10" customWidth="1"/>
    <col min="10772" max="10772" width="20.19921875" style="10" bestFit="1" customWidth="1"/>
    <col min="10773" max="10779" width="15.69921875" style="10" customWidth="1"/>
    <col min="10780" max="10783" width="0" style="10" hidden="1" customWidth="1"/>
    <col min="10784" max="10784" width="15.69921875" style="10" customWidth="1"/>
    <col min="10785" max="11011" width="11.5" style="10"/>
    <col min="11012" max="11012" width="9.19921875" style="10" customWidth="1"/>
    <col min="11013" max="11027" width="15.69921875" style="10" customWidth="1"/>
    <col min="11028" max="11028" width="20.19921875" style="10" bestFit="1" customWidth="1"/>
    <col min="11029" max="11035" width="15.69921875" style="10" customWidth="1"/>
    <col min="11036" max="11039" width="0" style="10" hidden="1" customWidth="1"/>
    <col min="11040" max="11040" width="15.69921875" style="10" customWidth="1"/>
    <col min="11041" max="11267" width="11.5" style="10"/>
    <col min="11268" max="11268" width="9.19921875" style="10" customWidth="1"/>
    <col min="11269" max="11283" width="15.69921875" style="10" customWidth="1"/>
    <col min="11284" max="11284" width="20.19921875" style="10" bestFit="1" customWidth="1"/>
    <col min="11285" max="11291" width="15.69921875" style="10" customWidth="1"/>
    <col min="11292" max="11295" width="0" style="10" hidden="1" customWidth="1"/>
    <col min="11296" max="11296" width="15.69921875" style="10" customWidth="1"/>
    <col min="11297" max="11523" width="11.5" style="10"/>
    <col min="11524" max="11524" width="9.19921875" style="10" customWidth="1"/>
    <col min="11525" max="11539" width="15.69921875" style="10" customWidth="1"/>
    <col min="11540" max="11540" width="20.19921875" style="10" bestFit="1" customWidth="1"/>
    <col min="11541" max="11547" width="15.69921875" style="10" customWidth="1"/>
    <col min="11548" max="11551" width="0" style="10" hidden="1" customWidth="1"/>
    <col min="11552" max="11552" width="15.69921875" style="10" customWidth="1"/>
    <col min="11553" max="11779" width="11.5" style="10"/>
    <col min="11780" max="11780" width="9.19921875" style="10" customWidth="1"/>
    <col min="11781" max="11795" width="15.69921875" style="10" customWidth="1"/>
    <col min="11796" max="11796" width="20.19921875" style="10" bestFit="1" customWidth="1"/>
    <col min="11797" max="11803" width="15.69921875" style="10" customWidth="1"/>
    <col min="11804" max="11807" width="0" style="10" hidden="1" customWidth="1"/>
    <col min="11808" max="11808" width="15.69921875" style="10" customWidth="1"/>
    <col min="11809" max="12035" width="11.5" style="10"/>
    <col min="12036" max="12036" width="9.19921875" style="10" customWidth="1"/>
    <col min="12037" max="12051" width="15.69921875" style="10" customWidth="1"/>
    <col min="12052" max="12052" width="20.19921875" style="10" bestFit="1" customWidth="1"/>
    <col min="12053" max="12059" width="15.69921875" style="10" customWidth="1"/>
    <col min="12060" max="12063" width="0" style="10" hidden="1" customWidth="1"/>
    <col min="12064" max="12064" width="15.69921875" style="10" customWidth="1"/>
    <col min="12065" max="12291" width="11.5" style="10"/>
    <col min="12292" max="12292" width="9.19921875" style="10" customWidth="1"/>
    <col min="12293" max="12307" width="15.69921875" style="10" customWidth="1"/>
    <col min="12308" max="12308" width="20.19921875" style="10" bestFit="1" customWidth="1"/>
    <col min="12309" max="12315" width="15.69921875" style="10" customWidth="1"/>
    <col min="12316" max="12319" width="0" style="10" hidden="1" customWidth="1"/>
    <col min="12320" max="12320" width="15.69921875" style="10" customWidth="1"/>
    <col min="12321" max="12547" width="11.5" style="10"/>
    <col min="12548" max="12548" width="9.19921875" style="10" customWidth="1"/>
    <col min="12549" max="12563" width="15.69921875" style="10" customWidth="1"/>
    <col min="12564" max="12564" width="20.19921875" style="10" bestFit="1" customWidth="1"/>
    <col min="12565" max="12571" width="15.69921875" style="10" customWidth="1"/>
    <col min="12572" max="12575" width="0" style="10" hidden="1" customWidth="1"/>
    <col min="12576" max="12576" width="15.69921875" style="10" customWidth="1"/>
    <col min="12577" max="12803" width="11.5" style="10"/>
    <col min="12804" max="12804" width="9.19921875" style="10" customWidth="1"/>
    <col min="12805" max="12819" width="15.69921875" style="10" customWidth="1"/>
    <col min="12820" max="12820" width="20.19921875" style="10" bestFit="1" customWidth="1"/>
    <col min="12821" max="12827" width="15.69921875" style="10" customWidth="1"/>
    <col min="12828" max="12831" width="0" style="10" hidden="1" customWidth="1"/>
    <col min="12832" max="12832" width="15.69921875" style="10" customWidth="1"/>
    <col min="12833" max="13059" width="11.5" style="10"/>
    <col min="13060" max="13060" width="9.19921875" style="10" customWidth="1"/>
    <col min="13061" max="13075" width="15.69921875" style="10" customWidth="1"/>
    <col min="13076" max="13076" width="20.19921875" style="10" bestFit="1" customWidth="1"/>
    <col min="13077" max="13083" width="15.69921875" style="10" customWidth="1"/>
    <col min="13084" max="13087" width="0" style="10" hidden="1" customWidth="1"/>
    <col min="13088" max="13088" width="15.69921875" style="10" customWidth="1"/>
    <col min="13089" max="13315" width="11.5" style="10"/>
    <col min="13316" max="13316" width="9.19921875" style="10" customWidth="1"/>
    <col min="13317" max="13331" width="15.69921875" style="10" customWidth="1"/>
    <col min="13332" max="13332" width="20.19921875" style="10" bestFit="1" customWidth="1"/>
    <col min="13333" max="13339" width="15.69921875" style="10" customWidth="1"/>
    <col min="13340" max="13343" width="0" style="10" hidden="1" customWidth="1"/>
    <col min="13344" max="13344" width="15.69921875" style="10" customWidth="1"/>
    <col min="13345" max="13571" width="11.5" style="10"/>
    <col min="13572" max="13572" width="9.19921875" style="10" customWidth="1"/>
    <col min="13573" max="13587" width="15.69921875" style="10" customWidth="1"/>
    <col min="13588" max="13588" width="20.19921875" style="10" bestFit="1" customWidth="1"/>
    <col min="13589" max="13595" width="15.69921875" style="10" customWidth="1"/>
    <col min="13596" max="13599" width="0" style="10" hidden="1" customWidth="1"/>
    <col min="13600" max="13600" width="15.69921875" style="10" customWidth="1"/>
    <col min="13601" max="13827" width="11.5" style="10"/>
    <col min="13828" max="13828" width="9.19921875" style="10" customWidth="1"/>
    <col min="13829" max="13843" width="15.69921875" style="10" customWidth="1"/>
    <col min="13844" max="13844" width="20.19921875" style="10" bestFit="1" customWidth="1"/>
    <col min="13845" max="13851" width="15.69921875" style="10" customWidth="1"/>
    <col min="13852" max="13855" width="0" style="10" hidden="1" customWidth="1"/>
    <col min="13856" max="13856" width="15.69921875" style="10" customWidth="1"/>
    <col min="13857" max="14083" width="11.5" style="10"/>
    <col min="14084" max="14084" width="9.19921875" style="10" customWidth="1"/>
    <col min="14085" max="14099" width="15.69921875" style="10" customWidth="1"/>
    <col min="14100" max="14100" width="20.19921875" style="10" bestFit="1" customWidth="1"/>
    <col min="14101" max="14107" width="15.69921875" style="10" customWidth="1"/>
    <col min="14108" max="14111" width="0" style="10" hidden="1" customWidth="1"/>
    <col min="14112" max="14112" width="15.69921875" style="10" customWidth="1"/>
    <col min="14113" max="14339" width="11.5" style="10"/>
    <col min="14340" max="14340" width="9.19921875" style="10" customWidth="1"/>
    <col min="14341" max="14355" width="15.69921875" style="10" customWidth="1"/>
    <col min="14356" max="14356" width="20.19921875" style="10" bestFit="1" customWidth="1"/>
    <col min="14357" max="14363" width="15.69921875" style="10" customWidth="1"/>
    <col min="14364" max="14367" width="0" style="10" hidden="1" customWidth="1"/>
    <col min="14368" max="14368" width="15.69921875" style="10" customWidth="1"/>
    <col min="14369" max="14595" width="11.5" style="10"/>
    <col min="14596" max="14596" width="9.19921875" style="10" customWidth="1"/>
    <col min="14597" max="14611" width="15.69921875" style="10" customWidth="1"/>
    <col min="14612" max="14612" width="20.19921875" style="10" bestFit="1" customWidth="1"/>
    <col min="14613" max="14619" width="15.69921875" style="10" customWidth="1"/>
    <col min="14620" max="14623" width="0" style="10" hidden="1" customWidth="1"/>
    <col min="14624" max="14624" width="15.69921875" style="10" customWidth="1"/>
    <col min="14625" max="14851" width="11.5" style="10"/>
    <col min="14852" max="14852" width="9.19921875" style="10" customWidth="1"/>
    <col min="14853" max="14867" width="15.69921875" style="10" customWidth="1"/>
    <col min="14868" max="14868" width="20.19921875" style="10" bestFit="1" customWidth="1"/>
    <col min="14869" max="14875" width="15.69921875" style="10" customWidth="1"/>
    <col min="14876" max="14879" width="0" style="10" hidden="1" customWidth="1"/>
    <col min="14880" max="14880" width="15.69921875" style="10" customWidth="1"/>
    <col min="14881" max="15107" width="11.5" style="10"/>
    <col min="15108" max="15108" width="9.19921875" style="10" customWidth="1"/>
    <col min="15109" max="15123" width="15.69921875" style="10" customWidth="1"/>
    <col min="15124" max="15124" width="20.19921875" style="10" bestFit="1" customWidth="1"/>
    <col min="15125" max="15131" width="15.69921875" style="10" customWidth="1"/>
    <col min="15132" max="15135" width="0" style="10" hidden="1" customWidth="1"/>
    <col min="15136" max="15136" width="15.69921875" style="10" customWidth="1"/>
    <col min="15137" max="15363" width="11.5" style="10"/>
    <col min="15364" max="15364" width="9.19921875" style="10" customWidth="1"/>
    <col min="15365" max="15379" width="15.69921875" style="10" customWidth="1"/>
    <col min="15380" max="15380" width="20.19921875" style="10" bestFit="1" customWidth="1"/>
    <col min="15381" max="15387" width="15.69921875" style="10" customWidth="1"/>
    <col min="15388" max="15391" width="0" style="10" hidden="1" customWidth="1"/>
    <col min="15392" max="15392" width="15.69921875" style="10" customWidth="1"/>
    <col min="15393" max="15619" width="11.5" style="10"/>
    <col min="15620" max="15620" width="9.19921875" style="10" customWidth="1"/>
    <col min="15621" max="15635" width="15.69921875" style="10" customWidth="1"/>
    <col min="15636" max="15636" width="20.19921875" style="10" bestFit="1" customWidth="1"/>
    <col min="15637" max="15643" width="15.69921875" style="10" customWidth="1"/>
    <col min="15644" max="15647" width="0" style="10" hidden="1" customWidth="1"/>
    <col min="15648" max="15648" width="15.69921875" style="10" customWidth="1"/>
    <col min="15649" max="15875" width="11.5" style="10"/>
    <col min="15876" max="15876" width="9.19921875" style="10" customWidth="1"/>
    <col min="15877" max="15891" width="15.69921875" style="10" customWidth="1"/>
    <col min="15892" max="15892" width="20.19921875" style="10" bestFit="1" customWidth="1"/>
    <col min="15893" max="15899" width="15.69921875" style="10" customWidth="1"/>
    <col min="15900" max="15903" width="0" style="10" hidden="1" customWidth="1"/>
    <col min="15904" max="15904" width="15.69921875" style="10" customWidth="1"/>
    <col min="15905" max="16131" width="11.5" style="10"/>
    <col min="16132" max="16132" width="9.19921875" style="10" customWidth="1"/>
    <col min="16133" max="16147" width="15.69921875" style="10" customWidth="1"/>
    <col min="16148" max="16148" width="20.19921875" style="10" bestFit="1" customWidth="1"/>
    <col min="16149" max="16155" width="15.69921875" style="10" customWidth="1"/>
    <col min="16156" max="16159" width="0" style="10" hidden="1" customWidth="1"/>
    <col min="16160" max="16160" width="15.69921875" style="10" customWidth="1"/>
    <col min="16161" max="16384" width="11.5" style="10"/>
  </cols>
  <sheetData>
    <row r="1" spans="1:35" s="33" customFormat="1" ht="17.399999999999999">
      <c r="A1" s="47"/>
      <c r="D1" s="35"/>
      <c r="E1" s="35"/>
      <c r="F1" s="34"/>
      <c r="G1" s="34"/>
      <c r="H1" s="34"/>
      <c r="I1" s="34"/>
      <c r="J1" s="34"/>
      <c r="K1" s="34"/>
      <c r="L1" s="34"/>
      <c r="M1" s="34"/>
      <c r="N1" s="34"/>
      <c r="O1" s="34"/>
      <c r="P1" s="34"/>
      <c r="Q1" s="34"/>
      <c r="R1" s="34"/>
      <c r="S1" s="34"/>
      <c r="T1" s="34"/>
      <c r="U1" s="34"/>
      <c r="V1" s="34"/>
      <c r="W1" s="34"/>
      <c r="X1" s="34"/>
      <c r="Y1" s="34"/>
      <c r="Z1" s="34"/>
      <c r="AA1" s="34"/>
      <c r="AB1" s="34"/>
      <c r="AC1" s="34"/>
      <c r="AD1" s="34"/>
      <c r="AE1" s="34"/>
      <c r="AF1" s="34"/>
    </row>
    <row r="2" spans="1:35" ht="16.2">
      <c r="C2" s="7" t="str">
        <f>_xlfn.CONCAT(C5," ",B5," DT20")</f>
        <v>United States Total DT20</v>
      </c>
      <c r="D2" s="36"/>
      <c r="E2" s="36"/>
      <c r="F2" s="7"/>
      <c r="G2" s="8"/>
      <c r="I2" s="7" t="s">
        <v>33</v>
      </c>
      <c r="M2" s="46"/>
    </row>
    <row r="4" spans="1:35" s="3" customFormat="1" ht="18.600000000000001">
      <c r="B4" s="1" t="s">
        <v>0</v>
      </c>
      <c r="C4" s="1" t="s">
        <v>274</v>
      </c>
      <c r="D4" s="37" t="s">
        <v>8</v>
      </c>
      <c r="E4" s="37" t="s">
        <v>118</v>
      </c>
      <c r="F4" s="1" t="s">
        <v>36</v>
      </c>
      <c r="G4" s="2" t="s">
        <v>9</v>
      </c>
      <c r="H4" s="2" t="s">
        <v>10</v>
      </c>
      <c r="I4" s="11" t="s">
        <v>17</v>
      </c>
      <c r="J4" s="2" t="s">
        <v>11</v>
      </c>
      <c r="K4" s="1" t="s">
        <v>5</v>
      </c>
      <c r="L4" s="2" t="s">
        <v>6</v>
      </c>
      <c r="M4" s="2" t="s">
        <v>12</v>
      </c>
      <c r="N4" s="1" t="s">
        <v>13</v>
      </c>
      <c r="O4" s="2" t="s">
        <v>7</v>
      </c>
      <c r="P4" s="2" t="s">
        <v>14</v>
      </c>
      <c r="Q4" s="1" t="s">
        <v>15</v>
      </c>
      <c r="R4" s="1" t="s">
        <v>16</v>
      </c>
      <c r="S4" s="1" t="s">
        <v>18</v>
      </c>
      <c r="T4" s="2" t="s">
        <v>19</v>
      </c>
      <c r="U4" s="2" t="s">
        <v>20</v>
      </c>
      <c r="V4" s="1" t="s">
        <v>21</v>
      </c>
      <c r="W4" s="2" t="s">
        <v>22</v>
      </c>
      <c r="X4" s="2" t="s">
        <v>23</v>
      </c>
      <c r="Y4" s="2" t="s">
        <v>24</v>
      </c>
      <c r="Z4" s="2" t="s">
        <v>25</v>
      </c>
      <c r="AA4" s="1" t="s">
        <v>26</v>
      </c>
      <c r="AB4" s="1" t="s">
        <v>27</v>
      </c>
      <c r="AC4" s="12" t="s">
        <v>28</v>
      </c>
      <c r="AD4" s="12" t="s">
        <v>29</v>
      </c>
      <c r="AE4" s="12" t="s">
        <v>30</v>
      </c>
      <c r="AF4" s="12" t="s">
        <v>31</v>
      </c>
      <c r="AG4" s="13" t="s">
        <v>32</v>
      </c>
    </row>
    <row r="5" spans="1:35" s="5" customFormat="1" ht="15" customHeight="1">
      <c r="B5" s="5" t="s">
        <v>3</v>
      </c>
      <c r="C5" s="5" t="s">
        <v>42</v>
      </c>
      <c r="D5" s="38" t="s">
        <v>108</v>
      </c>
      <c r="E5" s="38">
        <v>0</v>
      </c>
      <c r="F5" s="4" t="str">
        <f t="shared" ref="F5:F14" si="0">_xlfn.CONCAT(C5,B5,E5)</f>
        <v>United StatesTotal0</v>
      </c>
      <c r="G5" s="6">
        <f>VLOOKUP(F5,'Appen1a. py 2020'!$F$4:$G$33,2,FALSE)</f>
        <v>19375565.800000001</v>
      </c>
      <c r="H5" s="15">
        <f>VLOOKUP(F5,'Appen2a. Deaths 2020'!$F$4:$H$33,2,FALSE)</f>
        <v>23111</v>
      </c>
      <c r="I5" s="15">
        <f>VLOOKUP(F5,'Appen2a. Deaths 2020'!$F$4:$H$33,3,FALSE)</f>
        <v>54</v>
      </c>
      <c r="J5" s="16">
        <f>H5/G5</f>
        <v>1.1927909738770053E-3</v>
      </c>
      <c r="K5" s="14">
        <v>5</v>
      </c>
      <c r="L5" s="45">
        <f>VLOOKUP(F5,'Appen4a. 2020 LT CDC_abridged'!$G$5:$R$40,12,FALSE)</f>
        <v>0.51355661881977677</v>
      </c>
      <c r="M5" s="17">
        <f>'Appen3a. 2020 LT_construct'!J5</f>
        <v>5.9322093087367791E-3</v>
      </c>
      <c r="N5" s="14">
        <v>100000</v>
      </c>
      <c r="O5" s="18">
        <f>N5*M5</f>
        <v>593.22093087367796</v>
      </c>
      <c r="P5" s="18">
        <f>N6*K5+O5*L5</f>
        <v>497338.54788110423</v>
      </c>
      <c r="Q5" s="18">
        <f t="shared" ref="Q5:Q13" si="1">Q6+P5</f>
        <v>7733582.8305945573</v>
      </c>
      <c r="R5" s="19">
        <f>'Appen3a. 2020 LT_construct'!Q5</f>
        <v>77.335828305945569</v>
      </c>
      <c r="S5" s="20">
        <f t="shared" ref="S5:S14" si="2">(H5-I5)/H5</f>
        <v>0.99766345030504955</v>
      </c>
      <c r="T5" s="20">
        <f t="shared" ref="T5:T14" si="3">1-M5</f>
        <v>0.99406779069126328</v>
      </c>
      <c r="U5" s="20">
        <f>T5^S5</f>
        <v>0.99408161049475219</v>
      </c>
      <c r="V5" s="14">
        <v>100000</v>
      </c>
      <c r="W5" s="21">
        <f>V5*(1-U5)</f>
        <v>591.83895052478124</v>
      </c>
      <c r="X5" s="20">
        <f>W5/V5</f>
        <v>5.9183895052478128E-3</v>
      </c>
      <c r="Y5" s="21">
        <f>K5+S5*(M5/X5)*(L5-K5)</f>
        <v>0.51358777348995588</v>
      </c>
      <c r="Z5" s="21">
        <f t="shared" ref="Z5:Z14" si="4">V6*K5+W5*Y5</f>
        <v>497344.76649624074</v>
      </c>
      <c r="AA5" s="21">
        <f t="shared" ref="AA5:AA13" si="5">AA6+Z5</f>
        <v>7871712.1162331048</v>
      </c>
      <c r="AB5" s="21">
        <f t="shared" ref="AB5:AB14" si="6">AA5/V5</f>
        <v>78.717121162331054</v>
      </c>
      <c r="AC5" s="14"/>
      <c r="AD5" s="14"/>
      <c r="AE5" s="14"/>
      <c r="AF5" s="14"/>
      <c r="AG5" s="21">
        <f t="shared" ref="AG5:AG14" si="7">AB5-R5</f>
        <v>1.3812928563854854</v>
      </c>
    </row>
    <row r="6" spans="1:35" s="24" customFormat="1" ht="15" customHeight="1">
      <c r="B6" s="5" t="s">
        <v>3</v>
      </c>
      <c r="C6" s="5" t="s">
        <v>42</v>
      </c>
      <c r="D6" s="39" t="s">
        <v>109</v>
      </c>
      <c r="E6" s="39">
        <v>5</v>
      </c>
      <c r="F6" s="4" t="str">
        <f t="shared" si="0"/>
        <v>United StatesTotal5</v>
      </c>
      <c r="G6" s="6">
        <f>VLOOKUP(F6,'Appen1a. py 2020'!$F$4:$G$33,2,FALSE)</f>
        <v>40982318.5</v>
      </c>
      <c r="H6" s="15">
        <f>VLOOKUP(F6,'Appen2a. Deaths 2020'!$F$4:$H$33,2,FALSE)</f>
        <v>5623</v>
      </c>
      <c r="I6" s="15">
        <f>VLOOKUP(F6,'Appen2a. Deaths 2020'!$F$4:$H$33,3,FALSE)</f>
        <v>49</v>
      </c>
      <c r="J6" s="16">
        <f t="shared" ref="J6:J14" si="8">H6/G6</f>
        <v>1.3720551217716E-4</v>
      </c>
      <c r="K6" s="22">
        <v>10</v>
      </c>
      <c r="L6" s="45">
        <f>VLOOKUP(F6,'Appen4a. 2020 LT CDC_abridged'!$G$5:$R$40,12,FALSE)</f>
        <v>5.507352941176471</v>
      </c>
      <c r="M6" s="17">
        <f>'Appen3a. 2020 LT_construct'!J6</f>
        <v>1.3712098861396872E-3</v>
      </c>
      <c r="N6" s="18">
        <f>N5-O5</f>
        <v>99406.779069126322</v>
      </c>
      <c r="O6" s="18">
        <f>N6*M6</f>
        <v>136.30755820888976</v>
      </c>
      <c r="P6" s="18">
        <f t="shared" ref="P6:P13" si="9">N7*K6+O6*L6</f>
        <v>993455.40894078056</v>
      </c>
      <c r="Q6" s="18">
        <f t="shared" si="1"/>
        <v>7236244.2827134533</v>
      </c>
      <c r="R6" s="19">
        <f>'Appen3a. 2020 LT_construct'!Q6</f>
        <v>72.794273695171768</v>
      </c>
      <c r="S6" s="20">
        <f t="shared" si="2"/>
        <v>0.99128579050329002</v>
      </c>
      <c r="T6" s="20">
        <f t="shared" si="3"/>
        <v>0.9986287901138603</v>
      </c>
      <c r="U6" s="20">
        <f t="shared" ref="U6:U14" si="10">T6^S6</f>
        <v>0.99864073099941431</v>
      </c>
      <c r="V6" s="21">
        <f>V5-W5</f>
        <v>99408.161049475224</v>
      </c>
      <c r="W6" s="21">
        <f>V6*(1-U6)</f>
        <v>135.12243171978196</v>
      </c>
      <c r="X6" s="20">
        <f t="shared" ref="X6:X14" si="11">W6/V6</f>
        <v>1.3592690005856947E-3</v>
      </c>
      <c r="Y6" s="21">
        <f>K6+S6*(M6/X6)*(L6-K6)</f>
        <v>5.5073797947425431</v>
      </c>
      <c r="Z6" s="21">
        <f t="shared" si="4"/>
        <v>993474.5567278245</v>
      </c>
      <c r="AA6" s="21">
        <f t="shared" si="5"/>
        <v>7374367.3497368637</v>
      </c>
      <c r="AB6" s="21">
        <f t="shared" si="6"/>
        <v>74.182715703458769</v>
      </c>
      <c r="AC6" s="23"/>
      <c r="AD6" s="22"/>
      <c r="AE6" s="23"/>
      <c r="AF6" s="22"/>
      <c r="AG6" s="21">
        <f t="shared" si="7"/>
        <v>1.3884420082870008</v>
      </c>
      <c r="AI6" s="5"/>
    </row>
    <row r="7" spans="1:35" s="24" customFormat="1" ht="15" customHeight="1">
      <c r="B7" s="5" t="s">
        <v>3</v>
      </c>
      <c r="C7" s="5" t="s">
        <v>42</v>
      </c>
      <c r="D7" s="40" t="s">
        <v>110</v>
      </c>
      <c r="E7" s="40">
        <v>15</v>
      </c>
      <c r="F7" s="4" t="str">
        <f t="shared" si="0"/>
        <v>United StatesTotal15</v>
      </c>
      <c r="G7" s="6">
        <f>VLOOKUP(F7,'Appen1a. py 2020'!$F$4:$G$33,2,FALSE)</f>
        <v>42605265.899999999</v>
      </c>
      <c r="H7" s="15">
        <f>VLOOKUP(F7,'Appen2a. Deaths 2020'!$F$4:$H$33,2,FALSE)</f>
        <v>35816</v>
      </c>
      <c r="I7" s="15">
        <f>VLOOKUP(F7,'Appen2a. Deaths 2020'!$F$4:$H$33,3,FALSE)</f>
        <v>501</v>
      </c>
      <c r="J7" s="16">
        <f t="shared" si="8"/>
        <v>8.406472590516094E-4</v>
      </c>
      <c r="K7" s="22">
        <v>10</v>
      </c>
      <c r="L7" s="45">
        <f>VLOOKUP(F7,'Appen4a. 2020 LT CDC_abridged'!$G$5:$R$40,12,FALSE)</f>
        <v>5.747878787878788</v>
      </c>
      <c r="M7" s="17">
        <f>'Appen3a. 2020 LT_construct'!J7</f>
        <v>8.3765303974554957E-3</v>
      </c>
      <c r="N7" s="18">
        <f t="shared" ref="N7:N14" si="12">N6-O6</f>
        <v>99270.471510917429</v>
      </c>
      <c r="O7" s="18">
        <f t="shared" ref="O7:O14" si="13">N7*M7</f>
        <v>831.5421221809396</v>
      </c>
      <c r="P7" s="18">
        <f t="shared" si="9"/>
        <v>989168.89721267647</v>
      </c>
      <c r="Q7" s="18">
        <f t="shared" si="1"/>
        <v>6242788.8737726724</v>
      </c>
      <c r="R7" s="19">
        <f>'Appen3a. 2020 LT_construct'!Q7</f>
        <v>62.886664873815086</v>
      </c>
      <c r="S7" s="20">
        <f t="shared" si="2"/>
        <v>0.98601183828456551</v>
      </c>
      <c r="T7" s="20">
        <f t="shared" si="3"/>
        <v>0.99162346960254455</v>
      </c>
      <c r="U7" s="20">
        <f t="shared" si="10"/>
        <v>0.9917401566047257</v>
      </c>
      <c r="V7" s="21">
        <f t="shared" ref="V7:V14" si="14">V6-W6</f>
        <v>99273.038617755446</v>
      </c>
      <c r="W7" s="21">
        <f t="shared" ref="W7:W13" si="15">V7*(1-U7)</f>
        <v>819.9797523556781</v>
      </c>
      <c r="X7" s="20">
        <f t="shared" si="11"/>
        <v>8.2598433952743022E-3</v>
      </c>
      <c r="Y7" s="21">
        <f>K7+S7*(M7/X7)*(L7-K7)</f>
        <v>5.7481285968253628</v>
      </c>
      <c r="Z7" s="21">
        <f t="shared" si="4"/>
        <v>989243.93771733122</v>
      </c>
      <c r="AA7" s="21">
        <f t="shared" si="5"/>
        <v>6380892.793009039</v>
      </c>
      <c r="AB7" s="21">
        <f t="shared" si="6"/>
        <v>64.276191016759981</v>
      </c>
      <c r="AC7" s="23"/>
      <c r="AD7" s="22"/>
      <c r="AE7" s="23"/>
      <c r="AF7" s="22"/>
      <c r="AG7" s="21">
        <f t="shared" si="7"/>
        <v>1.3895261429448951</v>
      </c>
      <c r="AI7" s="5"/>
    </row>
    <row r="8" spans="1:35" s="24" customFormat="1" ht="15" customHeight="1">
      <c r="B8" s="5" t="s">
        <v>3</v>
      </c>
      <c r="C8" s="5" t="s">
        <v>42</v>
      </c>
      <c r="D8" s="40" t="s">
        <v>111</v>
      </c>
      <c r="E8" s="40">
        <v>25</v>
      </c>
      <c r="F8" s="4" t="str">
        <f t="shared" si="0"/>
        <v>United StatesTotal25</v>
      </c>
      <c r="G8" s="6">
        <f>VLOOKUP(F8,'Appen1a. py 2020'!$F$4:$G$33,2,FALSE)</f>
        <v>46040567.299999997</v>
      </c>
      <c r="H8" s="15">
        <f>VLOOKUP(F8,'Appen2a. Deaths 2020'!$F$4:$H$33,2,FALSE)</f>
        <v>73486</v>
      </c>
      <c r="I8" s="15">
        <f>VLOOKUP(F8,'Appen2a. Deaths 2020'!$F$4:$H$33,3,FALSE)</f>
        <v>2254</v>
      </c>
      <c r="J8" s="16">
        <f t="shared" si="8"/>
        <v>1.5961141295493986E-3</v>
      </c>
      <c r="K8" s="22">
        <v>10</v>
      </c>
      <c r="L8" s="45">
        <f>VLOOKUP(F8,'Appen4a. 2020 LT CDC_abridged'!$G$5:$R$40,12,FALSE)</f>
        <v>5.2874598070739554</v>
      </c>
      <c r="M8" s="17">
        <f>'Appen3a. 2020 LT_construct'!J8</f>
        <v>1.5841981837116815E-2</v>
      </c>
      <c r="N8" s="18">
        <f t="shared" si="12"/>
        <v>98438.929388736491</v>
      </c>
      <c r="O8" s="18">
        <f t="shared" si="13"/>
        <v>1559.4677314415881</v>
      </c>
      <c r="P8" s="18">
        <f t="shared" si="9"/>
        <v>977040.23952337517</v>
      </c>
      <c r="Q8" s="18">
        <f t="shared" si="1"/>
        <v>5253619.9765599957</v>
      </c>
      <c r="R8" s="19">
        <f>'Appen3a. 2020 LT_construct'!Q8</f>
        <v>53.369332734343224</v>
      </c>
      <c r="S8" s="20">
        <f t="shared" si="2"/>
        <v>0.96932749095065729</v>
      </c>
      <c r="T8" s="20">
        <f t="shared" si="3"/>
        <v>0.98415801816288317</v>
      </c>
      <c r="U8" s="20">
        <f t="shared" si="10"/>
        <v>0.98464018016435473</v>
      </c>
      <c r="V8" s="21">
        <f t="shared" si="14"/>
        <v>98453.058865399769</v>
      </c>
      <c r="W8" s="21">
        <f t="shared" si="15"/>
        <v>1512.2212464407189</v>
      </c>
      <c r="X8" s="20">
        <f t="shared" si="11"/>
        <v>1.5359819835645272E-2</v>
      </c>
      <c r="Y8" s="21">
        <f>((-K8/24)*W7+(K8/2)*W8+(K8/24)*W9)/W8</f>
        <v>5.391253263127525</v>
      </c>
      <c r="Z8" s="21">
        <f t="shared" si="4"/>
        <v>977561.14391903474</v>
      </c>
      <c r="AA8" s="21">
        <f t="shared" si="5"/>
        <v>5391648.8552917074</v>
      </c>
      <c r="AB8" s="21">
        <f t="shared" si="6"/>
        <v>54.763649981286079</v>
      </c>
      <c r="AC8" s="23"/>
      <c r="AD8" s="22"/>
      <c r="AE8" s="23"/>
      <c r="AF8" s="22"/>
      <c r="AG8" s="21">
        <f t="shared" si="7"/>
        <v>1.3943172469428546</v>
      </c>
      <c r="AI8" s="5"/>
    </row>
    <row r="9" spans="1:35" s="24" customFormat="1" ht="15" customHeight="1">
      <c r="B9" s="5" t="s">
        <v>3</v>
      </c>
      <c r="C9" s="5" t="s">
        <v>42</v>
      </c>
      <c r="D9" s="40" t="s">
        <v>112</v>
      </c>
      <c r="E9" s="40">
        <v>35</v>
      </c>
      <c r="F9" s="4" t="str">
        <f t="shared" si="0"/>
        <v>United StatesTotal35</v>
      </c>
      <c r="G9" s="6">
        <f>VLOOKUP(F9,'Appen1a. py 2020'!$F$4:$G$33,2,FALSE)</f>
        <v>42126716.899999999</v>
      </c>
      <c r="H9" s="15">
        <f>VLOOKUP(F9,'Appen2a. Deaths 2020'!$F$4:$H$33,2,FALSE)</f>
        <v>104490</v>
      </c>
      <c r="I9" s="15">
        <f>VLOOKUP(F9,'Appen2a. Deaths 2020'!$F$4:$H$33,3,FALSE)</f>
        <v>6079</v>
      </c>
      <c r="J9" s="16">
        <f t="shared" si="8"/>
        <v>2.4803736841880505E-3</v>
      </c>
      <c r="K9" s="22">
        <v>10</v>
      </c>
      <c r="L9" s="45">
        <f>VLOOKUP(F9,'Appen4a. 2020 LT CDC_abridged'!$G$5:$R$40,12,FALSE)</f>
        <v>5.2720000000000002</v>
      </c>
      <c r="M9" s="17">
        <f>'Appen3a. 2020 LT_construct'!J9</f>
        <v>2.4516229943890879E-2</v>
      </c>
      <c r="N9" s="18">
        <f t="shared" si="12"/>
        <v>96879.461657294902</v>
      </c>
      <c r="O9" s="18">
        <f t="shared" si="13"/>
        <v>2375.1191588306015</v>
      </c>
      <c r="P9" s="18">
        <f t="shared" si="9"/>
        <v>957565.05318999791</v>
      </c>
      <c r="Q9" s="18">
        <f t="shared" si="1"/>
        <v>4276579.7370366203</v>
      </c>
      <c r="R9" s="19">
        <f>'Appen3a. 2020 LT_construct'!Q9</f>
        <v>44.143306164982178</v>
      </c>
      <c r="S9" s="20">
        <f t="shared" si="2"/>
        <v>0.941822183941047</v>
      </c>
      <c r="T9" s="20">
        <f t="shared" si="3"/>
        <v>0.97548377005610909</v>
      </c>
      <c r="U9" s="20">
        <f t="shared" si="10"/>
        <v>0.97689345996227195</v>
      </c>
      <c r="V9" s="21">
        <f t="shared" si="14"/>
        <v>96940.837618959049</v>
      </c>
      <c r="W9" s="21">
        <f t="shared" si="15"/>
        <v>2239.9673457333711</v>
      </c>
      <c r="X9" s="20">
        <f t="shared" si="11"/>
        <v>2.3106540037728052E-2</v>
      </c>
      <c r="Y9" s="21">
        <f>((-K9/24)*W8+(K9/2)*W9+(K9/24)*W10)/W9</f>
        <v>5.4636478027188806</v>
      </c>
      <c r="Z9" s="21">
        <f t="shared" si="4"/>
        <v>959247.09539893502</v>
      </c>
      <c r="AA9" s="21">
        <f t="shared" si="5"/>
        <v>4414087.7113726726</v>
      </c>
      <c r="AB9" s="21">
        <f t="shared" si="6"/>
        <v>45.533830940505453</v>
      </c>
      <c r="AC9" s="23"/>
      <c r="AD9" s="22"/>
      <c r="AE9" s="23"/>
      <c r="AF9" s="22"/>
      <c r="AG9" s="21">
        <f t="shared" si="7"/>
        <v>1.390524775523275</v>
      </c>
      <c r="AI9" s="5"/>
    </row>
    <row r="10" spans="1:35" s="24" customFormat="1" ht="15" customHeight="1">
      <c r="B10" s="5" t="s">
        <v>3</v>
      </c>
      <c r="C10" s="5" t="s">
        <v>42</v>
      </c>
      <c r="D10" s="40" t="s">
        <v>113</v>
      </c>
      <c r="E10" s="40">
        <v>45</v>
      </c>
      <c r="F10" s="4" t="str">
        <f t="shared" si="0"/>
        <v>United StatesTotal45</v>
      </c>
      <c r="G10" s="6">
        <f>VLOOKUP(F10,'Appen1a. py 2020'!$F$4:$G$33,2,FALSE)</f>
        <v>40403772.200000003</v>
      </c>
      <c r="H10" s="15">
        <f>VLOOKUP(F10,'Appen2a. Deaths 2020'!$F$4:$H$33,2,FALSE)</f>
        <v>191142</v>
      </c>
      <c r="I10" s="15">
        <f>VLOOKUP(F10,'Appen2a. Deaths 2020'!$F$4:$H$33,3,FALSE)</f>
        <v>16964</v>
      </c>
      <c r="J10" s="16">
        <f t="shared" si="8"/>
        <v>4.7307959032597451E-3</v>
      </c>
      <c r="K10" s="22">
        <v>10</v>
      </c>
      <c r="L10" s="45">
        <f>VLOOKUP(F10,'Appen4a. 2020 LT CDC_abridged'!$G$5:$R$40,12,FALSE)</f>
        <v>5.4464121435142596</v>
      </c>
      <c r="M10" s="17">
        <f>'Appen3a. 2020 LT_construct'!J10</f>
        <v>4.6310337356135441E-2</v>
      </c>
      <c r="N10" s="18">
        <f t="shared" si="12"/>
        <v>94504.342498464306</v>
      </c>
      <c r="O10" s="18">
        <f t="shared" si="13"/>
        <v>4376.52798272365</v>
      </c>
      <c r="P10" s="18">
        <f t="shared" si="9"/>
        <v>925114.52030894265</v>
      </c>
      <c r="Q10" s="18">
        <f t="shared" si="1"/>
        <v>3319014.6838466227</v>
      </c>
      <c r="R10" s="19">
        <f>'Appen3a. 2020 LT_construct'!Q10</f>
        <v>35.120234648482494</v>
      </c>
      <c r="S10" s="20">
        <f t="shared" si="2"/>
        <v>0.91124922832239907</v>
      </c>
      <c r="T10" s="20">
        <f t="shared" si="3"/>
        <v>0.95368966264386457</v>
      </c>
      <c r="U10" s="20">
        <f t="shared" si="10"/>
        <v>0.95771152381056701</v>
      </c>
      <c r="V10" s="21">
        <f t="shared" si="14"/>
        <v>94700.870273225679</v>
      </c>
      <c r="W10" s="21">
        <f t="shared" si="15"/>
        <v>4004.7554976678866</v>
      </c>
      <c r="X10" s="20">
        <f t="shared" si="11"/>
        <v>4.2288476189432989E-2</v>
      </c>
      <c r="Y10" s="21">
        <f>((-K10/24)*W9+(K10/2)*W10+(K10/24)*W11)/W10</f>
        <v>5.6168162278710705</v>
      </c>
      <c r="Z10" s="21">
        <f t="shared" si="4"/>
        <v>929455.12342353479</v>
      </c>
      <c r="AA10" s="21">
        <f t="shared" si="5"/>
        <v>3454840.6159737376</v>
      </c>
      <c r="AB10" s="21">
        <f t="shared" si="6"/>
        <v>36.481614223882247</v>
      </c>
      <c r="AC10" s="23"/>
      <c r="AD10" s="22"/>
      <c r="AE10" s="23"/>
      <c r="AF10" s="22"/>
      <c r="AG10" s="21">
        <f t="shared" si="7"/>
        <v>1.3613795753997522</v>
      </c>
      <c r="AI10" s="5"/>
    </row>
    <row r="11" spans="1:35" s="24" customFormat="1" ht="15" customHeight="1">
      <c r="B11" s="5" t="s">
        <v>3</v>
      </c>
      <c r="C11" s="5" t="s">
        <v>42</v>
      </c>
      <c r="D11" s="40" t="s">
        <v>114</v>
      </c>
      <c r="E11" s="40">
        <v>55</v>
      </c>
      <c r="F11" s="4" t="str">
        <f t="shared" si="0"/>
        <v>United StatesTotal55</v>
      </c>
      <c r="G11" s="6">
        <f>VLOOKUP(F11,'Appen1a. py 2020'!$F$4:$G$33,2,FALSE)</f>
        <v>42434095.100000001</v>
      </c>
      <c r="H11" s="15">
        <f>VLOOKUP(F11,'Appen2a. Deaths 2020'!$F$4:$H$33,2,FALSE)</f>
        <v>440549</v>
      </c>
      <c r="I11" s="15">
        <f>VLOOKUP(F11,'Appen2a. Deaths 2020'!$F$4:$H$33,3,FALSE)</f>
        <v>42090</v>
      </c>
      <c r="J11" s="16">
        <f t="shared" si="8"/>
        <v>1.0381958162694507E-2</v>
      </c>
      <c r="K11" s="22">
        <v>10</v>
      </c>
      <c r="L11" s="45">
        <f>VLOOKUP(F11,'Appen4a. 2020 LT CDC_abridged'!$G$5:$R$40,12,FALSE)</f>
        <v>5.4031242975949656</v>
      </c>
      <c r="M11" s="17">
        <f>'Appen3a. 2020 LT_construct'!J11</f>
        <v>9.9090528635697048E-2</v>
      </c>
      <c r="N11" s="18">
        <f t="shared" si="12"/>
        <v>90127.814515740654</v>
      </c>
      <c r="O11" s="18">
        <f t="shared" si="13"/>
        <v>8930.8127851447916</v>
      </c>
      <c r="P11" s="18">
        <f t="shared" si="9"/>
        <v>860224.30886264611</v>
      </c>
      <c r="Q11" s="18">
        <f t="shared" si="1"/>
        <v>2393900.1635376802</v>
      </c>
      <c r="R11" s="19">
        <f>'Appen3a. 2020 LT_construct'!Q11</f>
        <v>26.56116956125226</v>
      </c>
      <c r="S11" s="20">
        <f t="shared" si="2"/>
        <v>0.9044601168087999</v>
      </c>
      <c r="T11" s="20">
        <f t="shared" si="3"/>
        <v>0.90090947136430299</v>
      </c>
      <c r="U11" s="20">
        <f t="shared" si="10"/>
        <v>0.90993613125513306</v>
      </c>
      <c r="V11" s="21">
        <f t="shared" si="14"/>
        <v>90696.114775557799</v>
      </c>
      <c r="W11" s="21">
        <f t="shared" si="15"/>
        <v>8168.442976815224</v>
      </c>
      <c r="X11" s="20">
        <f t="shared" si="11"/>
        <v>9.0063868744866937E-2</v>
      </c>
      <c r="Y11" s="21">
        <f>((-K11/24)*W10+(K11/2)*W11+(K11/24)*W12)/W11</f>
        <v>5.5090770757301319</v>
      </c>
      <c r="Z11" s="21">
        <f t="shared" si="4"/>
        <v>870277.29993540735</v>
      </c>
      <c r="AA11" s="21">
        <f t="shared" si="5"/>
        <v>2525385.4925502026</v>
      </c>
      <c r="AB11" s="21">
        <f t="shared" si="6"/>
        <v>27.844472707565007</v>
      </c>
      <c r="AC11" s="23"/>
      <c r="AD11" s="22"/>
      <c r="AE11" s="23"/>
      <c r="AF11" s="22"/>
      <c r="AG11" s="21">
        <f t="shared" si="7"/>
        <v>1.2833031463127469</v>
      </c>
      <c r="AI11" s="5"/>
    </row>
    <row r="12" spans="1:35" s="24" customFormat="1" ht="15" customHeight="1">
      <c r="B12" s="5" t="s">
        <v>3</v>
      </c>
      <c r="C12" s="5" t="s">
        <v>42</v>
      </c>
      <c r="D12" s="41" t="s">
        <v>117</v>
      </c>
      <c r="E12" s="41">
        <v>65</v>
      </c>
      <c r="F12" s="4" t="str">
        <f t="shared" si="0"/>
        <v>United StatesTotal65</v>
      </c>
      <c r="G12" s="6">
        <f>VLOOKUP(F12,'Appen1a. py 2020'!$F$4:$G$33,2,FALSE)</f>
        <v>32568951.399999999</v>
      </c>
      <c r="H12" s="15">
        <f>VLOOKUP(F12,'Appen2a. Deaths 2020'!$F$4:$H$33,2,FALSE)</f>
        <v>674507</v>
      </c>
      <c r="I12" s="15">
        <f>VLOOKUP(F12,'Appen2a. Deaths 2020'!$F$4:$H$33,3,FALSE)</f>
        <v>76277</v>
      </c>
      <c r="J12" s="16">
        <f t="shared" si="8"/>
        <v>2.071012332315986E-2</v>
      </c>
      <c r="K12" s="22">
        <v>10</v>
      </c>
      <c r="L12" s="45">
        <f>VLOOKUP(F12,'Appen4a. 2020 LT CDC_abridged'!$G$5:$R$40,12,FALSE)</f>
        <v>5.3441390041493779</v>
      </c>
      <c r="M12" s="17">
        <f>'Appen3a. 2020 LT_construct'!J12</f>
        <v>0.18888799962431232</v>
      </c>
      <c r="N12" s="18">
        <f t="shared" si="12"/>
        <v>81197.001730595861</v>
      </c>
      <c r="O12" s="18">
        <f t="shared" si="13"/>
        <v>15337.139232384077</v>
      </c>
      <c r="P12" s="18">
        <f t="shared" si="9"/>
        <v>740562.42896597134</v>
      </c>
      <c r="Q12" s="18">
        <f t="shared" si="1"/>
        <v>1533675.8546750338</v>
      </c>
      <c r="R12" s="19">
        <f>'Appen3a. 2020 LT_construct'!Q12</f>
        <v>18.888331120447383</v>
      </c>
      <c r="S12" s="20">
        <f t="shared" si="2"/>
        <v>0.88691444269666586</v>
      </c>
      <c r="T12" s="20">
        <f t="shared" si="3"/>
        <v>0.81111200037568765</v>
      </c>
      <c r="U12" s="20">
        <f t="shared" si="10"/>
        <v>0.83054366921745637</v>
      </c>
      <c r="V12" s="21">
        <f t="shared" si="14"/>
        <v>82527.67179874258</v>
      </c>
      <c r="W12" s="21">
        <f t="shared" si="15"/>
        <v>13984.836451040919</v>
      </c>
      <c r="X12" s="20">
        <f t="shared" si="11"/>
        <v>0.16945633078254363</v>
      </c>
      <c r="Y12" s="21">
        <f>((-K12/24)*W11+(K12/2)*W12+(K12/24)*W13)/W12</f>
        <v>5.5056452890926417</v>
      </c>
      <c r="Z12" s="21">
        <f t="shared" si="4"/>
        <v>762423.90240242123</v>
      </c>
      <c r="AA12" s="21">
        <f t="shared" si="5"/>
        <v>1655108.1926147952</v>
      </c>
      <c r="AB12" s="21">
        <f t="shared" si="6"/>
        <v>20.055190659577203</v>
      </c>
      <c r="AC12" s="23"/>
      <c r="AD12" s="22"/>
      <c r="AE12" s="23"/>
      <c r="AF12" s="22"/>
      <c r="AG12" s="21">
        <f t="shared" si="7"/>
        <v>1.1668595391298204</v>
      </c>
      <c r="AI12" s="5"/>
    </row>
    <row r="13" spans="1:35" s="24" customFormat="1" ht="15" customHeight="1">
      <c r="B13" s="5" t="s">
        <v>3</v>
      </c>
      <c r="C13" s="5" t="s">
        <v>42</v>
      </c>
      <c r="D13" s="41" t="s">
        <v>116</v>
      </c>
      <c r="E13" s="41">
        <v>75</v>
      </c>
      <c r="F13" s="4" t="str">
        <f t="shared" si="0"/>
        <v>United StatesTotal75</v>
      </c>
      <c r="G13" s="6">
        <f>VLOOKUP(F13,'Appen1a. py 2020'!$F$4:$G$33,2,FALSE)</f>
        <v>16467057.4</v>
      </c>
      <c r="H13" s="15">
        <f>VLOOKUP(F13,'Appen2a. Deaths 2020'!$F$4:$H$33,2,FALSE)</f>
        <v>822084</v>
      </c>
      <c r="I13" s="15">
        <f>VLOOKUP(F13,'Appen2a. Deaths 2020'!$F$4:$H$33,3,FALSE)</f>
        <v>97030</v>
      </c>
      <c r="J13" s="16">
        <f t="shared" si="8"/>
        <v>4.9922944945828635E-2</v>
      </c>
      <c r="K13" s="22">
        <v>10</v>
      </c>
      <c r="L13" s="45">
        <f>VLOOKUP(F13,'Appen4a. 2020 LT CDC_abridged'!$G$5:$R$40,12,FALSE)</f>
        <v>5.2988663307646711</v>
      </c>
      <c r="M13" s="17">
        <f>'Appen3a. 2020 LT_construct'!J13</f>
        <v>0.40433441210675275</v>
      </c>
      <c r="N13" s="18">
        <f t="shared" si="12"/>
        <v>65859.862498211791</v>
      </c>
      <c r="O13" s="18">
        <f t="shared" si="13"/>
        <v>26629.408784646035</v>
      </c>
      <c r="P13" s="18">
        <f t="shared" si="9"/>
        <v>533410.21475278749</v>
      </c>
      <c r="Q13" s="18">
        <f t="shared" si="1"/>
        <v>793113.42570906249</v>
      </c>
      <c r="R13" s="19">
        <f>'Appen3a. 2020 LT_construct'!Q13</f>
        <v>12.042439744398143</v>
      </c>
      <c r="S13" s="20">
        <f t="shared" si="2"/>
        <v>0.88197069885802426</v>
      </c>
      <c r="T13" s="20">
        <f t="shared" si="3"/>
        <v>0.59566558789324731</v>
      </c>
      <c r="U13" s="20">
        <f t="shared" si="10"/>
        <v>0.63322610076214214</v>
      </c>
      <c r="V13" s="21">
        <f t="shared" si="14"/>
        <v>68542.835347701664</v>
      </c>
      <c r="W13" s="21">
        <f t="shared" si="15"/>
        <v>25139.722985295011</v>
      </c>
      <c r="X13" s="20">
        <f t="shared" si="11"/>
        <v>0.36677389923785786</v>
      </c>
      <c r="Y13" s="21">
        <f>K13+S13*(M13/X13)*(L13-K13)</f>
        <v>5.4291282138491335</v>
      </c>
      <c r="Z13" s="21">
        <f t="shared" si="4"/>
        <v>570517.9029718833</v>
      </c>
      <c r="AA13" s="21">
        <f t="shared" si="5"/>
        <v>892684.29021237395</v>
      </c>
      <c r="AB13" s="21">
        <f t="shared" si="6"/>
        <v>13.02374326483573</v>
      </c>
      <c r="AC13" s="23"/>
      <c r="AD13" s="22"/>
      <c r="AE13" s="23"/>
      <c r="AF13" s="22"/>
      <c r="AG13" s="21">
        <f t="shared" si="7"/>
        <v>0.98130352043758684</v>
      </c>
      <c r="AI13" s="5"/>
    </row>
    <row r="14" spans="1:35" s="24" customFormat="1" ht="15" customHeight="1">
      <c r="B14" s="5" t="s">
        <v>3</v>
      </c>
      <c r="C14" s="5" t="s">
        <v>42</v>
      </c>
      <c r="D14" s="42" t="s">
        <v>115</v>
      </c>
      <c r="E14" s="41">
        <v>85</v>
      </c>
      <c r="F14" s="4" t="str">
        <f t="shared" si="0"/>
        <v>United StatesTotal85</v>
      </c>
      <c r="G14" s="6">
        <f>VLOOKUP(F14,'Appen1a. py 2020'!$F$4:$G$33,2,FALSE)</f>
        <v>6704707.3300000001</v>
      </c>
      <c r="H14" s="15">
        <f>VLOOKUP(F14,'Appen2a. Deaths 2020'!$F$4:$H$33,2,FALSE)</f>
        <v>1012805</v>
      </c>
      <c r="I14" s="15">
        <f>VLOOKUP(F14,'Appen2a. Deaths 2020'!$F$4:$H$33,3,FALSE)</f>
        <v>109529</v>
      </c>
      <c r="J14" s="16">
        <f t="shared" si="8"/>
        <v>0.15105879349397344</v>
      </c>
      <c r="K14" s="22"/>
      <c r="L14" s="5"/>
      <c r="M14" s="14">
        <v>1</v>
      </c>
      <c r="N14" s="18">
        <f t="shared" si="12"/>
        <v>39230.453713565759</v>
      </c>
      <c r="O14" s="18">
        <f t="shared" si="13"/>
        <v>39230.453713565759</v>
      </c>
      <c r="P14" s="32">
        <f>O14*R14</f>
        <v>259703.21095627494</v>
      </c>
      <c r="Q14" s="18">
        <f>P14</f>
        <v>259703.21095627494</v>
      </c>
      <c r="R14" s="19">
        <f>'Appen3a. 2020 LT_construct'!Q14</f>
        <v>6.6199390109645977</v>
      </c>
      <c r="S14" s="20">
        <f t="shared" si="2"/>
        <v>0.89185578665192211</v>
      </c>
      <c r="T14" s="20">
        <f t="shared" si="3"/>
        <v>0</v>
      </c>
      <c r="U14" s="20">
        <f t="shared" si="10"/>
        <v>0</v>
      </c>
      <c r="V14" s="21">
        <f t="shared" si="14"/>
        <v>43403.112362406653</v>
      </c>
      <c r="W14" s="21">
        <f>V14*(1-U14)</f>
        <v>43403.112362406653</v>
      </c>
      <c r="X14" s="20">
        <f t="shared" si="11"/>
        <v>1</v>
      </c>
      <c r="Y14" s="21">
        <f>R14/S14</f>
        <v>7.4226563420261353</v>
      </c>
      <c r="Z14" s="21">
        <f t="shared" si="4"/>
        <v>322166.3872404907</v>
      </c>
      <c r="AA14" s="21">
        <f>Z14</f>
        <v>322166.3872404907</v>
      </c>
      <c r="AB14" s="21">
        <f t="shared" si="6"/>
        <v>7.4226563420261353</v>
      </c>
      <c r="AC14" s="23"/>
      <c r="AD14" s="22"/>
      <c r="AE14" s="23"/>
      <c r="AF14" s="22"/>
      <c r="AG14" s="21">
        <f t="shared" si="7"/>
        <v>0.80271733106153764</v>
      </c>
      <c r="AI14" s="5"/>
    </row>
    <row r="15" spans="1:35" s="24" customFormat="1" ht="15" customHeight="1">
      <c r="B15" s="25"/>
      <c r="C15" s="25"/>
      <c r="D15" s="43" t="s">
        <v>3</v>
      </c>
      <c r="E15" s="43"/>
      <c r="F15" s="25"/>
      <c r="G15" s="26">
        <f>SUM(G5:G14)</f>
        <v>329709017.82999998</v>
      </c>
      <c r="H15" s="26">
        <f>SUM(H5:H14)</f>
        <v>3383613</v>
      </c>
      <c r="I15" s="26">
        <f>SUM(I5:I14)</f>
        <v>350827</v>
      </c>
      <c r="J15" s="27"/>
      <c r="K15" s="28"/>
      <c r="L15" s="27"/>
      <c r="M15" s="27"/>
      <c r="N15" s="29"/>
      <c r="O15" s="29"/>
      <c r="P15" s="27"/>
      <c r="Q15" s="27"/>
      <c r="R15" s="27"/>
      <c r="S15" s="28"/>
      <c r="T15" s="28"/>
      <c r="U15" s="28"/>
      <c r="V15" s="30"/>
      <c r="W15" s="30"/>
      <c r="X15" s="28"/>
      <c r="Y15" s="28"/>
      <c r="Z15" s="28"/>
      <c r="AA15" s="28"/>
      <c r="AB15" s="28"/>
      <c r="AC15" s="28"/>
      <c r="AD15" s="28"/>
      <c r="AE15" s="28"/>
      <c r="AF15" s="28"/>
      <c r="AG15" s="28"/>
    </row>
    <row r="16" spans="1:35">
      <c r="L16" s="31"/>
      <c r="Y16" s="31"/>
    </row>
    <row r="17" spans="2:33">
      <c r="Y17" s="244"/>
    </row>
    <row r="18" spans="2:33">
      <c r="L18" s="31"/>
      <c r="Y18" s="31"/>
    </row>
    <row r="19" spans="2:33" ht="16.2">
      <c r="C19" s="7" t="str">
        <f>_xlfn.CONCAT(C22," ",B22," DT20")</f>
        <v>United States Female DT20</v>
      </c>
      <c r="D19" s="36"/>
      <c r="E19" s="36"/>
      <c r="F19" s="7"/>
      <c r="G19" s="8"/>
      <c r="I19" s="7" t="s">
        <v>33</v>
      </c>
    </row>
    <row r="21" spans="2:33" s="3" customFormat="1" ht="18.600000000000001">
      <c r="B21" s="1" t="s">
        <v>0</v>
      </c>
      <c r="C21" s="1" t="s">
        <v>274</v>
      </c>
      <c r="D21" s="37" t="s">
        <v>8</v>
      </c>
      <c r="E21" s="37" t="s">
        <v>118</v>
      </c>
      <c r="F21" s="1" t="s">
        <v>36</v>
      </c>
      <c r="G21" s="2" t="s">
        <v>9</v>
      </c>
      <c r="H21" s="2" t="s">
        <v>10</v>
      </c>
      <c r="I21" s="11" t="s">
        <v>17</v>
      </c>
      <c r="J21" s="2" t="s">
        <v>11</v>
      </c>
      <c r="K21" s="1" t="s">
        <v>5</v>
      </c>
      <c r="L21" s="2" t="s">
        <v>6</v>
      </c>
      <c r="M21" s="2" t="s">
        <v>12</v>
      </c>
      <c r="N21" s="1" t="s">
        <v>13</v>
      </c>
      <c r="O21" s="2" t="s">
        <v>7</v>
      </c>
      <c r="P21" s="2" t="s">
        <v>14</v>
      </c>
      <c r="Q21" s="1" t="s">
        <v>15</v>
      </c>
      <c r="R21" s="1" t="s">
        <v>16</v>
      </c>
      <c r="S21" s="1" t="s">
        <v>18</v>
      </c>
      <c r="T21" s="2" t="s">
        <v>19</v>
      </c>
      <c r="U21" s="2" t="s">
        <v>20</v>
      </c>
      <c r="V21" s="1" t="s">
        <v>21</v>
      </c>
      <c r="W21" s="2" t="s">
        <v>22</v>
      </c>
      <c r="X21" s="2" t="s">
        <v>23</v>
      </c>
      <c r="Y21" s="2" t="s">
        <v>24</v>
      </c>
      <c r="Z21" s="2" t="s">
        <v>25</v>
      </c>
      <c r="AA21" s="1" t="s">
        <v>26</v>
      </c>
      <c r="AB21" s="1" t="s">
        <v>27</v>
      </c>
      <c r="AC21" s="12" t="s">
        <v>28</v>
      </c>
      <c r="AD21" s="12" t="s">
        <v>29</v>
      </c>
      <c r="AE21" s="12" t="s">
        <v>30</v>
      </c>
      <c r="AF21" s="12" t="s">
        <v>31</v>
      </c>
      <c r="AG21" s="13" t="s">
        <v>32</v>
      </c>
    </row>
    <row r="22" spans="2:33" s="5" customFormat="1" ht="15" customHeight="1">
      <c r="B22" s="5" t="s">
        <v>35</v>
      </c>
      <c r="C22" s="5" t="s">
        <v>42</v>
      </c>
      <c r="D22" s="38" t="s">
        <v>108</v>
      </c>
      <c r="E22" s="38">
        <v>0</v>
      </c>
      <c r="F22" s="4" t="str">
        <f t="shared" ref="F22:F31" si="16">_xlfn.CONCAT(C22,B22,E22)</f>
        <v>United StatesFemale0</v>
      </c>
      <c r="G22" s="6">
        <f>VLOOKUP(F22,'Appen1a. py 2020'!$F$4:$G$33,2,FALSE)</f>
        <v>9468037.5399999991</v>
      </c>
      <c r="H22" s="15">
        <f>VLOOKUP(F22,'Appen2a. Deaths 2020'!$F$4:$H$33,2,FALSE)</f>
        <v>10226</v>
      </c>
      <c r="I22" s="15">
        <f>VLOOKUP(F22,'Appen2a. Deaths 2020'!$F$4:$H$33,3,FALSE)</f>
        <v>20</v>
      </c>
      <c r="J22" s="16">
        <f>H22/G22</f>
        <v>1.0800548642522598E-3</v>
      </c>
      <c r="K22" s="14">
        <v>5</v>
      </c>
      <c r="L22" s="45">
        <f>VLOOKUP(F22,'Appen4a. 2020 LT CDC_abridged'!$G$5:$R$40,12,FALSE)</f>
        <v>0.49647887323943662</v>
      </c>
      <c r="M22" s="17">
        <f>'Appen3a. 2020 LT_construct'!J16</f>
        <v>5.3741342640359173E-3</v>
      </c>
      <c r="N22" s="14">
        <v>100000</v>
      </c>
      <c r="O22" s="18">
        <f>N22*M22</f>
        <v>537.41342640359176</v>
      </c>
      <c r="P22" s="18">
        <f>N23*K22+O22*L22</f>
        <v>497579.74728038663</v>
      </c>
      <c r="Q22" s="18">
        <f t="shared" ref="Q22:Q30" si="17">Q23+P22</f>
        <v>8023191.6057133703</v>
      </c>
      <c r="R22" s="19">
        <f>'Appen3a. 2020 LT_construct'!Q16</f>
        <v>80.231916057133702</v>
      </c>
      <c r="S22" s="20">
        <f t="shared" ref="S22:S31" si="18">(H22-I22)/H22</f>
        <v>0.99804420105613145</v>
      </c>
      <c r="T22" s="20">
        <f t="shared" ref="T22:T31" si="19">1-M22</f>
        <v>0.99462586573596412</v>
      </c>
      <c r="U22" s="20">
        <f>T22^S22</f>
        <v>0.99463634822356262</v>
      </c>
      <c r="V22" s="14">
        <v>100000</v>
      </c>
      <c r="W22" s="21">
        <f>V22*(1-U22)</f>
        <v>536.36517764373832</v>
      </c>
      <c r="X22" s="20">
        <f>W22/V22</f>
        <v>5.3636517764373828E-3</v>
      </c>
      <c r="Y22" s="21">
        <f>K22+S22*(M22/X22)*(L22-K22)</f>
        <v>0.49650258334841535</v>
      </c>
      <c r="Z22" s="21">
        <f t="shared" ref="Z22:Z31" si="20">V23*K22+W22*Y22</f>
        <v>497584.48080809962</v>
      </c>
      <c r="AA22" s="21">
        <f t="shared" ref="AA22:AA30" si="21">AA23+Z22</f>
        <v>8148296.6862300728</v>
      </c>
      <c r="AB22" s="21">
        <f t="shared" ref="AB22:AB31" si="22">AA22/V22</f>
        <v>81.482966862300728</v>
      </c>
      <c r="AC22" s="14"/>
      <c r="AD22" s="14"/>
      <c r="AE22" s="14"/>
      <c r="AF22" s="14"/>
      <c r="AG22" s="21">
        <f t="shared" ref="AG22:AG31" si="23">AB22-R22</f>
        <v>1.2510508051670257</v>
      </c>
    </row>
    <row r="23" spans="2:33" s="24" customFormat="1" ht="15" customHeight="1">
      <c r="B23" s="5" t="s">
        <v>35</v>
      </c>
      <c r="C23" s="5" t="s">
        <v>42</v>
      </c>
      <c r="D23" s="39" t="s">
        <v>109</v>
      </c>
      <c r="E23" s="39">
        <v>5</v>
      </c>
      <c r="F23" s="4" t="str">
        <f t="shared" si="16"/>
        <v>United StatesFemale5</v>
      </c>
      <c r="G23" s="6">
        <f>VLOOKUP(F23,'Appen1a. py 2020'!$F$4:$G$33,2,FALSE)</f>
        <v>20045138.100000001</v>
      </c>
      <c r="H23" s="15">
        <f>VLOOKUP(F23,'Appen2a. Deaths 2020'!$F$4:$H$33,2,FALSE)</f>
        <v>2261</v>
      </c>
      <c r="I23" s="15">
        <f>VLOOKUP(F23,'Appen2a. Deaths 2020'!$F$4:$H$33,3,FALSE)</f>
        <v>21</v>
      </c>
      <c r="J23" s="16">
        <f t="shared" ref="J23:J31" si="24">H23/G23</f>
        <v>1.1279543142683562E-4</v>
      </c>
      <c r="K23" s="22">
        <v>10</v>
      </c>
      <c r="L23" s="45">
        <f>VLOOKUP(F23,'Appen4a. 2020 LT CDC_abridged'!$G$5:$R$40,12,FALSE)</f>
        <v>5.3125</v>
      </c>
      <c r="M23" s="17">
        <f>'Appen3a. 2020 LT_construct'!J17</f>
        <v>1.1273582477374525E-3</v>
      </c>
      <c r="N23" s="18">
        <f>N22-O22</f>
        <v>99462.586573596403</v>
      </c>
      <c r="O23" s="18">
        <f>N23*M23</f>
        <v>112.12996731504431</v>
      </c>
      <c r="P23" s="18">
        <f t="shared" ref="P23:P30" si="25">N24*K23+O23*L23</f>
        <v>994100.25651417463</v>
      </c>
      <c r="Q23" s="18">
        <f t="shared" si="17"/>
        <v>7525611.858432984</v>
      </c>
      <c r="R23" s="19">
        <f>'Appen3a. 2020 LT_construct'!Q17</f>
        <v>75.662740309538179</v>
      </c>
      <c r="S23" s="20">
        <f t="shared" si="18"/>
        <v>0.99071207430340558</v>
      </c>
      <c r="T23" s="20">
        <f t="shared" si="19"/>
        <v>0.99887264175226254</v>
      </c>
      <c r="U23" s="20">
        <f t="shared" ref="U23:U31" si="26">T23^S23</f>
        <v>0.9988831067223185</v>
      </c>
      <c r="V23" s="21">
        <f>V22-W22</f>
        <v>99463.634822356267</v>
      </c>
      <c r="W23" s="21">
        <f>V23*(1-U23)</f>
        <v>111.09026510685693</v>
      </c>
      <c r="X23" s="20">
        <f t="shared" ref="X23:X31" si="27">W23/V23</f>
        <v>1.1168932776814966E-3</v>
      </c>
      <c r="Y23" s="21">
        <f>K23+S23*(M23/X23)*(L23-K23)</f>
        <v>5.3125245501682103</v>
      </c>
      <c r="Z23" s="21">
        <f t="shared" si="20"/>
        <v>994115.61533315899</v>
      </c>
      <c r="AA23" s="21">
        <f t="shared" si="21"/>
        <v>7650712.205421973</v>
      </c>
      <c r="AB23" s="21">
        <f t="shared" si="22"/>
        <v>76.919692499537888</v>
      </c>
      <c r="AC23" s="23"/>
      <c r="AD23" s="22"/>
      <c r="AE23" s="23"/>
      <c r="AF23" s="22"/>
      <c r="AG23" s="21">
        <f t="shared" si="23"/>
        <v>1.2569521899997085</v>
      </c>
    </row>
    <row r="24" spans="2:33" s="24" customFormat="1" ht="15" customHeight="1">
      <c r="B24" s="5" t="s">
        <v>35</v>
      </c>
      <c r="C24" s="5" t="s">
        <v>42</v>
      </c>
      <c r="D24" s="40" t="s">
        <v>110</v>
      </c>
      <c r="E24" s="40">
        <v>15</v>
      </c>
      <c r="F24" s="4" t="str">
        <f t="shared" si="16"/>
        <v>United StatesFemale15</v>
      </c>
      <c r="G24" s="6">
        <f>VLOOKUP(F24,'Appen1a. py 2020'!$F$4:$G$33,2,FALSE)</f>
        <v>20848863.899999999</v>
      </c>
      <c r="H24" s="15">
        <f>VLOOKUP(F24,'Appen2a. Deaths 2020'!$F$4:$H$33,2,FALSE)</f>
        <v>9332</v>
      </c>
      <c r="I24" s="15">
        <f>VLOOKUP(F24,'Appen2a. Deaths 2020'!$F$4:$H$33,3,FALSE)</f>
        <v>192</v>
      </c>
      <c r="J24" s="16">
        <f t="shared" si="24"/>
        <v>4.4760232714646868E-4</v>
      </c>
      <c r="K24" s="22">
        <v>10</v>
      </c>
      <c r="L24" s="45">
        <f>VLOOKUP(F24,'Appen4a. 2020 LT CDC_abridged'!$G$5:$R$40,12,FALSE)</f>
        <v>5.6825396825396828</v>
      </c>
      <c r="M24" s="17">
        <f>'Appen3a. 2020 LT_construct'!J18</f>
        <v>4.4673900166453187E-3</v>
      </c>
      <c r="N24" s="18">
        <f t="shared" ref="N24:N31" si="28">N23-O23</f>
        <v>99350.456606281354</v>
      </c>
      <c r="O24" s="18">
        <f t="shared" ref="O24:O31" si="29">N24*M24</f>
        <v>443.83723799205529</v>
      </c>
      <c r="P24" s="18">
        <f t="shared" si="25"/>
        <v>991588.31640037161</v>
      </c>
      <c r="Q24" s="18">
        <f t="shared" si="17"/>
        <v>6531511.6019188091</v>
      </c>
      <c r="R24" s="19">
        <f>'Appen3a. 2020 LT_construct'!Q18</f>
        <v>65.742139744789654</v>
      </c>
      <c r="S24" s="20">
        <f t="shared" si="18"/>
        <v>0.97942563223317614</v>
      </c>
      <c r="T24" s="20">
        <f t="shared" si="19"/>
        <v>0.99553260998335469</v>
      </c>
      <c r="U24" s="20">
        <f t="shared" si="26"/>
        <v>0.99562432231906106</v>
      </c>
      <c r="V24" s="21">
        <f t="shared" ref="V24:V31" si="30">V23-W23</f>
        <v>99352.544557249406</v>
      </c>
      <c r="W24" s="21">
        <f t="shared" ref="W24:W30" si="31">V24*(1-U24)</f>
        <v>434.73471176364762</v>
      </c>
      <c r="X24" s="20">
        <f t="shared" si="27"/>
        <v>4.3756776809389386E-3</v>
      </c>
      <c r="Y24" s="21">
        <f>K24+S24*(M24/X24)*(L24-K24)</f>
        <v>5.6827383925542332</v>
      </c>
      <c r="Z24" s="21">
        <f t="shared" si="20"/>
        <v>991648.58209197281</v>
      </c>
      <c r="AA24" s="21">
        <f t="shared" si="21"/>
        <v>6656596.5900888145</v>
      </c>
      <c r="AB24" s="21">
        <f t="shared" si="22"/>
        <v>66.99975949033815</v>
      </c>
      <c r="AC24" s="23"/>
      <c r="AD24" s="22"/>
      <c r="AE24" s="23"/>
      <c r="AF24" s="22"/>
      <c r="AG24" s="21">
        <f t="shared" si="23"/>
        <v>1.2576197455484959</v>
      </c>
    </row>
    <row r="25" spans="2:33" s="24" customFormat="1" ht="15" customHeight="1">
      <c r="B25" s="5" t="s">
        <v>35</v>
      </c>
      <c r="C25" s="5" t="s">
        <v>42</v>
      </c>
      <c r="D25" s="40" t="s">
        <v>111</v>
      </c>
      <c r="E25" s="40">
        <v>25</v>
      </c>
      <c r="F25" s="4" t="str">
        <f t="shared" si="16"/>
        <v>United StatesFemale25</v>
      </c>
      <c r="G25" s="6">
        <f>VLOOKUP(F25,'Appen1a. py 2020'!$F$4:$G$33,2,FALSE)</f>
        <v>22612707.699999999</v>
      </c>
      <c r="H25" s="15">
        <f>VLOOKUP(F25,'Appen2a. Deaths 2020'!$F$4:$H$33,2,FALSE)</f>
        <v>21654</v>
      </c>
      <c r="I25" s="15">
        <f>VLOOKUP(F25,'Appen2a. Deaths 2020'!$F$4:$H$33,3,FALSE)</f>
        <v>788</v>
      </c>
      <c r="J25" s="16">
        <f t="shared" si="24"/>
        <v>9.5760314453629104E-4</v>
      </c>
      <c r="K25" s="22">
        <v>10</v>
      </c>
      <c r="L25" s="45">
        <f>VLOOKUP(F25,'Appen4a. 2020 LT CDC_abridged'!$G$5:$R$40,12,FALSE)</f>
        <v>5.3936170212765955</v>
      </c>
      <c r="M25" s="17">
        <f>'Appen3a. 2020 LT_construct'!J19</f>
        <v>9.5339762483405231E-3</v>
      </c>
      <c r="N25" s="18">
        <f t="shared" si="28"/>
        <v>98906.619368289292</v>
      </c>
      <c r="O25" s="18">
        <f t="shared" si="29"/>
        <v>942.97335986092685</v>
      </c>
      <c r="P25" s="18">
        <f t="shared" si="25"/>
        <v>984722.49724863993</v>
      </c>
      <c r="Q25" s="18">
        <f t="shared" si="17"/>
        <v>5539923.2855184376</v>
      </c>
      <c r="R25" s="19">
        <f>'Appen3a. 2020 LT_construct'!Q19</f>
        <v>56.011653425236844</v>
      </c>
      <c r="S25" s="20">
        <f t="shared" si="18"/>
        <v>0.96360949478156466</v>
      </c>
      <c r="T25" s="20">
        <f t="shared" si="19"/>
        <v>0.99046602375165949</v>
      </c>
      <c r="U25" s="20">
        <f t="shared" si="26"/>
        <v>0.99081137098672989</v>
      </c>
      <c r="V25" s="21">
        <f t="shared" si="30"/>
        <v>98917.809845485754</v>
      </c>
      <c r="W25" s="21">
        <f t="shared" si="31"/>
        <v>908.91905747536623</v>
      </c>
      <c r="X25" s="20">
        <f t="shared" si="27"/>
        <v>9.1886290132701109E-3</v>
      </c>
      <c r="Y25" s="21">
        <f>((-K25/24)*W24+(K25/2)*W25+(K25/24)*W26)/W25</f>
        <v>5.5194770013785943</v>
      </c>
      <c r="Z25" s="21">
        <f t="shared" si="20"/>
        <v>985105.6657139539</v>
      </c>
      <c r="AA25" s="21">
        <f t="shared" si="21"/>
        <v>5664948.0079968413</v>
      </c>
      <c r="AB25" s="21">
        <f t="shared" si="22"/>
        <v>57.269242180409726</v>
      </c>
      <c r="AC25" s="23"/>
      <c r="AD25" s="22"/>
      <c r="AE25" s="23"/>
      <c r="AF25" s="22"/>
      <c r="AG25" s="21">
        <f t="shared" si="23"/>
        <v>1.2575887551728826</v>
      </c>
    </row>
    <row r="26" spans="2:33" s="24" customFormat="1" ht="15" customHeight="1">
      <c r="B26" s="5" t="s">
        <v>35</v>
      </c>
      <c r="C26" s="5" t="s">
        <v>42</v>
      </c>
      <c r="D26" s="40" t="s">
        <v>112</v>
      </c>
      <c r="E26" s="40">
        <v>35</v>
      </c>
      <c r="F26" s="4" t="str">
        <f t="shared" si="16"/>
        <v>United StatesFemale35</v>
      </c>
      <c r="G26" s="6">
        <f>VLOOKUP(F26,'Appen1a. py 2020'!$F$4:$G$33,2,FALSE)</f>
        <v>21086104.600000001</v>
      </c>
      <c r="H26" s="15">
        <f>VLOOKUP(F26,'Appen2a. Deaths 2020'!$F$4:$H$33,2,FALSE)</f>
        <v>35996</v>
      </c>
      <c r="I26" s="15">
        <f>VLOOKUP(F26,'Appen2a. Deaths 2020'!$F$4:$H$33,3,FALSE)</f>
        <v>2011</v>
      </c>
      <c r="J26" s="16">
        <f t="shared" si="24"/>
        <v>1.7070957714968367E-3</v>
      </c>
      <c r="K26" s="22">
        <v>10</v>
      </c>
      <c r="L26" s="45">
        <f>VLOOKUP(F26,'Appen4a. 2020 LT CDC_abridged'!$G$5:$R$40,12,FALSE)</f>
        <v>5.3445783132530122</v>
      </c>
      <c r="M26" s="17">
        <f>'Appen3a. 2020 LT_construct'!J20</f>
        <v>1.6936360214802632E-2</v>
      </c>
      <c r="N26" s="18">
        <f t="shared" si="28"/>
        <v>97963.646008428361</v>
      </c>
      <c r="O26" s="18">
        <f t="shared" si="29"/>
        <v>1659.1475967541546</v>
      </c>
      <c r="P26" s="18">
        <f t="shared" si="25"/>
        <v>971912.42838084023</v>
      </c>
      <c r="Q26" s="18">
        <f t="shared" si="17"/>
        <v>4555200.7882697973</v>
      </c>
      <c r="R26" s="19">
        <f>'Appen3a. 2020 LT_construct'!Q20</f>
        <v>46.498889882864177</v>
      </c>
      <c r="S26" s="20">
        <f t="shared" si="18"/>
        <v>0.94413268140904549</v>
      </c>
      <c r="T26" s="20">
        <f t="shared" si="19"/>
        <v>0.9830636397851974</v>
      </c>
      <c r="U26" s="20">
        <f t="shared" si="26"/>
        <v>0.98400221846515334</v>
      </c>
      <c r="V26" s="21">
        <f t="shared" si="30"/>
        <v>98008.890788010394</v>
      </c>
      <c r="W26" s="21">
        <f t="shared" si="31"/>
        <v>1567.9248232992352</v>
      </c>
      <c r="X26" s="20">
        <f t="shared" si="27"/>
        <v>1.5997781534846656E-2</v>
      </c>
      <c r="Y26" s="21">
        <f>((-K26/24)*W25+(K26/2)*W26+(K26/24)*W27)/W26</f>
        <v>5.5699430419040459</v>
      </c>
      <c r="Z26" s="21">
        <f t="shared" si="20"/>
        <v>973142.91160687571</v>
      </c>
      <c r="AA26" s="21">
        <f t="shared" si="21"/>
        <v>4679842.3422828875</v>
      </c>
      <c r="AB26" s="21">
        <f t="shared" si="22"/>
        <v>47.749161373586134</v>
      </c>
      <c r="AC26" s="23"/>
      <c r="AD26" s="22"/>
      <c r="AE26" s="23"/>
      <c r="AF26" s="22"/>
      <c r="AG26" s="21">
        <f t="shared" si="23"/>
        <v>1.250271490721957</v>
      </c>
    </row>
    <row r="27" spans="2:33" s="24" customFormat="1" ht="15" customHeight="1">
      <c r="B27" s="5" t="s">
        <v>35</v>
      </c>
      <c r="C27" s="5" t="s">
        <v>42</v>
      </c>
      <c r="D27" s="40" t="s">
        <v>113</v>
      </c>
      <c r="E27" s="40">
        <v>45</v>
      </c>
      <c r="F27" s="4" t="str">
        <f t="shared" si="16"/>
        <v>United StatesFemale45</v>
      </c>
      <c r="G27" s="6">
        <f>VLOOKUP(F27,'Appen1a. py 2020'!$F$4:$G$33,2,FALSE)</f>
        <v>20460697.100000001</v>
      </c>
      <c r="H27" s="15">
        <f>VLOOKUP(F27,'Appen2a. Deaths 2020'!$F$4:$H$33,2,FALSE)</f>
        <v>71298</v>
      </c>
      <c r="I27" s="15">
        <f>VLOOKUP(F27,'Appen2a. Deaths 2020'!$F$4:$H$33,3,FALSE)</f>
        <v>5579</v>
      </c>
      <c r="J27" s="16">
        <f t="shared" si="24"/>
        <v>3.4846320069906122E-3</v>
      </c>
      <c r="K27" s="22">
        <v>10</v>
      </c>
      <c r="L27" s="45">
        <f>VLOOKUP(F27,'Appen4a. 2020 LT CDC_abridged'!$G$5:$R$40,12,FALSE)</f>
        <v>5.4672555589399936</v>
      </c>
      <c r="M27" s="17">
        <f>'Appen3a. 2020 LT_construct'!J21</f>
        <v>3.43044826072572E-2</v>
      </c>
      <c r="N27" s="18">
        <f t="shared" si="28"/>
        <v>96304.498411674213</v>
      </c>
      <c r="O27" s="18">
        <f t="shared" si="29"/>
        <v>3303.6759907639066</v>
      </c>
      <c r="P27" s="18">
        <f t="shared" si="25"/>
        <v>948070.26513454365</v>
      </c>
      <c r="Q27" s="18">
        <f t="shared" si="17"/>
        <v>3583288.3598889569</v>
      </c>
      <c r="R27" s="19">
        <f>'Appen3a. 2020 LT_construct'!Q21</f>
        <v>37.207902216274704</v>
      </c>
      <c r="S27" s="20">
        <f t="shared" si="18"/>
        <v>0.92175096075626239</v>
      </c>
      <c r="T27" s="20">
        <f t="shared" si="19"/>
        <v>0.96569551739274284</v>
      </c>
      <c r="U27" s="20">
        <f t="shared" si="26"/>
        <v>0.96833683849209895</v>
      </c>
      <c r="V27" s="21">
        <f t="shared" si="30"/>
        <v>96440.965964711155</v>
      </c>
      <c r="W27" s="21">
        <f t="shared" si="31"/>
        <v>3053.6258813186373</v>
      </c>
      <c r="X27" s="20">
        <f t="shared" si="27"/>
        <v>3.166316150790105E-2</v>
      </c>
      <c r="Y27" s="21">
        <f>((-K27/24)*W26+(K27/2)*W27+(K27/24)*W28)/W27</f>
        <v>5.6552145659068511</v>
      </c>
      <c r="Z27" s="21">
        <f t="shared" si="20"/>
        <v>951142.31039678841</v>
      </c>
      <c r="AA27" s="21">
        <f t="shared" si="21"/>
        <v>3706699.4306760123</v>
      </c>
      <c r="AB27" s="21">
        <f t="shared" si="22"/>
        <v>38.434905681392031</v>
      </c>
      <c r="AC27" s="23"/>
      <c r="AD27" s="22"/>
      <c r="AE27" s="23"/>
      <c r="AF27" s="22"/>
      <c r="AG27" s="21">
        <f t="shared" si="23"/>
        <v>1.2270034651173276</v>
      </c>
    </row>
    <row r="28" spans="2:33" s="24" customFormat="1" ht="15" customHeight="1">
      <c r="B28" s="5" t="s">
        <v>35</v>
      </c>
      <c r="C28" s="5" t="s">
        <v>42</v>
      </c>
      <c r="D28" s="40" t="s">
        <v>114</v>
      </c>
      <c r="E28" s="40">
        <v>55</v>
      </c>
      <c r="F28" s="4" t="str">
        <f t="shared" si="16"/>
        <v>United StatesFemale55</v>
      </c>
      <c r="G28" s="6">
        <f>VLOOKUP(F28,'Appen1a. py 2020'!$F$4:$G$33,2,FALSE)</f>
        <v>21929073.600000001</v>
      </c>
      <c r="H28" s="15">
        <f>VLOOKUP(F28,'Appen2a. Deaths 2020'!$F$4:$H$33,2,FALSE)</f>
        <v>169422</v>
      </c>
      <c r="I28" s="15">
        <f>VLOOKUP(F28,'Appen2a. Deaths 2020'!$F$4:$H$33,3,FALSE)</f>
        <v>15093</v>
      </c>
      <c r="J28" s="16">
        <f t="shared" si="24"/>
        <v>7.7259077647493504E-3</v>
      </c>
      <c r="K28" s="22">
        <v>10</v>
      </c>
      <c r="L28" s="45">
        <f>VLOOKUP(F28,'Appen4a. 2020 LT CDC_abridged'!$G$5:$R$40,12,FALSE)</f>
        <v>5.4293564714389007</v>
      </c>
      <c r="M28" s="17">
        <f>'Appen3a. 2020 LT_construct'!J22</f>
        <v>7.4623929803017505E-2</v>
      </c>
      <c r="N28" s="18">
        <f t="shared" si="28"/>
        <v>93000.822420910306</v>
      </c>
      <c r="O28" s="18">
        <f t="shared" si="29"/>
        <v>6940.0868439609076</v>
      </c>
      <c r="P28" s="18">
        <f t="shared" si="25"/>
        <v>898287.56118810119</v>
      </c>
      <c r="Q28" s="18">
        <f t="shared" si="17"/>
        <v>2635218.0947544132</v>
      </c>
      <c r="R28" s="19">
        <f>'Appen3a. 2020 LT_construct'!Q22</f>
        <v>28.335427861355242</v>
      </c>
      <c r="S28" s="20">
        <f t="shared" si="18"/>
        <v>0.91091475723341719</v>
      </c>
      <c r="T28" s="20">
        <f t="shared" si="19"/>
        <v>0.92537607019698254</v>
      </c>
      <c r="U28" s="20">
        <f t="shared" si="26"/>
        <v>0.9317916412153997</v>
      </c>
      <c r="V28" s="21">
        <f t="shared" si="30"/>
        <v>93387.340083392512</v>
      </c>
      <c r="W28" s="21">
        <f t="shared" si="31"/>
        <v>6369.7971983475209</v>
      </c>
      <c r="X28" s="20">
        <f t="shared" si="27"/>
        <v>6.8208358784600298E-2</v>
      </c>
      <c r="Y28" s="21">
        <f>((-K28/24)*W27+(K28/2)*W28+(K28/24)*W29)/W28</f>
        <v>5.5792604737230116</v>
      </c>
      <c r="Z28" s="21">
        <f t="shared" si="20"/>
        <v>905714.1865848219</v>
      </c>
      <c r="AA28" s="21">
        <f t="shared" si="21"/>
        <v>2755557.1202792237</v>
      </c>
      <c r="AB28" s="21">
        <f t="shared" si="22"/>
        <v>29.506752390833505</v>
      </c>
      <c r="AC28" s="23"/>
      <c r="AD28" s="22"/>
      <c r="AE28" s="23"/>
      <c r="AF28" s="22"/>
      <c r="AG28" s="21">
        <f t="shared" si="23"/>
        <v>1.1713245294782624</v>
      </c>
    </row>
    <row r="29" spans="2:33" s="24" customFormat="1" ht="15" customHeight="1">
      <c r="B29" s="5" t="s">
        <v>35</v>
      </c>
      <c r="C29" s="5" t="s">
        <v>42</v>
      </c>
      <c r="D29" s="41" t="s">
        <v>117</v>
      </c>
      <c r="E29" s="41">
        <v>65</v>
      </c>
      <c r="F29" s="4" t="str">
        <f t="shared" si="16"/>
        <v>United StatesFemale65</v>
      </c>
      <c r="G29" s="6">
        <f>VLOOKUP(F29,'Appen1a. py 2020'!$F$4:$G$33,2,FALSE)</f>
        <v>17369154.699999999</v>
      </c>
      <c r="H29" s="15">
        <f>VLOOKUP(F29,'Appen2a. Deaths 2020'!$F$4:$H$33,2,FALSE)</f>
        <v>282508</v>
      </c>
      <c r="I29" s="15">
        <f>VLOOKUP(F29,'Appen2a. Deaths 2020'!$F$4:$H$33,3,FALSE)</f>
        <v>29263</v>
      </c>
      <c r="J29" s="16">
        <f t="shared" si="24"/>
        <v>1.6264925085847731E-2</v>
      </c>
      <c r="K29" s="22">
        <v>10</v>
      </c>
      <c r="L29" s="45">
        <f>VLOOKUP(F29,'Appen4a. 2020 LT CDC_abridged'!$G$5:$R$40,12,FALSE)</f>
        <v>5.4375999390847483</v>
      </c>
      <c r="M29" s="17">
        <f>'Appen3a. 2020 LT_construct'!J23</f>
        <v>0.15141330902103486</v>
      </c>
      <c r="N29" s="18">
        <f t="shared" si="28"/>
        <v>86060.735576949402</v>
      </c>
      <c r="O29" s="18">
        <f t="shared" si="29"/>
        <v>13030.740750490209</v>
      </c>
      <c r="P29" s="18">
        <f t="shared" si="25"/>
        <v>801155.90337568673</v>
      </c>
      <c r="Q29" s="18">
        <f t="shared" si="17"/>
        <v>1736930.5335663119</v>
      </c>
      <c r="R29" s="19">
        <f>'Appen3a. 2020 LT_construct'!Q23</f>
        <v>20.182613150142924</v>
      </c>
      <c r="S29" s="20">
        <f t="shared" si="18"/>
        <v>0.89641709261330649</v>
      </c>
      <c r="T29" s="20">
        <f t="shared" si="19"/>
        <v>0.84858669097896511</v>
      </c>
      <c r="U29" s="20">
        <f t="shared" si="26"/>
        <v>0.86314164168742957</v>
      </c>
      <c r="V29" s="21">
        <f t="shared" si="30"/>
        <v>87017.542885044997</v>
      </c>
      <c r="W29" s="21">
        <f t="shared" si="31"/>
        <v>11909.078063640951</v>
      </c>
      <c r="X29" s="20">
        <f t="shared" si="27"/>
        <v>0.13685835831257043</v>
      </c>
      <c r="Y29" s="21">
        <f>((-K29/24)*W28+(K29/2)*W29+(K29/24)*W30)/W29</f>
        <v>5.6305430885959611</v>
      </c>
      <c r="Z29" s="21">
        <f t="shared" si="20"/>
        <v>818139.22539682384</v>
      </c>
      <c r="AA29" s="21">
        <f t="shared" si="21"/>
        <v>1849842.9336944018</v>
      </c>
      <c r="AB29" s="21">
        <f t="shared" si="22"/>
        <v>21.258275887405219</v>
      </c>
      <c r="AC29" s="23"/>
      <c r="AD29" s="22"/>
      <c r="AE29" s="23"/>
      <c r="AF29" s="22"/>
      <c r="AG29" s="21">
        <f t="shared" si="23"/>
        <v>1.0756627372622951</v>
      </c>
    </row>
    <row r="30" spans="2:33" s="24" customFormat="1" ht="15" customHeight="1">
      <c r="B30" s="5" t="s">
        <v>35</v>
      </c>
      <c r="C30" s="5" t="s">
        <v>42</v>
      </c>
      <c r="D30" s="41" t="s">
        <v>116</v>
      </c>
      <c r="E30" s="41">
        <v>75</v>
      </c>
      <c r="F30" s="4" t="str">
        <f t="shared" si="16"/>
        <v>United StatesFemale75</v>
      </c>
      <c r="G30" s="6">
        <f>VLOOKUP(F30,'Appen1a. py 2020'!$F$4:$G$33,2,FALSE)</f>
        <v>9235949.0099999998</v>
      </c>
      <c r="H30" s="15">
        <f>VLOOKUP(F30,'Appen2a. Deaths 2020'!$F$4:$H$33,2,FALSE)</f>
        <v>393226</v>
      </c>
      <c r="I30" s="15">
        <f>VLOOKUP(F30,'Appen2a. Deaths 2020'!$F$4:$H$33,3,FALSE)</f>
        <v>42311</v>
      </c>
      <c r="J30" s="16">
        <f t="shared" si="24"/>
        <v>4.2575592348360093E-2</v>
      </c>
      <c r="K30" s="22">
        <v>10</v>
      </c>
      <c r="L30" s="45">
        <f>VLOOKUP(F30,'Appen4a. 2020 LT CDC_abridged'!$G$5:$R$40,12,FALSE)</f>
        <v>5.396211403674938</v>
      </c>
      <c r="M30" s="17">
        <f>'Appen3a. 2020 LT_construct'!J24</f>
        <v>0.35598052693382654</v>
      </c>
      <c r="N30" s="18">
        <f t="shared" si="28"/>
        <v>73029.994826459195</v>
      </c>
      <c r="O30" s="18">
        <f t="shared" si="29"/>
        <v>25997.256040297569</v>
      </c>
      <c r="P30" s="18">
        <f t="shared" si="25"/>
        <v>610614.0773705272</v>
      </c>
      <c r="Q30" s="18">
        <f t="shared" si="17"/>
        <v>935774.63019062509</v>
      </c>
      <c r="R30" s="19">
        <f>'Appen3a. 2020 LT_construct'!Q24</f>
        <v>12.813565609778578</v>
      </c>
      <c r="S30" s="20">
        <f t="shared" si="18"/>
        <v>0.89240029906466001</v>
      </c>
      <c r="T30" s="20">
        <f t="shared" si="19"/>
        <v>0.64401947306617346</v>
      </c>
      <c r="U30" s="20">
        <f t="shared" si="26"/>
        <v>0.67524505085630482</v>
      </c>
      <c r="V30" s="21">
        <f t="shared" si="30"/>
        <v>75108.46482140405</v>
      </c>
      <c r="W30" s="21">
        <f t="shared" si="31"/>
        <v>24391.845673336091</v>
      </c>
      <c r="X30" s="20">
        <f t="shared" si="27"/>
        <v>0.32475494914369518</v>
      </c>
      <c r="Y30" s="21">
        <f>K30+S30*(M30/X30)*(L30-K30)</f>
        <v>5.4965479471071994</v>
      </c>
      <c r="Z30" s="21">
        <f t="shared" si="20"/>
        <v>641237.14074261067</v>
      </c>
      <c r="AA30" s="21">
        <f t="shared" si="21"/>
        <v>1031703.7082975779</v>
      </c>
      <c r="AB30" s="21">
        <f t="shared" si="22"/>
        <v>13.736184207077121</v>
      </c>
      <c r="AC30" s="23"/>
      <c r="AD30" s="22"/>
      <c r="AE30" s="23"/>
      <c r="AF30" s="22"/>
      <c r="AG30" s="21">
        <f t="shared" si="23"/>
        <v>0.92261859729854301</v>
      </c>
    </row>
    <row r="31" spans="2:33" s="24" customFormat="1" ht="15" customHeight="1">
      <c r="B31" s="5" t="s">
        <v>35</v>
      </c>
      <c r="C31" s="5" t="s">
        <v>42</v>
      </c>
      <c r="D31" s="42" t="s">
        <v>115</v>
      </c>
      <c r="E31" s="41">
        <v>85</v>
      </c>
      <c r="F31" s="4" t="str">
        <f t="shared" si="16"/>
        <v>United StatesFemale85</v>
      </c>
      <c r="G31" s="6">
        <f>VLOOKUP(F31,'Appen1a. py 2020'!$F$4:$G$33,2,FALSE)</f>
        <v>4271744.18</v>
      </c>
      <c r="H31" s="15">
        <f>VLOOKUP(F31,'Appen2a. Deaths 2020'!$F$4:$H$33,2,FALSE)</f>
        <v>617885</v>
      </c>
      <c r="I31" s="15">
        <f>VLOOKUP(F31,'Appen2a. Deaths 2020'!$F$4:$H$33,3,FALSE)</f>
        <v>63040</v>
      </c>
      <c r="J31" s="16">
        <f t="shared" si="24"/>
        <v>0.14464466362309178</v>
      </c>
      <c r="K31" s="22"/>
      <c r="L31" s="5"/>
      <c r="M31" s="14">
        <v>1</v>
      </c>
      <c r="N31" s="18">
        <f t="shared" si="28"/>
        <v>47032.73878616163</v>
      </c>
      <c r="O31" s="18">
        <f t="shared" si="29"/>
        <v>47032.73878616163</v>
      </c>
      <c r="P31" s="32">
        <f>O31*R31</f>
        <v>325160.55282009789</v>
      </c>
      <c r="Q31" s="18">
        <f>P31</f>
        <v>325160.55282009789</v>
      </c>
      <c r="R31" s="19">
        <f>'Appen3a. 2020 LT_construct'!Q25</f>
        <v>6.9134939025870503</v>
      </c>
      <c r="S31" s="20">
        <f t="shared" si="18"/>
        <v>0.89797454218827133</v>
      </c>
      <c r="T31" s="20">
        <f t="shared" si="19"/>
        <v>0</v>
      </c>
      <c r="U31" s="20">
        <f t="shared" si="26"/>
        <v>0</v>
      </c>
      <c r="V31" s="21">
        <f t="shared" si="30"/>
        <v>50716.619148067955</v>
      </c>
      <c r="W31" s="21">
        <f>V31*(1-U31)</f>
        <v>50716.619148067955</v>
      </c>
      <c r="X31" s="20">
        <f t="shared" si="27"/>
        <v>1</v>
      </c>
      <c r="Y31" s="21">
        <f>R31/S31</f>
        <v>7.6989865277690157</v>
      </c>
      <c r="Z31" s="21">
        <f t="shared" si="20"/>
        <v>390466.5675549673</v>
      </c>
      <c r="AA31" s="21">
        <f>Z31</f>
        <v>390466.5675549673</v>
      </c>
      <c r="AB31" s="21">
        <f t="shared" si="22"/>
        <v>7.6989865277690157</v>
      </c>
      <c r="AC31" s="23"/>
      <c r="AD31" s="22"/>
      <c r="AE31" s="23"/>
      <c r="AF31" s="22"/>
      <c r="AG31" s="21">
        <f t="shared" si="23"/>
        <v>0.78549262518196539</v>
      </c>
    </row>
    <row r="32" spans="2:33" s="24" customFormat="1" ht="15" customHeight="1">
      <c r="B32" s="25"/>
      <c r="C32" s="25"/>
      <c r="D32" s="43" t="s">
        <v>3</v>
      </c>
      <c r="E32" s="43"/>
      <c r="F32" s="25"/>
      <c r="G32" s="26">
        <f>SUM(G22:G31)</f>
        <v>167327470.42999998</v>
      </c>
      <c r="H32" s="26">
        <f>SUM(H22:H31)</f>
        <v>1613808</v>
      </c>
      <c r="I32" s="26">
        <f>SUM(I22:I31)</f>
        <v>158318</v>
      </c>
      <c r="J32" s="27"/>
      <c r="K32" s="28"/>
      <c r="L32" s="27"/>
      <c r="M32" s="27"/>
      <c r="N32" s="29"/>
      <c r="O32" s="29"/>
      <c r="P32" s="27"/>
      <c r="Q32" s="27"/>
      <c r="R32" s="27"/>
      <c r="S32" s="28"/>
      <c r="T32" s="28"/>
      <c r="U32" s="28"/>
      <c r="V32" s="30"/>
      <c r="W32" s="30"/>
      <c r="X32" s="28"/>
      <c r="Y32" s="28"/>
      <c r="Z32" s="28"/>
      <c r="AA32" s="28"/>
      <c r="AB32" s="28"/>
      <c r="AC32" s="28"/>
      <c r="AD32" s="28"/>
      <c r="AE32" s="28"/>
      <c r="AF32" s="28"/>
      <c r="AG32" s="28"/>
    </row>
    <row r="33" spans="2:33">
      <c r="L33" s="31"/>
      <c r="Y33" s="31"/>
    </row>
    <row r="34" spans="2:33">
      <c r="Y34" s="244"/>
    </row>
    <row r="35" spans="2:33">
      <c r="L35" s="31"/>
      <c r="Y35" s="31"/>
    </row>
    <row r="36" spans="2:33" ht="16.2">
      <c r="C36" s="7" t="str">
        <f>_xlfn.CONCAT(C39," ",B39," DT20")</f>
        <v>United States Male DT20</v>
      </c>
      <c r="D36" s="36"/>
      <c r="E36" s="36"/>
      <c r="F36" s="7"/>
      <c r="G36" s="8"/>
      <c r="I36" s="7" t="s">
        <v>33</v>
      </c>
    </row>
    <row r="38" spans="2:33" s="3" customFormat="1" ht="18.600000000000001">
      <c r="B38" s="1" t="s">
        <v>0</v>
      </c>
      <c r="C38" s="1" t="s">
        <v>274</v>
      </c>
      <c r="D38" s="37" t="s">
        <v>8</v>
      </c>
      <c r="E38" s="37" t="s">
        <v>118</v>
      </c>
      <c r="F38" s="1" t="s">
        <v>36</v>
      </c>
      <c r="G38" s="2" t="s">
        <v>9</v>
      </c>
      <c r="H38" s="2" t="s">
        <v>10</v>
      </c>
      <c r="I38" s="11" t="s">
        <v>17</v>
      </c>
      <c r="J38" s="2" t="s">
        <v>11</v>
      </c>
      <c r="K38" s="1" t="s">
        <v>5</v>
      </c>
      <c r="L38" s="2" t="s">
        <v>6</v>
      </c>
      <c r="M38" s="2" t="s">
        <v>12</v>
      </c>
      <c r="N38" s="1" t="s">
        <v>13</v>
      </c>
      <c r="O38" s="2" t="s">
        <v>7</v>
      </c>
      <c r="P38" s="2" t="s">
        <v>14</v>
      </c>
      <c r="Q38" s="1" t="s">
        <v>15</v>
      </c>
      <c r="R38" s="1" t="s">
        <v>16</v>
      </c>
      <c r="S38" s="1" t="s">
        <v>18</v>
      </c>
      <c r="T38" s="2" t="s">
        <v>19</v>
      </c>
      <c r="U38" s="2" t="s">
        <v>20</v>
      </c>
      <c r="V38" s="1" t="s">
        <v>21</v>
      </c>
      <c r="W38" s="2" t="s">
        <v>22</v>
      </c>
      <c r="X38" s="2" t="s">
        <v>23</v>
      </c>
      <c r="Y38" s="2" t="s">
        <v>24</v>
      </c>
      <c r="Z38" s="2" t="s">
        <v>25</v>
      </c>
      <c r="AA38" s="1" t="s">
        <v>26</v>
      </c>
      <c r="AB38" s="1" t="s">
        <v>27</v>
      </c>
      <c r="AC38" s="12" t="s">
        <v>28</v>
      </c>
      <c r="AD38" s="12" t="s">
        <v>29</v>
      </c>
      <c r="AE38" s="12" t="s">
        <v>30</v>
      </c>
      <c r="AF38" s="12" t="s">
        <v>31</v>
      </c>
      <c r="AG38" s="13" t="s">
        <v>32</v>
      </c>
    </row>
    <row r="39" spans="2:33" s="5" customFormat="1" ht="15" customHeight="1">
      <c r="B39" s="5" t="s">
        <v>34</v>
      </c>
      <c r="C39" s="5" t="s">
        <v>42</v>
      </c>
      <c r="D39" s="38" t="s">
        <v>108</v>
      </c>
      <c r="E39" s="38">
        <v>0</v>
      </c>
      <c r="F39" s="4" t="str">
        <f t="shared" ref="F39:F48" si="32">_xlfn.CONCAT(C39,B39,E39)</f>
        <v>United StatesMale0</v>
      </c>
      <c r="G39" s="6">
        <f>VLOOKUP(F39,'Appen1a. py 2020'!$F$4:$G$33,2,FALSE)</f>
        <v>9907528.2899999991</v>
      </c>
      <c r="H39" s="15">
        <f>VLOOKUP(F39,'Appen2a. Deaths 2020'!$F$4:$H$33,2,FALSE)</f>
        <v>12885</v>
      </c>
      <c r="I39" s="15">
        <f>VLOOKUP(F39,'Appen2a. Deaths 2020'!$F$4:$H$33,3,FALSE)</f>
        <v>34</v>
      </c>
      <c r="J39" s="16">
        <f>H39/G39</f>
        <v>1.3005261880508847E-3</v>
      </c>
      <c r="K39" s="14">
        <v>5</v>
      </c>
      <c r="L39" s="45">
        <f>VLOOKUP(F39,'Appen4a. 2020 LT CDC_abridged'!$G$5:$R$40,12,FALSE)</f>
        <v>0.52708638360175697</v>
      </c>
      <c r="M39" s="17">
        <f>'Appen3a. 2020 LT_construct'!J27</f>
        <v>6.465022988057372E-3</v>
      </c>
      <c r="N39" s="14">
        <v>100000</v>
      </c>
      <c r="O39" s="18">
        <f>N39*M39</f>
        <v>646.50229880573715</v>
      </c>
      <c r="P39" s="18">
        <f>N40*K39+O39*L39</f>
        <v>497108.25106463907</v>
      </c>
      <c r="Q39" s="18">
        <f t="shared" ref="Q39:Q47" si="33">Q40+P39</f>
        <v>7451934.6614481751</v>
      </c>
      <c r="R39" s="19">
        <f>'Appen3a. 2020 LT_construct'!Q27</f>
        <v>74.519346614481748</v>
      </c>
      <c r="S39" s="20">
        <f t="shared" ref="S39:S48" si="34">(H39-I39)/H39</f>
        <v>0.99736127279782694</v>
      </c>
      <c r="T39" s="20">
        <f t="shared" ref="T39:T48" si="35">1-M39</f>
        <v>0.9935349770119426</v>
      </c>
      <c r="U39" s="20">
        <f>T39^S39</f>
        <v>0.99355198132544309</v>
      </c>
      <c r="V39" s="14">
        <v>100000</v>
      </c>
      <c r="W39" s="21">
        <f>V39*(1-U39)</f>
        <v>644.80186745569097</v>
      </c>
      <c r="X39" s="20">
        <f>W39/V39</f>
        <v>6.4480186745569093E-3</v>
      </c>
      <c r="Y39" s="21">
        <f>K39+S39*(M39/X39)*(L39-K39)</f>
        <v>0.52712461866195781</v>
      </c>
      <c r="Z39" s="21">
        <f t="shared" ref="Z39:Z48" si="36">V40*K39+W39*Y39</f>
        <v>497115.88160121662</v>
      </c>
      <c r="AA39" s="21">
        <f t="shared" ref="AA39:AA47" si="37">AA40+Z39</f>
        <v>7599039.2840865022</v>
      </c>
      <c r="AB39" s="21">
        <f t="shared" ref="AB39:AB48" si="38">AA39/V39</f>
        <v>75.990392840865027</v>
      </c>
      <c r="AC39" s="14"/>
      <c r="AD39" s="14"/>
      <c r="AE39" s="14"/>
      <c r="AF39" s="14"/>
      <c r="AG39" s="21">
        <f t="shared" ref="AG39:AG48" si="39">AB39-R39</f>
        <v>1.4710462263832795</v>
      </c>
    </row>
    <row r="40" spans="2:33" s="24" customFormat="1" ht="15" customHeight="1">
      <c r="B40" s="5" t="s">
        <v>34</v>
      </c>
      <c r="C40" s="5" t="s">
        <v>42</v>
      </c>
      <c r="D40" s="39" t="s">
        <v>109</v>
      </c>
      <c r="E40" s="39">
        <v>5</v>
      </c>
      <c r="F40" s="4" t="str">
        <f t="shared" si="32"/>
        <v>United StatesMale5</v>
      </c>
      <c r="G40" s="6">
        <f>VLOOKUP(F40,'Appen1a. py 2020'!$F$4:$G$33,2,FALSE)</f>
        <v>20937180.300000001</v>
      </c>
      <c r="H40" s="15">
        <f>VLOOKUP(F40,'Appen2a. Deaths 2020'!$F$4:$H$33,2,FALSE)</f>
        <v>3362</v>
      </c>
      <c r="I40" s="15">
        <f>VLOOKUP(F40,'Appen2a. Deaths 2020'!$F$4:$H$33,3,FALSE)</f>
        <v>28</v>
      </c>
      <c r="J40" s="16">
        <f t="shared" ref="J40:J48" si="40">H40/G40</f>
        <v>1.6057558619772693E-4</v>
      </c>
      <c r="K40" s="22">
        <v>10</v>
      </c>
      <c r="L40" s="45">
        <f>VLOOKUP(F40,'Appen4a. 2020 LT CDC_abridged'!$G$5:$R$40,12,FALSE)</f>
        <v>5.6226415094339623</v>
      </c>
      <c r="M40" s="17">
        <f>'Appen3a. 2020 LT_construct'!J28</f>
        <v>1.6046279739397153E-3</v>
      </c>
      <c r="N40" s="18">
        <f>N39-O39</f>
        <v>99353.497701194268</v>
      </c>
      <c r="O40" s="18">
        <f>N40*M40</f>
        <v>159.42540172009151</v>
      </c>
      <c r="P40" s="18">
        <f t="shared" ref="P40:P47" si="41">N41*K40+O40*L40</f>
        <v>992837.11487611127</v>
      </c>
      <c r="Q40" s="18">
        <f t="shared" si="33"/>
        <v>6954826.4103835355</v>
      </c>
      <c r="R40" s="19">
        <f>'Appen3a. 2020 LT_construct'!Q28</f>
        <v>70.00082102091848</v>
      </c>
      <c r="S40" s="20">
        <f t="shared" si="34"/>
        <v>0.99167162403331355</v>
      </c>
      <c r="T40" s="20">
        <f t="shared" si="35"/>
        <v>0.99839537202606032</v>
      </c>
      <c r="U40" s="20">
        <f t="shared" ref="U40:U48" si="42">T40^S40</f>
        <v>0.99840872533259217</v>
      </c>
      <c r="V40" s="21">
        <f>V39-W39</f>
        <v>99355.198132544305</v>
      </c>
      <c r="W40" s="21">
        <f>V40*(1-U40)</f>
        <v>158.10140986360321</v>
      </c>
      <c r="X40" s="20">
        <f t="shared" ref="X40:X48" si="43">W40/V40</f>
        <v>1.5912746674078271E-3</v>
      </c>
      <c r="Y40" s="21">
        <f>K40+S40*(M40/X40)*(L40-K40)</f>
        <v>5.6226707744153241</v>
      </c>
      <c r="Z40" s="21">
        <f t="shared" si="36"/>
        <v>992859.91940344102</v>
      </c>
      <c r="AA40" s="21">
        <f t="shared" si="37"/>
        <v>7101923.4024852859</v>
      </c>
      <c r="AB40" s="21">
        <f t="shared" si="38"/>
        <v>71.48013929790568</v>
      </c>
      <c r="AC40" s="23"/>
      <c r="AD40" s="22"/>
      <c r="AE40" s="23"/>
      <c r="AF40" s="22"/>
      <c r="AG40" s="21">
        <f t="shared" si="39"/>
        <v>1.4793182769872004</v>
      </c>
    </row>
    <row r="41" spans="2:33" s="24" customFormat="1" ht="15" customHeight="1">
      <c r="B41" s="5" t="s">
        <v>34</v>
      </c>
      <c r="C41" s="5" t="s">
        <v>42</v>
      </c>
      <c r="D41" s="40" t="s">
        <v>110</v>
      </c>
      <c r="E41" s="40">
        <v>15</v>
      </c>
      <c r="F41" s="4" t="str">
        <f t="shared" si="32"/>
        <v>United StatesMale15</v>
      </c>
      <c r="G41" s="6">
        <f>VLOOKUP(F41,'Appen1a. py 2020'!$F$4:$G$33,2,FALSE)</f>
        <v>21756402</v>
      </c>
      <c r="H41" s="15">
        <f>VLOOKUP(F41,'Appen2a. Deaths 2020'!$F$4:$H$33,2,FALSE)</f>
        <v>26484</v>
      </c>
      <c r="I41" s="15">
        <f>VLOOKUP(F41,'Appen2a. Deaths 2020'!$F$4:$H$33,3,FALSE)</f>
        <v>309</v>
      </c>
      <c r="J41" s="16">
        <f t="shared" si="40"/>
        <v>1.2172968673772437E-3</v>
      </c>
      <c r="K41" s="22">
        <v>10</v>
      </c>
      <c r="L41" s="45">
        <f>VLOOKUP(F41,'Appen4a. 2020 LT CDC_abridged'!$G$5:$R$40,12,FALSE)</f>
        <v>5.7674223341729638</v>
      </c>
      <c r="M41" s="17">
        <f>'Appen3a. 2020 LT_construct'!J29</f>
        <v>1.2110571334293541E-2</v>
      </c>
      <c r="N41" s="18">
        <f t="shared" ref="N41:N48" si="44">N40-O40</f>
        <v>99194.072299474181</v>
      </c>
      <c r="O41" s="18">
        <f t="shared" ref="O41:O48" si="45">N41*M41</f>
        <v>1201.2968885218531</v>
      </c>
      <c r="P41" s="18">
        <f t="shared" si="41"/>
        <v>986856.14061435673</v>
      </c>
      <c r="Q41" s="18">
        <f t="shared" si="33"/>
        <v>5961989.2955074245</v>
      </c>
      <c r="R41" s="19">
        <f>'Appen3a. 2020 LT_construct'!Q29</f>
        <v>60.104290078017378</v>
      </c>
      <c r="S41" s="20">
        <f t="shared" si="34"/>
        <v>0.98833257816039877</v>
      </c>
      <c r="T41" s="20">
        <f t="shared" si="35"/>
        <v>0.9878894286657065</v>
      </c>
      <c r="U41" s="20">
        <f t="shared" si="42"/>
        <v>0.9880298787115418</v>
      </c>
      <c r="V41" s="21">
        <f t="shared" ref="V41:V48" si="46">V40-W40</f>
        <v>99197.096722680697</v>
      </c>
      <c r="W41" s="21">
        <f t="shared" ref="W41:W47" si="47">V41*(1-U41)</f>
        <v>1187.4012792334076</v>
      </c>
      <c r="X41" s="20">
        <f t="shared" si="43"/>
        <v>1.1970121288458204E-2</v>
      </c>
      <c r="Y41" s="21">
        <f>K41+S41*(M41/X41)*(L41-K41)</f>
        <v>5.7677225713932092</v>
      </c>
      <c r="Z41" s="21">
        <f t="shared" si="36"/>
        <v>986945.55559400853</v>
      </c>
      <c r="AA41" s="21">
        <f t="shared" si="37"/>
        <v>6109063.4830818446</v>
      </c>
      <c r="AB41" s="21">
        <f t="shared" si="38"/>
        <v>61.585103646335362</v>
      </c>
      <c r="AC41" s="23"/>
      <c r="AD41" s="22"/>
      <c r="AE41" s="23"/>
      <c r="AF41" s="22"/>
      <c r="AG41" s="21">
        <f t="shared" si="39"/>
        <v>1.4808135683179842</v>
      </c>
    </row>
    <row r="42" spans="2:33" s="24" customFormat="1" ht="15" customHeight="1">
      <c r="B42" s="5" t="s">
        <v>34</v>
      </c>
      <c r="C42" s="5" t="s">
        <v>42</v>
      </c>
      <c r="D42" s="40" t="s">
        <v>111</v>
      </c>
      <c r="E42" s="40">
        <v>25</v>
      </c>
      <c r="F42" s="4" t="str">
        <f t="shared" si="32"/>
        <v>United StatesMale25</v>
      </c>
      <c r="G42" s="6">
        <f>VLOOKUP(F42,'Appen1a. py 2020'!$F$4:$G$33,2,FALSE)</f>
        <v>23427859.600000001</v>
      </c>
      <c r="H42" s="15">
        <f>VLOOKUP(F42,'Appen2a. Deaths 2020'!$F$4:$H$33,2,FALSE)</f>
        <v>51832</v>
      </c>
      <c r="I42" s="15">
        <f>VLOOKUP(F42,'Appen2a. Deaths 2020'!$F$4:$H$33,3,FALSE)</f>
        <v>1466</v>
      </c>
      <c r="J42" s="16">
        <f t="shared" si="40"/>
        <v>2.2124086828657621E-3</v>
      </c>
      <c r="K42" s="22">
        <v>10</v>
      </c>
      <c r="L42" s="45">
        <f>VLOOKUP(F42,'Appen4a. 2020 LT CDC_abridged'!$G$5:$R$40,12,FALSE)</f>
        <v>5.2471962616822427</v>
      </c>
      <c r="M42" s="17">
        <f>'Appen3a. 2020 LT_construct'!J30</f>
        <v>2.1893869631107305E-2</v>
      </c>
      <c r="N42" s="18">
        <f t="shared" si="44"/>
        <v>97992.775410952323</v>
      </c>
      <c r="O42" s="18">
        <f t="shared" si="45"/>
        <v>2145.4410496377677</v>
      </c>
      <c r="P42" s="18">
        <f t="shared" si="41"/>
        <v>969730.89386846439</v>
      </c>
      <c r="Q42" s="18">
        <f t="shared" si="33"/>
        <v>4975133.1548930677</v>
      </c>
      <c r="R42" s="19">
        <f>'Appen3a. 2020 LT_construct'!Q30</f>
        <v>50.770407655348578</v>
      </c>
      <c r="S42" s="20">
        <f t="shared" si="34"/>
        <v>0.97171631424602567</v>
      </c>
      <c r="T42" s="20">
        <f t="shared" si="35"/>
        <v>0.97810613036889271</v>
      </c>
      <c r="U42" s="20">
        <f t="shared" si="42"/>
        <v>0.97871873266581022</v>
      </c>
      <c r="V42" s="21">
        <f t="shared" si="46"/>
        <v>98009.695443447286</v>
      </c>
      <c r="W42" s="21">
        <f t="shared" si="47"/>
        <v>2085.7705300745238</v>
      </c>
      <c r="X42" s="20">
        <f t="shared" si="43"/>
        <v>2.128126733418978E-2</v>
      </c>
      <c r="Y42" s="21">
        <f>((-K42/24)*W41+(K42/2)*W42+(K42/24)*W43)/W42</f>
        <v>5.3411427260532669</v>
      </c>
      <c r="Z42" s="21">
        <f t="shared" si="36"/>
        <v>970379.64722865133</v>
      </c>
      <c r="AA42" s="21">
        <f t="shared" si="37"/>
        <v>5122117.9274878362</v>
      </c>
      <c r="AB42" s="21">
        <f t="shared" si="38"/>
        <v>52.261339088063558</v>
      </c>
      <c r="AC42" s="23"/>
      <c r="AD42" s="22"/>
      <c r="AE42" s="23"/>
      <c r="AF42" s="22"/>
      <c r="AG42" s="21">
        <f t="shared" si="39"/>
        <v>1.4909314327149801</v>
      </c>
    </row>
    <row r="43" spans="2:33" s="24" customFormat="1" ht="15" customHeight="1">
      <c r="B43" s="5" t="s">
        <v>34</v>
      </c>
      <c r="C43" s="5" t="s">
        <v>42</v>
      </c>
      <c r="D43" s="40" t="s">
        <v>112</v>
      </c>
      <c r="E43" s="40">
        <v>35</v>
      </c>
      <c r="F43" s="4" t="str">
        <f t="shared" si="32"/>
        <v>United StatesMale35</v>
      </c>
      <c r="G43" s="6">
        <f>VLOOKUP(F43,'Appen1a. py 2020'!$F$4:$G$33,2,FALSE)</f>
        <v>21040612.300000001</v>
      </c>
      <c r="H43" s="15">
        <f>VLOOKUP(F43,'Appen2a. Deaths 2020'!$F$4:$H$33,2,FALSE)</f>
        <v>68494</v>
      </c>
      <c r="I43" s="15">
        <f>VLOOKUP(F43,'Appen2a. Deaths 2020'!$F$4:$H$33,3,FALSE)</f>
        <v>4068</v>
      </c>
      <c r="J43" s="16">
        <f t="shared" si="40"/>
        <v>3.2553235154663251E-3</v>
      </c>
      <c r="K43" s="22">
        <v>10</v>
      </c>
      <c r="L43" s="45">
        <f>VLOOKUP(F43,'Appen4a. 2020 LT CDC_abridged'!$G$5:$R$40,12,FALSE)</f>
        <v>5.236653645833333</v>
      </c>
      <c r="M43" s="17">
        <f>'Appen3a. 2020 LT_construct'!J31</f>
        <v>3.2056164781680767E-2</v>
      </c>
      <c r="N43" s="18">
        <f t="shared" si="44"/>
        <v>95847.334361314555</v>
      </c>
      <c r="O43" s="18">
        <f t="shared" si="45"/>
        <v>3072.4979441711525</v>
      </c>
      <c r="P43" s="18">
        <f t="shared" si="41"/>
        <v>943837.97173259337</v>
      </c>
      <c r="Q43" s="18">
        <f t="shared" si="33"/>
        <v>4005402.2610246036</v>
      </c>
      <c r="R43" s="19">
        <f>'Appen3a. 2020 LT_construct'!Q31</f>
        <v>41.789396520152415</v>
      </c>
      <c r="S43" s="20">
        <f t="shared" si="34"/>
        <v>0.94060793646158791</v>
      </c>
      <c r="T43" s="20">
        <f t="shared" si="35"/>
        <v>0.96794383521831928</v>
      </c>
      <c r="U43" s="20">
        <f t="shared" si="42"/>
        <v>0.96981868341218536</v>
      </c>
      <c r="V43" s="21">
        <f t="shared" si="46"/>
        <v>95923.924913372757</v>
      </c>
      <c r="W43" s="21">
        <f t="shared" si="47"/>
        <v>2895.1103461562634</v>
      </c>
      <c r="X43" s="20">
        <f t="shared" si="43"/>
        <v>3.018131658781464E-2</v>
      </c>
      <c r="Y43" s="21">
        <f>((-K43/24)*W42+(K43/2)*W43+(K43/24)*W44)/W43</f>
        <v>5.4105139351331148</v>
      </c>
      <c r="Z43" s="21">
        <f t="shared" si="36"/>
        <v>945952.1805437915</v>
      </c>
      <c r="AA43" s="21">
        <f t="shared" si="37"/>
        <v>4151738.2802591845</v>
      </c>
      <c r="AB43" s="21">
        <f t="shared" si="38"/>
        <v>43.281572183462551</v>
      </c>
      <c r="AC43" s="23"/>
      <c r="AD43" s="22"/>
      <c r="AE43" s="23"/>
      <c r="AF43" s="22"/>
      <c r="AG43" s="21">
        <f t="shared" si="39"/>
        <v>1.4921756633101353</v>
      </c>
    </row>
    <row r="44" spans="2:33" s="24" customFormat="1" ht="15" customHeight="1">
      <c r="B44" s="5" t="s">
        <v>34</v>
      </c>
      <c r="C44" s="5" t="s">
        <v>42</v>
      </c>
      <c r="D44" s="40" t="s">
        <v>113</v>
      </c>
      <c r="E44" s="40">
        <v>45</v>
      </c>
      <c r="F44" s="4" t="str">
        <f t="shared" si="32"/>
        <v>United StatesMale45</v>
      </c>
      <c r="G44" s="6">
        <f>VLOOKUP(F44,'Appen1a. py 2020'!$F$4:$G$33,2,FALSE)</f>
        <v>19943075.100000001</v>
      </c>
      <c r="H44" s="15">
        <f>VLOOKUP(F44,'Appen2a. Deaths 2020'!$F$4:$H$33,2,FALSE)</f>
        <v>119844</v>
      </c>
      <c r="I44" s="15">
        <f>VLOOKUP(F44,'Appen2a. Deaths 2020'!$F$4:$H$33,3,FALSE)</f>
        <v>11385</v>
      </c>
      <c r="J44" s="16">
        <f t="shared" si="40"/>
        <v>6.0093039513249387E-3</v>
      </c>
      <c r="K44" s="22">
        <v>10</v>
      </c>
      <c r="L44" s="45">
        <f>VLOOKUP(F44,'Appen4a. 2020 LT CDC_abridged'!$G$5:$R$40,12,FALSE)</f>
        <v>5.4324424647364511</v>
      </c>
      <c r="M44" s="17">
        <f>'Appen3a. 2020 LT_construct'!J32</f>
        <v>5.8487678968609708E-2</v>
      </c>
      <c r="N44" s="18">
        <f t="shared" si="44"/>
        <v>92774.836417143408</v>
      </c>
      <c r="O44" s="18">
        <f t="shared" si="45"/>
        <v>5426.1848487311645</v>
      </c>
      <c r="P44" s="18">
        <f t="shared" si="41"/>
        <v>902963.95267787913</v>
      </c>
      <c r="Q44" s="18">
        <f t="shared" si="33"/>
        <v>3061564.28929201</v>
      </c>
      <c r="R44" s="19">
        <f>'Appen3a. 2020 LT_construct'!Q32</f>
        <v>32.999942737988796</v>
      </c>
      <c r="S44" s="20">
        <f t="shared" si="34"/>
        <v>0.90500150195253826</v>
      </c>
      <c r="T44" s="20">
        <f t="shared" si="35"/>
        <v>0.94151232103139026</v>
      </c>
      <c r="U44" s="20">
        <f t="shared" si="42"/>
        <v>0.94691827375124682</v>
      </c>
      <c r="V44" s="21">
        <f t="shared" si="46"/>
        <v>93028.814567216497</v>
      </c>
      <c r="W44" s="21">
        <f t="shared" si="47"/>
        <v>4938.1300681030079</v>
      </c>
      <c r="X44" s="20">
        <f t="shared" si="43"/>
        <v>5.308172624875318E-2</v>
      </c>
      <c r="Y44" s="21">
        <f>((-K44/24)*W43+(K44/2)*W44+(K44/24)*W45)/W44</f>
        <v>5.5952113963858974</v>
      </c>
      <c r="Z44" s="21">
        <f t="shared" si="36"/>
        <v>908536.72662502062</v>
      </c>
      <c r="AA44" s="21">
        <f t="shared" si="37"/>
        <v>3205786.099715393</v>
      </c>
      <c r="AB44" s="21">
        <f t="shared" si="38"/>
        <v>34.460141351141296</v>
      </c>
      <c r="AC44" s="23"/>
      <c r="AD44" s="22"/>
      <c r="AE44" s="23"/>
      <c r="AF44" s="22"/>
      <c r="AG44" s="21">
        <f t="shared" si="39"/>
        <v>1.4601986131524995</v>
      </c>
    </row>
    <row r="45" spans="2:33" s="24" customFormat="1" ht="15" customHeight="1">
      <c r="B45" s="5" t="s">
        <v>34</v>
      </c>
      <c r="C45" s="5" t="s">
        <v>42</v>
      </c>
      <c r="D45" s="40" t="s">
        <v>114</v>
      </c>
      <c r="E45" s="40">
        <v>55</v>
      </c>
      <c r="F45" s="4" t="str">
        <f t="shared" si="32"/>
        <v>United StatesMale55</v>
      </c>
      <c r="G45" s="6">
        <f>VLOOKUP(F45,'Appen1a. py 2020'!$F$4:$G$33,2,FALSE)</f>
        <v>20505021.5</v>
      </c>
      <c r="H45" s="15">
        <f>VLOOKUP(F45,'Appen2a. Deaths 2020'!$F$4:$H$33,2,FALSE)</f>
        <v>271127</v>
      </c>
      <c r="I45" s="15">
        <f>VLOOKUP(F45,'Appen2a. Deaths 2020'!$F$4:$H$33,3,FALSE)</f>
        <v>26997</v>
      </c>
      <c r="J45" s="16">
        <f t="shared" si="40"/>
        <v>1.3222468457299593E-2</v>
      </c>
      <c r="K45" s="22">
        <v>10</v>
      </c>
      <c r="L45" s="45">
        <f>VLOOKUP(F45,'Appen4a. 2020 LT CDC_abridged'!$G$5:$R$40,12,FALSE)</f>
        <v>5.3863175364189564</v>
      </c>
      <c r="M45" s="17">
        <f>'Appen3a. 2020 LT_construct'!J33</f>
        <v>0.12462219823816424</v>
      </c>
      <c r="N45" s="18">
        <f t="shared" si="44"/>
        <v>87348.651568412242</v>
      </c>
      <c r="O45" s="18">
        <f t="shared" si="45"/>
        <v>10885.580971595007</v>
      </c>
      <c r="P45" s="18">
        <f t="shared" si="41"/>
        <v>823263.90164958313</v>
      </c>
      <c r="Q45" s="18">
        <f t="shared" si="33"/>
        <v>2158600.336614131</v>
      </c>
      <c r="R45" s="19">
        <f>'Appen3a. 2020 LT_construct'!Q33</f>
        <v>24.712463190384753</v>
      </c>
      <c r="S45" s="20">
        <f t="shared" si="34"/>
        <v>0.90042673728547873</v>
      </c>
      <c r="T45" s="20">
        <f t="shared" si="35"/>
        <v>0.87537780176183577</v>
      </c>
      <c r="U45" s="20">
        <f t="shared" si="42"/>
        <v>0.88705655419959573</v>
      </c>
      <c r="V45" s="21">
        <f t="shared" si="46"/>
        <v>88090.684499113486</v>
      </c>
      <c r="W45" s="21">
        <f t="shared" si="47"/>
        <v>9949.2654502461373</v>
      </c>
      <c r="X45" s="20">
        <f t="shared" si="43"/>
        <v>0.11294344580040427</v>
      </c>
      <c r="Y45" s="21">
        <f>((-K45/24)*W44+(K45/2)*W45+(K45/24)*W46)/W45</f>
        <v>5.4652287332641967</v>
      </c>
      <c r="Z45" s="21">
        <f t="shared" si="36"/>
        <v>835789.20190223143</v>
      </c>
      <c r="AA45" s="21">
        <f t="shared" si="37"/>
        <v>2297249.3730903724</v>
      </c>
      <c r="AB45" s="21">
        <f t="shared" si="38"/>
        <v>26.078232745637152</v>
      </c>
      <c r="AC45" s="23"/>
      <c r="AD45" s="22"/>
      <c r="AE45" s="23"/>
      <c r="AF45" s="22"/>
      <c r="AG45" s="21">
        <f t="shared" si="39"/>
        <v>1.365769555252399</v>
      </c>
    </row>
    <row r="46" spans="2:33" s="24" customFormat="1" ht="15" customHeight="1">
      <c r="B46" s="5" t="s">
        <v>34</v>
      </c>
      <c r="C46" s="5" t="s">
        <v>42</v>
      </c>
      <c r="D46" s="41" t="s">
        <v>117</v>
      </c>
      <c r="E46" s="41">
        <v>65</v>
      </c>
      <c r="F46" s="4" t="str">
        <f t="shared" si="32"/>
        <v>United StatesMale65</v>
      </c>
      <c r="G46" s="6">
        <f>VLOOKUP(F46,'Appen1a. py 2020'!$F$4:$G$33,2,FALSE)</f>
        <v>15199796.800000001</v>
      </c>
      <c r="H46" s="15">
        <f>VLOOKUP(F46,'Appen2a. Deaths 2020'!$F$4:$H$33,2,FALSE)</f>
        <v>391999</v>
      </c>
      <c r="I46" s="15">
        <f>VLOOKUP(F46,'Appen2a. Deaths 2020'!$F$4:$H$33,3,FALSE)</f>
        <v>47014</v>
      </c>
      <c r="J46" s="16">
        <f t="shared" si="40"/>
        <v>2.5789752663009282E-2</v>
      </c>
      <c r="K46" s="22">
        <v>10</v>
      </c>
      <c r="L46" s="45">
        <f>VLOOKUP(F46,'Appen4a. 2020 LT CDC_abridged'!$G$5:$R$40,12,FALSE)</f>
        <v>5.2712488667271078</v>
      </c>
      <c r="M46" s="17">
        <f>'Appen3a. 2020 LT_construct'!J34</f>
        <v>0.22986475599538633</v>
      </c>
      <c r="N46" s="18">
        <f t="shared" si="44"/>
        <v>76463.070596817241</v>
      </c>
      <c r="O46" s="18">
        <f t="shared" si="45"/>
        <v>17576.165065395395</v>
      </c>
      <c r="P46" s="18">
        <f t="shared" si="41"/>
        <v>681517.39549659239</v>
      </c>
      <c r="Q46" s="18">
        <f t="shared" si="33"/>
        <v>1335336.4349645479</v>
      </c>
      <c r="R46" s="19">
        <f>'Appen3a. 2020 LT_construct'!Q34</f>
        <v>17.463808666613122</v>
      </c>
      <c r="S46" s="20">
        <f t="shared" si="34"/>
        <v>0.88006602057658312</v>
      </c>
      <c r="T46" s="20">
        <f t="shared" si="35"/>
        <v>0.77013524400461364</v>
      </c>
      <c r="U46" s="20">
        <f t="shared" si="42"/>
        <v>0.79464191650201421</v>
      </c>
      <c r="V46" s="21">
        <f t="shared" si="46"/>
        <v>78141.419048867348</v>
      </c>
      <c r="W46" s="21">
        <f t="shared" si="47"/>
        <v>16046.972057688397</v>
      </c>
      <c r="X46" s="20">
        <f t="shared" si="43"/>
        <v>0.20535808349798579</v>
      </c>
      <c r="Y46" s="21">
        <f>((-K46/24)*W45+(K46/2)*W46+(K46/24)*W47)/W46</f>
        <v>5.4149575494837556</v>
      </c>
      <c r="Z46" s="21">
        <f t="shared" si="36"/>
        <v>707838.14240192412</v>
      </c>
      <c r="AA46" s="21">
        <f t="shared" si="37"/>
        <v>1461460.1711881408</v>
      </c>
      <c r="AB46" s="21">
        <f t="shared" si="38"/>
        <v>18.702759547714209</v>
      </c>
      <c r="AC46" s="23"/>
      <c r="AD46" s="22"/>
      <c r="AE46" s="23"/>
      <c r="AF46" s="22"/>
      <c r="AG46" s="21">
        <f t="shared" si="39"/>
        <v>1.2389508811010863</v>
      </c>
    </row>
    <row r="47" spans="2:33" s="24" customFormat="1" ht="15" customHeight="1">
      <c r="B47" s="5" t="s">
        <v>34</v>
      </c>
      <c r="C47" s="5" t="s">
        <v>42</v>
      </c>
      <c r="D47" s="41" t="s">
        <v>116</v>
      </c>
      <c r="E47" s="41">
        <v>75</v>
      </c>
      <c r="F47" s="4" t="str">
        <f t="shared" si="32"/>
        <v>United StatesMale75</v>
      </c>
      <c r="G47" s="6">
        <f>VLOOKUP(F47,'Appen1a. py 2020'!$F$4:$G$33,2,FALSE)</f>
        <v>7231108.4400000004</v>
      </c>
      <c r="H47" s="15">
        <f>VLOOKUP(F47,'Appen2a. Deaths 2020'!$F$4:$H$33,2,FALSE)</f>
        <v>428858</v>
      </c>
      <c r="I47" s="15">
        <f>VLOOKUP(F47,'Appen2a. Deaths 2020'!$F$4:$H$33,3,FALSE)</f>
        <v>54719</v>
      </c>
      <c r="J47" s="16">
        <f t="shared" si="40"/>
        <v>5.9307366714030356E-2</v>
      </c>
      <c r="K47" s="22">
        <v>10</v>
      </c>
      <c r="L47" s="45">
        <f>VLOOKUP(F47,'Appen4a. 2020 LT CDC_abridged'!$G$5:$R$40,12,FALSE)</f>
        <v>5.2101880763924191</v>
      </c>
      <c r="M47" s="17">
        <f>'Appen3a. 2020 LT_construct'!J35</f>
        <v>0.46186979229380914</v>
      </c>
      <c r="N47" s="18">
        <f t="shared" si="44"/>
        <v>58886.905531421842</v>
      </c>
      <c r="O47" s="18">
        <f t="shared" si="45"/>
        <v>27198.082826622966</v>
      </c>
      <c r="P47" s="18">
        <f t="shared" si="41"/>
        <v>458595.35389199317</v>
      </c>
      <c r="Q47" s="18">
        <f t="shared" si="33"/>
        <v>653819.03946795536</v>
      </c>
      <c r="R47" s="19">
        <f>'Appen3a. 2020 LT_construct'!Q35</f>
        <v>11.102961406574163</v>
      </c>
      <c r="S47" s="20">
        <f t="shared" si="34"/>
        <v>0.87240765008464338</v>
      </c>
      <c r="T47" s="20">
        <f t="shared" si="35"/>
        <v>0.53813020770619091</v>
      </c>
      <c r="U47" s="20">
        <f t="shared" si="42"/>
        <v>0.58240364491864782</v>
      </c>
      <c r="V47" s="21">
        <f t="shared" si="46"/>
        <v>62094.446991178949</v>
      </c>
      <c r="W47" s="21">
        <f t="shared" si="47"/>
        <v>25930.414734308564</v>
      </c>
      <c r="X47" s="20">
        <f t="shared" si="43"/>
        <v>0.41759635508135218</v>
      </c>
      <c r="Y47" s="21">
        <f>K47+S47*(M47/X47)*(L47-K47)</f>
        <v>5.3783102785209902</v>
      </c>
      <c r="Z47" s="21">
        <f t="shared" si="36"/>
        <v>501102.13866054773</v>
      </c>
      <c r="AA47" s="21">
        <f t="shared" si="37"/>
        <v>753622.02878621675</v>
      </c>
      <c r="AB47" s="21">
        <f t="shared" si="38"/>
        <v>12.136705700805665</v>
      </c>
      <c r="AC47" s="23"/>
      <c r="AD47" s="22"/>
      <c r="AE47" s="23"/>
      <c r="AF47" s="22"/>
      <c r="AG47" s="21">
        <f t="shared" si="39"/>
        <v>1.0337442942315018</v>
      </c>
    </row>
    <row r="48" spans="2:33" s="24" customFormat="1" ht="15" customHeight="1">
      <c r="B48" s="5" t="s">
        <v>34</v>
      </c>
      <c r="C48" s="5" t="s">
        <v>42</v>
      </c>
      <c r="D48" s="42" t="s">
        <v>115</v>
      </c>
      <c r="E48" s="41">
        <v>85</v>
      </c>
      <c r="F48" s="4" t="str">
        <f t="shared" si="32"/>
        <v>United StatesMale85</v>
      </c>
      <c r="G48" s="6">
        <f>VLOOKUP(F48,'Appen1a. py 2020'!$F$4:$G$33,2,FALSE)</f>
        <v>2432963.15</v>
      </c>
      <c r="H48" s="15">
        <f>VLOOKUP(F48,'Appen2a. Deaths 2020'!$F$4:$H$33,2,FALSE)</f>
        <v>394920</v>
      </c>
      <c r="I48" s="15">
        <f>VLOOKUP(F48,'Appen2a. Deaths 2020'!$F$4:$H$33,3,FALSE)</f>
        <v>46489</v>
      </c>
      <c r="J48" s="16">
        <f t="shared" si="40"/>
        <v>0.16232058426367865</v>
      </c>
      <c r="K48" s="22"/>
      <c r="L48" s="5"/>
      <c r="M48" s="14">
        <v>1</v>
      </c>
      <c r="N48" s="18">
        <f t="shared" si="44"/>
        <v>31688.822704798877</v>
      </c>
      <c r="O48" s="18">
        <f t="shared" si="45"/>
        <v>31688.822704798877</v>
      </c>
      <c r="P48" s="32">
        <f>O48*R48</f>
        <v>195223.68557596218</v>
      </c>
      <c r="Q48" s="18">
        <f>P48</f>
        <v>195223.68557596218</v>
      </c>
      <c r="R48" s="19">
        <f>'Appen3a. 2020 LT_construct'!Q36</f>
        <v>6.1606481059455076</v>
      </c>
      <c r="S48" s="20">
        <f t="shared" si="34"/>
        <v>0.88228248759242378</v>
      </c>
      <c r="T48" s="20">
        <f t="shared" si="35"/>
        <v>0</v>
      </c>
      <c r="U48" s="20">
        <f t="shared" si="42"/>
        <v>0</v>
      </c>
      <c r="V48" s="21">
        <f t="shared" si="46"/>
        <v>36164.032256870385</v>
      </c>
      <c r="W48" s="21">
        <f>V48*(1-U48)</f>
        <v>36164.032256870385</v>
      </c>
      <c r="X48" s="20">
        <f t="shared" si="43"/>
        <v>1</v>
      </c>
      <c r="Y48" s="21">
        <f>R48/S48</f>
        <v>6.9826253978549548</v>
      </c>
      <c r="Z48" s="21">
        <f t="shared" si="36"/>
        <v>252519.89012566899</v>
      </c>
      <c r="AA48" s="21">
        <f>Z48</f>
        <v>252519.89012566899</v>
      </c>
      <c r="AB48" s="21">
        <f t="shared" si="38"/>
        <v>6.9826253978549548</v>
      </c>
      <c r="AC48" s="23"/>
      <c r="AD48" s="22"/>
      <c r="AE48" s="23"/>
      <c r="AF48" s="22"/>
      <c r="AG48" s="21">
        <f t="shared" si="39"/>
        <v>0.82197729190944724</v>
      </c>
    </row>
    <row r="49" spans="2:33" s="24" customFormat="1" ht="15" customHeight="1">
      <c r="B49" s="25"/>
      <c r="C49" s="25"/>
      <c r="D49" s="43" t="s">
        <v>3</v>
      </c>
      <c r="E49" s="43"/>
      <c r="F49" s="25"/>
      <c r="G49" s="26">
        <f>SUM(G39:G48)</f>
        <v>162381547.48000002</v>
      </c>
      <c r="H49" s="26">
        <f>SUM(H39:H48)</f>
        <v>1769805</v>
      </c>
      <c r="I49" s="26">
        <f>SUM(I39:I48)</f>
        <v>192509</v>
      </c>
      <c r="J49" s="27"/>
      <c r="K49" s="28"/>
      <c r="L49" s="27"/>
      <c r="M49" s="27"/>
      <c r="N49" s="29"/>
      <c r="O49" s="29"/>
      <c r="P49" s="27"/>
      <c r="Q49" s="27"/>
      <c r="R49" s="27"/>
      <c r="S49" s="28"/>
      <c r="T49" s="28"/>
      <c r="U49" s="28"/>
      <c r="V49" s="30"/>
      <c r="W49" s="30"/>
      <c r="X49" s="28"/>
      <c r="Y49" s="28"/>
      <c r="Z49" s="28"/>
      <c r="AA49" s="28"/>
      <c r="AB49" s="28"/>
      <c r="AC49" s="28"/>
      <c r="AD49" s="28"/>
      <c r="AE49" s="28"/>
      <c r="AF49" s="28"/>
      <c r="AG49" s="28"/>
    </row>
    <row r="50" spans="2:33">
      <c r="L50" s="31"/>
      <c r="Y50" s="31"/>
    </row>
    <row r="51" spans="2:33">
      <c r="Y51" s="244"/>
    </row>
    <row r="52" spans="2:33" ht="15.6">
      <c r="P52" s="62"/>
    </row>
    <row r="53" spans="2:33" ht="15.6">
      <c r="P53" s="62"/>
    </row>
  </sheetData>
  <pageMargins left="0.75" right="0.75" top="1" bottom="1" header="0.5" footer="0.5"/>
  <pageSetup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7A68C-9F01-2B42-A5A8-5F1343122F1B}">
  <dimension ref="B2:G33"/>
  <sheetViews>
    <sheetView workbookViewId="0">
      <pane xSplit="6" ySplit="3" topLeftCell="G4" activePane="bottomRight" state="frozen"/>
      <selection pane="topRight" activeCell="F1" sqref="F1"/>
      <selection pane="bottomLeft" activeCell="A3" sqref="A3"/>
      <selection pane="bottomRight"/>
    </sheetView>
  </sheetViews>
  <sheetFormatPr defaultColWidth="10.796875" defaultRowHeight="15.6"/>
  <cols>
    <col min="1" max="1" width="10.796875" style="64"/>
    <col min="2" max="2" width="13" style="64" customWidth="1"/>
    <col min="3" max="3" width="10.796875" style="64"/>
    <col min="4" max="5" width="10.796875" style="65"/>
    <col min="6" max="6" width="17" style="64" hidden="1" customWidth="1"/>
    <col min="7" max="7" width="19.796875" style="66" customWidth="1"/>
    <col min="8" max="16384" width="10.796875" style="64"/>
  </cols>
  <sheetData>
    <row r="2" spans="2:7">
      <c r="B2" s="63" t="s">
        <v>43</v>
      </c>
    </row>
    <row r="3" spans="2:7" ht="19.95" customHeight="1">
      <c r="B3" s="1" t="s">
        <v>1</v>
      </c>
      <c r="C3" s="1" t="s">
        <v>0</v>
      </c>
      <c r="D3" s="1" t="s">
        <v>41</v>
      </c>
      <c r="E3" s="1" t="s">
        <v>118</v>
      </c>
      <c r="F3" s="1" t="s">
        <v>36</v>
      </c>
      <c r="G3" s="67" t="s">
        <v>39</v>
      </c>
    </row>
    <row r="4" spans="2:7">
      <c r="B4" s="68" t="s">
        <v>42</v>
      </c>
      <c r="C4" s="68" t="s">
        <v>35</v>
      </c>
      <c r="D4" s="69" t="s">
        <v>108</v>
      </c>
      <c r="E4" s="69">
        <v>0</v>
      </c>
      <c r="F4" s="68" t="str">
        <f>_xlfn.CONCAT(B4,C4,E4)</f>
        <v>United StatesFemale0</v>
      </c>
      <c r="G4" s="70">
        <v>9468037.5399999991</v>
      </c>
    </row>
    <row r="5" spans="2:7">
      <c r="B5" s="64" t="s">
        <v>42</v>
      </c>
      <c r="C5" s="64" t="s">
        <v>35</v>
      </c>
      <c r="D5" s="39" t="s">
        <v>109</v>
      </c>
      <c r="E5" s="39">
        <v>5</v>
      </c>
      <c r="F5" s="64" t="str">
        <f t="shared" ref="F5:F33" si="0">_xlfn.CONCAT(B5,C5,E5)</f>
        <v>United StatesFemale5</v>
      </c>
      <c r="G5" s="71">
        <v>20045138.100000001</v>
      </c>
    </row>
    <row r="6" spans="2:7">
      <c r="B6" s="64" t="s">
        <v>42</v>
      </c>
      <c r="C6" s="64" t="s">
        <v>35</v>
      </c>
      <c r="D6" s="40" t="s">
        <v>110</v>
      </c>
      <c r="E6" s="40">
        <v>15</v>
      </c>
      <c r="F6" s="64" t="str">
        <f t="shared" si="0"/>
        <v>United StatesFemale15</v>
      </c>
      <c r="G6" s="71">
        <v>20848863.899999999</v>
      </c>
    </row>
    <row r="7" spans="2:7">
      <c r="B7" s="64" t="s">
        <v>42</v>
      </c>
      <c r="C7" s="64" t="s">
        <v>35</v>
      </c>
      <c r="D7" s="40" t="s">
        <v>111</v>
      </c>
      <c r="E7" s="40">
        <v>25</v>
      </c>
      <c r="F7" s="64" t="str">
        <f t="shared" si="0"/>
        <v>United StatesFemale25</v>
      </c>
      <c r="G7" s="71">
        <v>22612707.699999999</v>
      </c>
    </row>
    <row r="8" spans="2:7">
      <c r="B8" s="64" t="s">
        <v>42</v>
      </c>
      <c r="C8" s="64" t="s">
        <v>35</v>
      </c>
      <c r="D8" s="40" t="s">
        <v>112</v>
      </c>
      <c r="E8" s="40">
        <v>35</v>
      </c>
      <c r="F8" s="64" t="str">
        <f t="shared" si="0"/>
        <v>United StatesFemale35</v>
      </c>
      <c r="G8" s="71">
        <v>21086104.600000001</v>
      </c>
    </row>
    <row r="9" spans="2:7">
      <c r="B9" s="64" t="s">
        <v>42</v>
      </c>
      <c r="C9" s="64" t="s">
        <v>35</v>
      </c>
      <c r="D9" s="40" t="s">
        <v>113</v>
      </c>
      <c r="E9" s="40">
        <v>45</v>
      </c>
      <c r="F9" s="64" t="str">
        <f t="shared" si="0"/>
        <v>United StatesFemale45</v>
      </c>
      <c r="G9" s="71">
        <v>20460697.100000001</v>
      </c>
    </row>
    <row r="10" spans="2:7">
      <c r="B10" s="64" t="s">
        <v>42</v>
      </c>
      <c r="C10" s="64" t="s">
        <v>35</v>
      </c>
      <c r="D10" s="40" t="s">
        <v>114</v>
      </c>
      <c r="E10" s="40">
        <v>55</v>
      </c>
      <c r="F10" s="64" t="str">
        <f t="shared" si="0"/>
        <v>United StatesFemale55</v>
      </c>
      <c r="G10" s="71">
        <v>21929073.600000001</v>
      </c>
    </row>
    <row r="11" spans="2:7">
      <c r="B11" s="64" t="s">
        <v>42</v>
      </c>
      <c r="C11" s="64" t="s">
        <v>35</v>
      </c>
      <c r="D11" s="41" t="s">
        <v>117</v>
      </c>
      <c r="E11" s="41">
        <v>65</v>
      </c>
      <c r="F11" s="64" t="str">
        <f t="shared" si="0"/>
        <v>United StatesFemale65</v>
      </c>
      <c r="G11" s="71">
        <v>17369154.699999999</v>
      </c>
    </row>
    <row r="12" spans="2:7">
      <c r="B12" s="64" t="s">
        <v>42</v>
      </c>
      <c r="C12" s="64" t="s">
        <v>35</v>
      </c>
      <c r="D12" s="41" t="s">
        <v>116</v>
      </c>
      <c r="E12" s="41">
        <v>75</v>
      </c>
      <c r="F12" s="64" t="str">
        <f t="shared" si="0"/>
        <v>United StatesFemale75</v>
      </c>
      <c r="G12" s="71">
        <v>9235949.0099999998</v>
      </c>
    </row>
    <row r="13" spans="2:7">
      <c r="B13" s="72" t="s">
        <v>42</v>
      </c>
      <c r="C13" s="72" t="s">
        <v>35</v>
      </c>
      <c r="D13" s="42" t="s">
        <v>115</v>
      </c>
      <c r="E13" s="42">
        <v>85</v>
      </c>
      <c r="F13" s="72" t="str">
        <f t="shared" si="0"/>
        <v>United StatesFemale85</v>
      </c>
      <c r="G13" s="73">
        <v>4271744.18</v>
      </c>
    </row>
    <row r="14" spans="2:7">
      <c r="B14" s="68" t="s">
        <v>42</v>
      </c>
      <c r="C14" s="68" t="s">
        <v>34</v>
      </c>
      <c r="D14" s="69" t="s">
        <v>108</v>
      </c>
      <c r="E14" s="69">
        <v>0</v>
      </c>
      <c r="F14" s="68" t="str">
        <f t="shared" si="0"/>
        <v>United StatesMale0</v>
      </c>
      <c r="G14" s="70">
        <v>9907528.2899999991</v>
      </c>
    </row>
    <row r="15" spans="2:7">
      <c r="B15" s="64" t="s">
        <v>42</v>
      </c>
      <c r="C15" s="64" t="s">
        <v>34</v>
      </c>
      <c r="D15" s="39" t="s">
        <v>109</v>
      </c>
      <c r="E15" s="39">
        <v>5</v>
      </c>
      <c r="F15" s="64" t="str">
        <f t="shared" si="0"/>
        <v>United StatesMale5</v>
      </c>
      <c r="G15" s="71">
        <v>20937180.300000001</v>
      </c>
    </row>
    <row r="16" spans="2:7">
      <c r="B16" s="64" t="s">
        <v>42</v>
      </c>
      <c r="C16" s="64" t="s">
        <v>34</v>
      </c>
      <c r="D16" s="40" t="s">
        <v>110</v>
      </c>
      <c r="E16" s="40">
        <v>15</v>
      </c>
      <c r="F16" s="64" t="str">
        <f t="shared" si="0"/>
        <v>United StatesMale15</v>
      </c>
      <c r="G16" s="71">
        <v>21756402</v>
      </c>
    </row>
    <row r="17" spans="2:7">
      <c r="B17" s="64" t="s">
        <v>42</v>
      </c>
      <c r="C17" s="64" t="s">
        <v>34</v>
      </c>
      <c r="D17" s="40" t="s">
        <v>111</v>
      </c>
      <c r="E17" s="40">
        <v>25</v>
      </c>
      <c r="F17" s="64" t="str">
        <f t="shared" si="0"/>
        <v>United StatesMale25</v>
      </c>
      <c r="G17" s="71">
        <v>23427859.600000001</v>
      </c>
    </row>
    <row r="18" spans="2:7">
      <c r="B18" s="64" t="s">
        <v>42</v>
      </c>
      <c r="C18" s="64" t="s">
        <v>34</v>
      </c>
      <c r="D18" s="40" t="s">
        <v>112</v>
      </c>
      <c r="E18" s="40">
        <v>35</v>
      </c>
      <c r="F18" s="64" t="str">
        <f t="shared" si="0"/>
        <v>United StatesMale35</v>
      </c>
      <c r="G18" s="71">
        <v>21040612.300000001</v>
      </c>
    </row>
    <row r="19" spans="2:7">
      <c r="B19" s="64" t="s">
        <v>42</v>
      </c>
      <c r="C19" s="64" t="s">
        <v>34</v>
      </c>
      <c r="D19" s="40" t="s">
        <v>113</v>
      </c>
      <c r="E19" s="40">
        <v>45</v>
      </c>
      <c r="F19" s="64" t="str">
        <f t="shared" si="0"/>
        <v>United StatesMale45</v>
      </c>
      <c r="G19" s="71">
        <v>19943075.100000001</v>
      </c>
    </row>
    <row r="20" spans="2:7">
      <c r="B20" s="64" t="s">
        <v>42</v>
      </c>
      <c r="C20" s="64" t="s">
        <v>34</v>
      </c>
      <c r="D20" s="40" t="s">
        <v>114</v>
      </c>
      <c r="E20" s="40">
        <v>55</v>
      </c>
      <c r="F20" s="64" t="str">
        <f t="shared" si="0"/>
        <v>United StatesMale55</v>
      </c>
      <c r="G20" s="71">
        <v>20505021.5</v>
      </c>
    </row>
    <row r="21" spans="2:7">
      <c r="B21" s="64" t="s">
        <v>42</v>
      </c>
      <c r="C21" s="64" t="s">
        <v>34</v>
      </c>
      <c r="D21" s="41" t="s">
        <v>117</v>
      </c>
      <c r="E21" s="41">
        <v>65</v>
      </c>
      <c r="F21" s="64" t="str">
        <f t="shared" si="0"/>
        <v>United StatesMale65</v>
      </c>
      <c r="G21" s="71">
        <v>15199796.800000001</v>
      </c>
    </row>
    <row r="22" spans="2:7">
      <c r="B22" s="64" t="s">
        <v>42</v>
      </c>
      <c r="C22" s="64" t="s">
        <v>34</v>
      </c>
      <c r="D22" s="41" t="s">
        <v>116</v>
      </c>
      <c r="E22" s="41">
        <v>75</v>
      </c>
      <c r="F22" s="64" t="str">
        <f t="shared" si="0"/>
        <v>United StatesMale75</v>
      </c>
      <c r="G22" s="71">
        <v>7231108.4400000004</v>
      </c>
    </row>
    <row r="23" spans="2:7">
      <c r="B23" s="72" t="s">
        <v>42</v>
      </c>
      <c r="C23" s="72" t="s">
        <v>34</v>
      </c>
      <c r="D23" s="42" t="s">
        <v>115</v>
      </c>
      <c r="E23" s="42">
        <v>85</v>
      </c>
      <c r="F23" s="72" t="str">
        <f t="shared" si="0"/>
        <v>United StatesMale85</v>
      </c>
      <c r="G23" s="73">
        <v>2432963.15</v>
      </c>
    </row>
    <row r="24" spans="2:7">
      <c r="B24" s="68" t="s">
        <v>42</v>
      </c>
      <c r="C24" s="68" t="s">
        <v>3</v>
      </c>
      <c r="D24" s="69" t="s">
        <v>108</v>
      </c>
      <c r="E24" s="69">
        <v>0</v>
      </c>
      <c r="F24" s="68" t="str">
        <f t="shared" si="0"/>
        <v>United StatesTotal0</v>
      </c>
      <c r="G24" s="70">
        <v>19375565.800000001</v>
      </c>
    </row>
    <row r="25" spans="2:7">
      <c r="B25" s="64" t="s">
        <v>42</v>
      </c>
      <c r="C25" s="64" t="s">
        <v>3</v>
      </c>
      <c r="D25" s="39" t="s">
        <v>109</v>
      </c>
      <c r="E25" s="39">
        <v>5</v>
      </c>
      <c r="F25" s="64" t="str">
        <f t="shared" si="0"/>
        <v>United StatesTotal5</v>
      </c>
      <c r="G25" s="71">
        <v>40982318.5</v>
      </c>
    </row>
    <row r="26" spans="2:7">
      <c r="B26" s="64" t="s">
        <v>42</v>
      </c>
      <c r="C26" s="64" t="s">
        <v>3</v>
      </c>
      <c r="D26" s="40" t="s">
        <v>110</v>
      </c>
      <c r="E26" s="40">
        <v>15</v>
      </c>
      <c r="F26" s="64" t="str">
        <f t="shared" si="0"/>
        <v>United StatesTotal15</v>
      </c>
      <c r="G26" s="71">
        <v>42605265.899999999</v>
      </c>
    </row>
    <row r="27" spans="2:7">
      <c r="B27" s="64" t="s">
        <v>42</v>
      </c>
      <c r="C27" s="64" t="s">
        <v>3</v>
      </c>
      <c r="D27" s="40" t="s">
        <v>111</v>
      </c>
      <c r="E27" s="40">
        <v>25</v>
      </c>
      <c r="F27" s="64" t="str">
        <f t="shared" si="0"/>
        <v>United StatesTotal25</v>
      </c>
      <c r="G27" s="71">
        <v>46040567.299999997</v>
      </c>
    </row>
    <row r="28" spans="2:7">
      <c r="B28" s="64" t="s">
        <v>42</v>
      </c>
      <c r="C28" s="64" t="s">
        <v>3</v>
      </c>
      <c r="D28" s="40" t="s">
        <v>112</v>
      </c>
      <c r="E28" s="40">
        <v>35</v>
      </c>
      <c r="F28" s="64" t="str">
        <f t="shared" si="0"/>
        <v>United StatesTotal35</v>
      </c>
      <c r="G28" s="71">
        <v>42126716.899999999</v>
      </c>
    </row>
    <row r="29" spans="2:7">
      <c r="B29" s="64" t="s">
        <v>42</v>
      </c>
      <c r="C29" s="64" t="s">
        <v>3</v>
      </c>
      <c r="D29" s="40" t="s">
        <v>113</v>
      </c>
      <c r="E29" s="40">
        <v>45</v>
      </c>
      <c r="F29" s="64" t="str">
        <f t="shared" si="0"/>
        <v>United StatesTotal45</v>
      </c>
      <c r="G29" s="71">
        <v>40403772.200000003</v>
      </c>
    </row>
    <row r="30" spans="2:7">
      <c r="B30" s="64" t="s">
        <v>42</v>
      </c>
      <c r="C30" s="64" t="s">
        <v>3</v>
      </c>
      <c r="D30" s="40" t="s">
        <v>114</v>
      </c>
      <c r="E30" s="40">
        <v>55</v>
      </c>
      <c r="F30" s="64" t="str">
        <f t="shared" si="0"/>
        <v>United StatesTotal55</v>
      </c>
      <c r="G30" s="71">
        <v>42434095.100000001</v>
      </c>
    </row>
    <row r="31" spans="2:7">
      <c r="B31" s="64" t="s">
        <v>42</v>
      </c>
      <c r="C31" s="64" t="s">
        <v>3</v>
      </c>
      <c r="D31" s="41" t="s">
        <v>117</v>
      </c>
      <c r="E31" s="41">
        <v>65</v>
      </c>
      <c r="F31" s="64" t="str">
        <f t="shared" si="0"/>
        <v>United StatesTotal65</v>
      </c>
      <c r="G31" s="71">
        <v>32568951.399999999</v>
      </c>
    </row>
    <row r="32" spans="2:7">
      <c r="B32" s="64" t="s">
        <v>42</v>
      </c>
      <c r="C32" s="64" t="s">
        <v>3</v>
      </c>
      <c r="D32" s="41" t="s">
        <v>116</v>
      </c>
      <c r="E32" s="41">
        <v>75</v>
      </c>
      <c r="F32" s="64" t="str">
        <f t="shared" si="0"/>
        <v>United StatesTotal75</v>
      </c>
      <c r="G32" s="71">
        <v>16467057.4</v>
      </c>
    </row>
    <row r="33" spans="2:7">
      <c r="B33" s="72" t="s">
        <v>42</v>
      </c>
      <c r="C33" s="72" t="s">
        <v>3</v>
      </c>
      <c r="D33" s="42" t="s">
        <v>115</v>
      </c>
      <c r="E33" s="42">
        <v>85</v>
      </c>
      <c r="F33" s="72" t="str">
        <f t="shared" si="0"/>
        <v>United StatesTotal85</v>
      </c>
      <c r="G33" s="73">
        <v>6704707.3300000001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1A0E9-713E-7E49-B60D-2DFCC6932AD4}">
  <dimension ref="B2:G33"/>
  <sheetViews>
    <sheetView workbookViewId="0">
      <pane ySplit="3" topLeftCell="A4" activePane="bottomLeft" state="frozen"/>
      <selection pane="bottomLeft"/>
    </sheetView>
  </sheetViews>
  <sheetFormatPr defaultColWidth="10.796875" defaultRowHeight="15.6"/>
  <cols>
    <col min="1" max="1" width="10.796875" style="64"/>
    <col min="2" max="2" width="13" style="64" customWidth="1"/>
    <col min="3" max="3" width="10.796875" style="64"/>
    <col min="4" max="5" width="10.796875" style="65"/>
    <col min="6" max="6" width="17" style="64" hidden="1" customWidth="1"/>
    <col min="7" max="7" width="19.796875" style="64" customWidth="1"/>
    <col min="8" max="16384" width="10.796875" style="64"/>
  </cols>
  <sheetData>
    <row r="2" spans="2:7">
      <c r="B2" s="63" t="s">
        <v>44</v>
      </c>
    </row>
    <row r="3" spans="2:7" ht="19.95" customHeight="1">
      <c r="B3" s="1" t="s">
        <v>1</v>
      </c>
      <c r="C3" s="1" t="s">
        <v>0</v>
      </c>
      <c r="D3" s="1" t="s">
        <v>41</v>
      </c>
      <c r="E3" s="1" t="s">
        <v>118</v>
      </c>
      <c r="F3" s="1" t="s">
        <v>36</v>
      </c>
      <c r="G3" s="67" t="s">
        <v>270</v>
      </c>
    </row>
    <row r="4" spans="2:7">
      <c r="B4" s="68" t="s">
        <v>42</v>
      </c>
      <c r="C4" s="68" t="s">
        <v>35</v>
      </c>
      <c r="D4" s="69" t="s">
        <v>108</v>
      </c>
      <c r="E4" s="69">
        <v>0</v>
      </c>
      <c r="F4" s="68" t="str">
        <f>_xlfn.CONCAT(B4,C4,E4)</f>
        <v>United StatesFemale0</v>
      </c>
      <c r="G4" s="70">
        <v>9568152.5600000005</v>
      </c>
    </row>
    <row r="5" spans="2:7">
      <c r="B5" s="64" t="s">
        <v>42</v>
      </c>
      <c r="C5" s="64" t="s">
        <v>35</v>
      </c>
      <c r="D5" s="39" t="s">
        <v>109</v>
      </c>
      <c r="E5" s="39">
        <v>5</v>
      </c>
      <c r="F5" s="64" t="str">
        <f t="shared" ref="F5:F33" si="0">_xlfn.CONCAT(B5,C5,E5)</f>
        <v>United StatesFemale5</v>
      </c>
      <c r="G5" s="71">
        <v>20061011.899999999</v>
      </c>
    </row>
    <row r="6" spans="2:7">
      <c r="B6" s="64" t="s">
        <v>42</v>
      </c>
      <c r="C6" s="64" t="s">
        <v>35</v>
      </c>
      <c r="D6" s="40" t="s">
        <v>110</v>
      </c>
      <c r="E6" s="40">
        <v>15</v>
      </c>
      <c r="F6" s="64" t="str">
        <f t="shared" si="0"/>
        <v>United StatesFemale15</v>
      </c>
      <c r="G6" s="71">
        <v>20883463.399999999</v>
      </c>
    </row>
    <row r="7" spans="2:7">
      <c r="B7" s="64" t="s">
        <v>42</v>
      </c>
      <c r="C7" s="64" t="s">
        <v>35</v>
      </c>
      <c r="D7" s="40" t="s">
        <v>111</v>
      </c>
      <c r="E7" s="40">
        <v>25</v>
      </c>
      <c r="F7" s="64" t="str">
        <f t="shared" si="0"/>
        <v>United StatesFemale25</v>
      </c>
      <c r="G7" s="71">
        <v>22562697.399999999</v>
      </c>
    </row>
    <row r="8" spans="2:7">
      <c r="B8" s="64" t="s">
        <v>42</v>
      </c>
      <c r="C8" s="64" t="s">
        <v>35</v>
      </c>
      <c r="D8" s="40" t="s">
        <v>112</v>
      </c>
      <c r="E8" s="40">
        <v>35</v>
      </c>
      <c r="F8" s="64" t="str">
        <f t="shared" si="0"/>
        <v>United StatesFemale35</v>
      </c>
      <c r="G8" s="71">
        <v>20859921</v>
      </c>
    </row>
    <row r="9" spans="2:7">
      <c r="B9" s="64" t="s">
        <v>42</v>
      </c>
      <c r="C9" s="64" t="s">
        <v>35</v>
      </c>
      <c r="D9" s="40" t="s">
        <v>113</v>
      </c>
      <c r="E9" s="40">
        <v>45</v>
      </c>
      <c r="F9" s="64" t="str">
        <f t="shared" si="0"/>
        <v>United StatesFemale45</v>
      </c>
      <c r="G9" s="71">
        <v>20715769.399999999</v>
      </c>
    </row>
    <row r="10" spans="2:7">
      <c r="B10" s="64" t="s">
        <v>42</v>
      </c>
      <c r="C10" s="64" t="s">
        <v>35</v>
      </c>
      <c r="D10" s="40" t="s">
        <v>114</v>
      </c>
      <c r="E10" s="40">
        <v>55</v>
      </c>
      <c r="F10" s="64" t="str">
        <f t="shared" si="0"/>
        <v>United StatesFemale55</v>
      </c>
      <c r="G10" s="71">
        <v>21934618.699999999</v>
      </c>
    </row>
    <row r="11" spans="2:7">
      <c r="B11" s="64" t="s">
        <v>42</v>
      </c>
      <c r="C11" s="64" t="s">
        <v>35</v>
      </c>
      <c r="D11" s="41" t="s">
        <v>117</v>
      </c>
      <c r="E11" s="41">
        <v>65</v>
      </c>
      <c r="F11" s="64" t="str">
        <f t="shared" si="0"/>
        <v>United StatesFemale65</v>
      </c>
      <c r="G11" s="71">
        <v>16763757.699999999</v>
      </c>
    </row>
    <row r="12" spans="2:7">
      <c r="B12" s="64" t="s">
        <v>42</v>
      </c>
      <c r="C12" s="64" t="s">
        <v>35</v>
      </c>
      <c r="D12" s="41" t="s">
        <v>116</v>
      </c>
      <c r="E12" s="41">
        <v>75</v>
      </c>
      <c r="F12" s="64" t="str">
        <f t="shared" si="0"/>
        <v>United StatesFemale75</v>
      </c>
      <c r="G12" s="71">
        <v>8952811.4100000001</v>
      </c>
    </row>
    <row r="13" spans="2:7">
      <c r="B13" s="72" t="s">
        <v>42</v>
      </c>
      <c r="C13" s="72" t="s">
        <v>35</v>
      </c>
      <c r="D13" s="42" t="s">
        <v>115</v>
      </c>
      <c r="E13" s="42">
        <v>85</v>
      </c>
      <c r="F13" s="72" t="str">
        <f t="shared" si="0"/>
        <v>United StatesFemale85</v>
      </c>
      <c r="G13" s="73">
        <v>4214405.05</v>
      </c>
    </row>
    <row r="14" spans="2:7">
      <c r="B14" s="68" t="s">
        <v>42</v>
      </c>
      <c r="C14" s="68" t="s">
        <v>34</v>
      </c>
      <c r="D14" s="69" t="s">
        <v>108</v>
      </c>
      <c r="E14" s="69">
        <v>0</v>
      </c>
      <c r="F14" s="68" t="str">
        <f t="shared" si="0"/>
        <v>United StatesMale0</v>
      </c>
      <c r="G14" s="70">
        <v>10011761.800000001</v>
      </c>
    </row>
    <row r="15" spans="2:7">
      <c r="B15" s="64" t="s">
        <v>42</v>
      </c>
      <c r="C15" s="64" t="s">
        <v>34</v>
      </c>
      <c r="D15" s="39" t="s">
        <v>109</v>
      </c>
      <c r="E15" s="39">
        <v>5</v>
      </c>
      <c r="F15" s="64" t="str">
        <f t="shared" si="0"/>
        <v>United StatesMale5</v>
      </c>
      <c r="G15" s="71">
        <v>20947796</v>
      </c>
    </row>
    <row r="16" spans="2:7">
      <c r="B16" s="64" t="s">
        <v>42</v>
      </c>
      <c r="C16" s="64" t="s">
        <v>34</v>
      </c>
      <c r="D16" s="40" t="s">
        <v>110</v>
      </c>
      <c r="E16" s="40">
        <v>15</v>
      </c>
      <c r="F16" s="64" t="str">
        <f t="shared" si="0"/>
        <v>United StatesMale15</v>
      </c>
      <c r="G16" s="71">
        <v>21818905.600000001</v>
      </c>
    </row>
    <row r="17" spans="2:7">
      <c r="B17" s="64" t="s">
        <v>42</v>
      </c>
      <c r="C17" s="64" t="s">
        <v>34</v>
      </c>
      <c r="D17" s="40" t="s">
        <v>111</v>
      </c>
      <c r="E17" s="40">
        <v>25</v>
      </c>
      <c r="F17" s="64" t="str">
        <f t="shared" si="0"/>
        <v>United StatesMale25</v>
      </c>
      <c r="G17" s="71">
        <v>23336963.5</v>
      </c>
    </row>
    <row r="18" spans="2:7">
      <c r="B18" s="64" t="s">
        <v>42</v>
      </c>
      <c r="C18" s="64" t="s">
        <v>34</v>
      </c>
      <c r="D18" s="40" t="s">
        <v>112</v>
      </c>
      <c r="E18" s="40">
        <v>35</v>
      </c>
      <c r="F18" s="64" t="str">
        <f t="shared" si="0"/>
        <v>United StatesMale35</v>
      </c>
      <c r="G18" s="71">
        <v>20783456.699999999</v>
      </c>
    </row>
    <row r="19" spans="2:7">
      <c r="B19" s="64" t="s">
        <v>42</v>
      </c>
      <c r="C19" s="64" t="s">
        <v>34</v>
      </c>
      <c r="D19" s="40" t="s">
        <v>113</v>
      </c>
      <c r="E19" s="40">
        <v>45</v>
      </c>
      <c r="F19" s="64" t="str">
        <f t="shared" si="0"/>
        <v>United StatesMale45</v>
      </c>
      <c r="G19" s="71">
        <v>20182641.800000001</v>
      </c>
    </row>
    <row r="20" spans="2:7">
      <c r="B20" s="64" t="s">
        <v>42</v>
      </c>
      <c r="C20" s="64" t="s">
        <v>34</v>
      </c>
      <c r="D20" s="40" t="s">
        <v>114</v>
      </c>
      <c r="E20" s="40">
        <v>55</v>
      </c>
      <c r="F20" s="64" t="str">
        <f t="shared" si="0"/>
        <v>United StatesMale55</v>
      </c>
      <c r="G20" s="71">
        <v>20481849.5</v>
      </c>
    </row>
    <row r="21" spans="2:7">
      <c r="B21" s="64" t="s">
        <v>42</v>
      </c>
      <c r="C21" s="64" t="s">
        <v>34</v>
      </c>
      <c r="D21" s="41" t="s">
        <v>117</v>
      </c>
      <c r="E21" s="41">
        <v>65</v>
      </c>
      <c r="F21" s="64" t="str">
        <f t="shared" si="0"/>
        <v>United StatesMale65</v>
      </c>
      <c r="G21" s="71">
        <v>14678751.300000001</v>
      </c>
    </row>
    <row r="22" spans="2:7">
      <c r="B22" s="64" t="s">
        <v>42</v>
      </c>
      <c r="C22" s="64" t="s">
        <v>34</v>
      </c>
      <c r="D22" s="41" t="s">
        <v>116</v>
      </c>
      <c r="E22" s="41">
        <v>75</v>
      </c>
      <c r="F22" s="64" t="str">
        <f t="shared" si="0"/>
        <v>United StatesMale75</v>
      </c>
      <c r="G22" s="71">
        <v>6980041.8099999996</v>
      </c>
    </row>
    <row r="23" spans="2:7">
      <c r="B23" s="72" t="s">
        <v>42</v>
      </c>
      <c r="C23" s="72" t="s">
        <v>34</v>
      </c>
      <c r="D23" s="42" t="s">
        <v>115</v>
      </c>
      <c r="E23" s="42">
        <v>85</v>
      </c>
      <c r="F23" s="72" t="str">
        <f t="shared" si="0"/>
        <v>United StatesMale85</v>
      </c>
      <c r="G23" s="73">
        <v>2366784.5</v>
      </c>
    </row>
    <row r="24" spans="2:7">
      <c r="B24" s="68" t="s">
        <v>42</v>
      </c>
      <c r="C24" s="68" t="s">
        <v>3</v>
      </c>
      <c r="D24" s="69" t="s">
        <v>108</v>
      </c>
      <c r="E24" s="69">
        <v>0</v>
      </c>
      <c r="F24" s="68" t="str">
        <f t="shared" si="0"/>
        <v>United StatesTotal0</v>
      </c>
      <c r="G24" s="70">
        <v>19579914.399999999</v>
      </c>
    </row>
    <row r="25" spans="2:7">
      <c r="B25" s="64" t="s">
        <v>42</v>
      </c>
      <c r="C25" s="64" t="s">
        <v>3</v>
      </c>
      <c r="D25" s="39" t="s">
        <v>109</v>
      </c>
      <c r="E25" s="39">
        <v>5</v>
      </c>
      <c r="F25" s="64" t="str">
        <f t="shared" si="0"/>
        <v>United StatesTotal5</v>
      </c>
      <c r="G25" s="71">
        <v>41008807.899999999</v>
      </c>
    </row>
    <row r="26" spans="2:7">
      <c r="B26" s="64" t="s">
        <v>42</v>
      </c>
      <c r="C26" s="64" t="s">
        <v>3</v>
      </c>
      <c r="D26" s="40" t="s">
        <v>110</v>
      </c>
      <c r="E26" s="40">
        <v>15</v>
      </c>
      <c r="F26" s="64" t="str">
        <f t="shared" si="0"/>
        <v>United StatesTotal15</v>
      </c>
      <c r="G26" s="71">
        <v>42702369</v>
      </c>
    </row>
    <row r="27" spans="2:7">
      <c r="B27" s="64" t="s">
        <v>42</v>
      </c>
      <c r="C27" s="64" t="s">
        <v>3</v>
      </c>
      <c r="D27" s="40" t="s">
        <v>111</v>
      </c>
      <c r="E27" s="40">
        <v>25</v>
      </c>
      <c r="F27" s="64" t="str">
        <f t="shared" si="0"/>
        <v>United StatesTotal25</v>
      </c>
      <c r="G27" s="71">
        <v>45899660.899999999</v>
      </c>
    </row>
    <row r="28" spans="2:7">
      <c r="B28" s="64" t="s">
        <v>42</v>
      </c>
      <c r="C28" s="64" t="s">
        <v>3</v>
      </c>
      <c r="D28" s="40" t="s">
        <v>112</v>
      </c>
      <c r="E28" s="40">
        <v>35</v>
      </c>
      <c r="F28" s="64" t="str">
        <f t="shared" si="0"/>
        <v>United StatesTotal35</v>
      </c>
      <c r="G28" s="71">
        <v>41643377.600000001</v>
      </c>
    </row>
    <row r="29" spans="2:7">
      <c r="B29" s="64" t="s">
        <v>42</v>
      </c>
      <c r="C29" s="64" t="s">
        <v>3</v>
      </c>
      <c r="D29" s="40" t="s">
        <v>113</v>
      </c>
      <c r="E29" s="40">
        <v>45</v>
      </c>
      <c r="F29" s="64" t="str">
        <f t="shared" si="0"/>
        <v>United StatesTotal45</v>
      </c>
      <c r="G29" s="71">
        <v>40898411.100000001</v>
      </c>
    </row>
    <row r="30" spans="2:7">
      <c r="B30" s="64" t="s">
        <v>42</v>
      </c>
      <c r="C30" s="64" t="s">
        <v>3</v>
      </c>
      <c r="D30" s="40" t="s">
        <v>114</v>
      </c>
      <c r="E30" s="40">
        <v>55</v>
      </c>
      <c r="F30" s="64" t="str">
        <f t="shared" si="0"/>
        <v>United StatesTotal55</v>
      </c>
      <c r="G30" s="71">
        <v>42416468.100000001</v>
      </c>
    </row>
    <row r="31" spans="2:7">
      <c r="B31" s="64" t="s">
        <v>42</v>
      </c>
      <c r="C31" s="64" t="s">
        <v>3</v>
      </c>
      <c r="D31" s="41" t="s">
        <v>117</v>
      </c>
      <c r="E31" s="41">
        <v>65</v>
      </c>
      <c r="F31" s="64" t="str">
        <f t="shared" si="0"/>
        <v>United StatesTotal65</v>
      </c>
      <c r="G31" s="71">
        <v>31442509</v>
      </c>
    </row>
    <row r="32" spans="2:7">
      <c r="B32" s="64" t="s">
        <v>42</v>
      </c>
      <c r="C32" s="64" t="s">
        <v>3</v>
      </c>
      <c r="D32" s="41" t="s">
        <v>116</v>
      </c>
      <c r="E32" s="41">
        <v>75</v>
      </c>
      <c r="F32" s="64" t="str">
        <f t="shared" si="0"/>
        <v>United StatesTotal75</v>
      </c>
      <c r="G32" s="71">
        <v>15932853.199999999</v>
      </c>
    </row>
    <row r="33" spans="2:7">
      <c r="B33" s="72" t="s">
        <v>42</v>
      </c>
      <c r="C33" s="72" t="s">
        <v>3</v>
      </c>
      <c r="D33" s="42" t="s">
        <v>115</v>
      </c>
      <c r="E33" s="42">
        <v>85</v>
      </c>
      <c r="F33" s="72" t="str">
        <f t="shared" si="0"/>
        <v>United StatesTotal85</v>
      </c>
      <c r="G33" s="73">
        <v>6581189.5499999998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A8930-E0E9-124A-B315-F79667C261EC}">
  <dimension ref="B2:I36"/>
  <sheetViews>
    <sheetView workbookViewId="0">
      <pane ySplit="3" topLeftCell="A4" activePane="bottomLeft" state="frozen"/>
      <selection pane="bottomLeft"/>
    </sheetView>
  </sheetViews>
  <sheetFormatPr defaultColWidth="10.796875" defaultRowHeight="15.6"/>
  <cols>
    <col min="1" max="1" width="10.796875" style="64"/>
    <col min="2" max="2" width="15.8984375" style="64" customWidth="1"/>
    <col min="3" max="3" width="10.796875" style="76"/>
    <col min="4" max="5" width="10.796875" style="65"/>
    <col min="6" max="6" width="23.796875" style="64" hidden="1" customWidth="1"/>
    <col min="7" max="7" width="15.796875" style="64" customWidth="1"/>
    <col min="8" max="8" width="18.296875" style="64" customWidth="1"/>
    <col min="9" max="16384" width="10.796875" style="64"/>
  </cols>
  <sheetData>
    <row r="2" spans="2:9">
      <c r="B2" s="63" t="s">
        <v>45</v>
      </c>
    </row>
    <row r="3" spans="2:9" ht="32.4">
      <c r="B3" s="1" t="s">
        <v>1</v>
      </c>
      <c r="C3" s="1" t="s">
        <v>0</v>
      </c>
      <c r="D3" s="1" t="s">
        <v>41</v>
      </c>
      <c r="E3" s="1" t="s">
        <v>119</v>
      </c>
      <c r="F3" s="1" t="s">
        <v>36</v>
      </c>
      <c r="G3" s="1" t="s">
        <v>40</v>
      </c>
      <c r="H3" s="1" t="s">
        <v>267</v>
      </c>
      <c r="I3" s="74"/>
    </row>
    <row r="4" spans="2:9">
      <c r="B4" s="68" t="s">
        <v>42</v>
      </c>
      <c r="C4" s="77" t="s">
        <v>35</v>
      </c>
      <c r="D4" s="69" t="s">
        <v>108</v>
      </c>
      <c r="E4" s="69">
        <v>0</v>
      </c>
      <c r="F4" s="68" t="str">
        <f>_xlfn.CONCAT(B4,C4,E4)</f>
        <v>United StatesFemale0</v>
      </c>
      <c r="G4" s="68">
        <v>10226</v>
      </c>
      <c r="H4" s="68">
        <v>20</v>
      </c>
      <c r="I4" s="74"/>
    </row>
    <row r="5" spans="2:9">
      <c r="B5" s="64" t="s">
        <v>42</v>
      </c>
      <c r="C5" s="76" t="s">
        <v>35</v>
      </c>
      <c r="D5" s="39" t="s">
        <v>109</v>
      </c>
      <c r="E5" s="39">
        <v>5</v>
      </c>
      <c r="F5" s="64" t="str">
        <f t="shared" ref="F5:F33" si="0">_xlfn.CONCAT(B5,C5,E5)</f>
        <v>United StatesFemale5</v>
      </c>
      <c r="G5" s="64">
        <v>2261</v>
      </c>
      <c r="H5" s="64">
        <v>21</v>
      </c>
      <c r="I5" s="74"/>
    </row>
    <row r="6" spans="2:9">
      <c r="B6" s="64" t="s">
        <v>42</v>
      </c>
      <c r="C6" s="76" t="s">
        <v>35</v>
      </c>
      <c r="D6" s="40" t="s">
        <v>110</v>
      </c>
      <c r="E6" s="40">
        <v>15</v>
      </c>
      <c r="F6" s="64" t="str">
        <f t="shared" si="0"/>
        <v>United StatesFemale15</v>
      </c>
      <c r="G6" s="64">
        <v>9332</v>
      </c>
      <c r="H6" s="64">
        <v>192</v>
      </c>
      <c r="I6" s="74"/>
    </row>
    <row r="7" spans="2:9">
      <c r="B7" s="64" t="s">
        <v>42</v>
      </c>
      <c r="C7" s="76" t="s">
        <v>35</v>
      </c>
      <c r="D7" s="40" t="s">
        <v>111</v>
      </c>
      <c r="E7" s="40">
        <v>25</v>
      </c>
      <c r="F7" s="64" t="str">
        <f t="shared" si="0"/>
        <v>United StatesFemale25</v>
      </c>
      <c r="G7" s="64">
        <v>21654</v>
      </c>
      <c r="H7" s="64">
        <v>788</v>
      </c>
      <c r="I7" s="74"/>
    </row>
    <row r="8" spans="2:9">
      <c r="B8" s="64" t="s">
        <v>42</v>
      </c>
      <c r="C8" s="76" t="s">
        <v>35</v>
      </c>
      <c r="D8" s="40" t="s">
        <v>112</v>
      </c>
      <c r="E8" s="40">
        <v>35</v>
      </c>
      <c r="F8" s="64" t="str">
        <f t="shared" si="0"/>
        <v>United StatesFemale35</v>
      </c>
      <c r="G8" s="64">
        <v>35996</v>
      </c>
      <c r="H8" s="64">
        <v>2011</v>
      </c>
      <c r="I8" s="74"/>
    </row>
    <row r="9" spans="2:9">
      <c r="B9" s="64" t="s">
        <v>42</v>
      </c>
      <c r="C9" s="76" t="s">
        <v>35</v>
      </c>
      <c r="D9" s="40" t="s">
        <v>113</v>
      </c>
      <c r="E9" s="40">
        <v>45</v>
      </c>
      <c r="F9" s="64" t="str">
        <f t="shared" si="0"/>
        <v>United StatesFemale45</v>
      </c>
      <c r="G9" s="64">
        <v>71298</v>
      </c>
      <c r="H9" s="64">
        <v>5579</v>
      </c>
      <c r="I9" s="74"/>
    </row>
    <row r="10" spans="2:9">
      <c r="B10" s="64" t="s">
        <v>42</v>
      </c>
      <c r="C10" s="76" t="s">
        <v>35</v>
      </c>
      <c r="D10" s="40" t="s">
        <v>114</v>
      </c>
      <c r="E10" s="40">
        <v>55</v>
      </c>
      <c r="F10" s="64" t="str">
        <f t="shared" si="0"/>
        <v>United StatesFemale55</v>
      </c>
      <c r="G10" s="64">
        <v>169422</v>
      </c>
      <c r="H10" s="64">
        <v>15093</v>
      </c>
      <c r="I10" s="74"/>
    </row>
    <row r="11" spans="2:9">
      <c r="B11" s="64" t="s">
        <v>42</v>
      </c>
      <c r="C11" s="76" t="s">
        <v>35</v>
      </c>
      <c r="D11" s="41" t="s">
        <v>117</v>
      </c>
      <c r="E11" s="41">
        <v>65</v>
      </c>
      <c r="F11" s="64" t="str">
        <f t="shared" si="0"/>
        <v>United StatesFemale65</v>
      </c>
      <c r="G11" s="64">
        <v>282508</v>
      </c>
      <c r="H11" s="64">
        <v>29263</v>
      </c>
      <c r="I11" s="74"/>
    </row>
    <row r="12" spans="2:9">
      <c r="B12" s="64" t="s">
        <v>42</v>
      </c>
      <c r="C12" s="76" t="s">
        <v>35</v>
      </c>
      <c r="D12" s="41" t="s">
        <v>116</v>
      </c>
      <c r="E12" s="41">
        <v>75</v>
      </c>
      <c r="F12" s="64" t="str">
        <f t="shared" si="0"/>
        <v>United StatesFemale75</v>
      </c>
      <c r="G12" s="64">
        <v>393226</v>
      </c>
      <c r="H12" s="64">
        <v>42311</v>
      </c>
      <c r="I12" s="74"/>
    </row>
    <row r="13" spans="2:9">
      <c r="B13" s="72" t="s">
        <v>42</v>
      </c>
      <c r="C13" s="78" t="s">
        <v>35</v>
      </c>
      <c r="D13" s="42" t="s">
        <v>115</v>
      </c>
      <c r="E13" s="42">
        <v>85</v>
      </c>
      <c r="F13" s="72" t="str">
        <f t="shared" si="0"/>
        <v>United StatesFemale85</v>
      </c>
      <c r="G13" s="72">
        <v>617885</v>
      </c>
      <c r="H13" s="72">
        <v>63040</v>
      </c>
      <c r="I13" s="74"/>
    </row>
    <row r="14" spans="2:9">
      <c r="B14" s="68" t="s">
        <v>42</v>
      </c>
      <c r="C14" s="77" t="s">
        <v>34</v>
      </c>
      <c r="D14" s="69" t="s">
        <v>108</v>
      </c>
      <c r="E14" s="69">
        <v>0</v>
      </c>
      <c r="F14" s="68" t="str">
        <f t="shared" si="0"/>
        <v>United StatesMale0</v>
      </c>
      <c r="G14" s="68">
        <v>12885</v>
      </c>
      <c r="H14" s="68">
        <v>34</v>
      </c>
      <c r="I14" s="74"/>
    </row>
    <row r="15" spans="2:9">
      <c r="B15" s="64" t="s">
        <v>42</v>
      </c>
      <c r="C15" s="76" t="s">
        <v>34</v>
      </c>
      <c r="D15" s="39" t="s">
        <v>109</v>
      </c>
      <c r="E15" s="39">
        <v>5</v>
      </c>
      <c r="F15" s="64" t="str">
        <f t="shared" si="0"/>
        <v>United StatesMale5</v>
      </c>
      <c r="G15" s="64">
        <v>3362</v>
      </c>
      <c r="H15" s="64">
        <v>28</v>
      </c>
      <c r="I15" s="74"/>
    </row>
    <row r="16" spans="2:9">
      <c r="B16" s="64" t="s">
        <v>42</v>
      </c>
      <c r="C16" s="76" t="s">
        <v>34</v>
      </c>
      <c r="D16" s="40" t="s">
        <v>110</v>
      </c>
      <c r="E16" s="40">
        <v>15</v>
      </c>
      <c r="F16" s="64" t="str">
        <f t="shared" si="0"/>
        <v>United StatesMale15</v>
      </c>
      <c r="G16" s="64">
        <v>26484</v>
      </c>
      <c r="H16" s="64">
        <v>309</v>
      </c>
      <c r="I16" s="74"/>
    </row>
    <row r="17" spans="2:9">
      <c r="B17" s="64" t="s">
        <v>42</v>
      </c>
      <c r="C17" s="76" t="s">
        <v>34</v>
      </c>
      <c r="D17" s="40" t="s">
        <v>111</v>
      </c>
      <c r="E17" s="40">
        <v>25</v>
      </c>
      <c r="F17" s="64" t="str">
        <f t="shared" si="0"/>
        <v>United StatesMale25</v>
      </c>
      <c r="G17" s="64">
        <v>51832</v>
      </c>
      <c r="H17" s="64">
        <v>1466</v>
      </c>
      <c r="I17" s="74"/>
    </row>
    <row r="18" spans="2:9">
      <c r="B18" s="64" t="s">
        <v>42</v>
      </c>
      <c r="C18" s="76" t="s">
        <v>34</v>
      </c>
      <c r="D18" s="40" t="s">
        <v>112</v>
      </c>
      <c r="E18" s="40">
        <v>35</v>
      </c>
      <c r="F18" s="64" t="str">
        <f t="shared" si="0"/>
        <v>United StatesMale35</v>
      </c>
      <c r="G18" s="64">
        <v>68494</v>
      </c>
      <c r="H18" s="64">
        <v>4068</v>
      </c>
      <c r="I18" s="74"/>
    </row>
    <row r="19" spans="2:9">
      <c r="B19" s="64" t="s">
        <v>42</v>
      </c>
      <c r="C19" s="76" t="s">
        <v>34</v>
      </c>
      <c r="D19" s="40" t="s">
        <v>113</v>
      </c>
      <c r="E19" s="40">
        <v>45</v>
      </c>
      <c r="F19" s="64" t="str">
        <f t="shared" si="0"/>
        <v>United StatesMale45</v>
      </c>
      <c r="G19" s="64">
        <v>119844</v>
      </c>
      <c r="H19" s="64">
        <v>11385</v>
      </c>
      <c r="I19" s="74"/>
    </row>
    <row r="20" spans="2:9">
      <c r="B20" s="64" t="s">
        <v>42</v>
      </c>
      <c r="C20" s="76" t="s">
        <v>34</v>
      </c>
      <c r="D20" s="40" t="s">
        <v>114</v>
      </c>
      <c r="E20" s="40">
        <v>55</v>
      </c>
      <c r="F20" s="64" t="str">
        <f t="shared" si="0"/>
        <v>United StatesMale55</v>
      </c>
      <c r="G20" s="64">
        <v>271127</v>
      </c>
      <c r="H20" s="64">
        <v>26997</v>
      </c>
      <c r="I20" s="74"/>
    </row>
    <row r="21" spans="2:9">
      <c r="B21" s="64" t="s">
        <v>42</v>
      </c>
      <c r="C21" s="76" t="s">
        <v>34</v>
      </c>
      <c r="D21" s="41" t="s">
        <v>117</v>
      </c>
      <c r="E21" s="41">
        <v>65</v>
      </c>
      <c r="F21" s="64" t="str">
        <f t="shared" si="0"/>
        <v>United StatesMale65</v>
      </c>
      <c r="G21" s="64">
        <v>391999</v>
      </c>
      <c r="H21" s="64">
        <v>47014</v>
      </c>
      <c r="I21" s="74"/>
    </row>
    <row r="22" spans="2:9">
      <c r="B22" s="64" t="s">
        <v>42</v>
      </c>
      <c r="C22" s="76" t="s">
        <v>34</v>
      </c>
      <c r="D22" s="41" t="s">
        <v>116</v>
      </c>
      <c r="E22" s="41">
        <v>75</v>
      </c>
      <c r="F22" s="64" t="str">
        <f t="shared" si="0"/>
        <v>United StatesMale75</v>
      </c>
      <c r="G22" s="64">
        <v>428858</v>
      </c>
      <c r="H22" s="64">
        <v>54719</v>
      </c>
      <c r="I22" s="74"/>
    </row>
    <row r="23" spans="2:9">
      <c r="B23" s="72" t="s">
        <v>42</v>
      </c>
      <c r="C23" s="78" t="s">
        <v>34</v>
      </c>
      <c r="D23" s="42" t="s">
        <v>115</v>
      </c>
      <c r="E23" s="42">
        <v>85</v>
      </c>
      <c r="F23" s="72" t="str">
        <f t="shared" si="0"/>
        <v>United StatesMale85</v>
      </c>
      <c r="G23" s="72">
        <v>394920</v>
      </c>
      <c r="H23" s="72">
        <v>46489</v>
      </c>
      <c r="I23" s="74"/>
    </row>
    <row r="24" spans="2:9">
      <c r="B24" s="68" t="s">
        <v>42</v>
      </c>
      <c r="C24" s="77" t="s">
        <v>3</v>
      </c>
      <c r="D24" s="69" t="s">
        <v>108</v>
      </c>
      <c r="E24" s="69">
        <v>0</v>
      </c>
      <c r="F24" s="68" t="str">
        <f t="shared" si="0"/>
        <v>United StatesTotal0</v>
      </c>
      <c r="G24" s="68">
        <v>23111</v>
      </c>
      <c r="H24" s="68">
        <v>54</v>
      </c>
      <c r="I24" s="74"/>
    </row>
    <row r="25" spans="2:9">
      <c r="B25" s="64" t="s">
        <v>42</v>
      </c>
      <c r="C25" s="76" t="s">
        <v>3</v>
      </c>
      <c r="D25" s="39" t="s">
        <v>109</v>
      </c>
      <c r="E25" s="39">
        <v>5</v>
      </c>
      <c r="F25" s="64" t="str">
        <f t="shared" si="0"/>
        <v>United StatesTotal5</v>
      </c>
      <c r="G25" s="64">
        <v>5623</v>
      </c>
      <c r="H25" s="64">
        <v>49</v>
      </c>
      <c r="I25" s="74"/>
    </row>
    <row r="26" spans="2:9">
      <c r="B26" s="64" t="s">
        <v>42</v>
      </c>
      <c r="C26" s="76" t="s">
        <v>3</v>
      </c>
      <c r="D26" s="40" t="s">
        <v>110</v>
      </c>
      <c r="E26" s="40">
        <v>15</v>
      </c>
      <c r="F26" s="64" t="str">
        <f t="shared" si="0"/>
        <v>United StatesTotal15</v>
      </c>
      <c r="G26" s="64">
        <v>35816</v>
      </c>
      <c r="H26" s="64">
        <v>501</v>
      </c>
      <c r="I26" s="74"/>
    </row>
    <row r="27" spans="2:9">
      <c r="B27" s="64" t="s">
        <v>42</v>
      </c>
      <c r="C27" s="76" t="s">
        <v>3</v>
      </c>
      <c r="D27" s="40" t="s">
        <v>111</v>
      </c>
      <c r="E27" s="40">
        <v>25</v>
      </c>
      <c r="F27" s="64" t="str">
        <f t="shared" si="0"/>
        <v>United StatesTotal25</v>
      </c>
      <c r="G27" s="64">
        <v>73486</v>
      </c>
      <c r="H27" s="64">
        <v>2254</v>
      </c>
      <c r="I27" s="74"/>
    </row>
    <row r="28" spans="2:9">
      <c r="B28" s="64" t="s">
        <v>42</v>
      </c>
      <c r="C28" s="76" t="s">
        <v>3</v>
      </c>
      <c r="D28" s="40" t="s">
        <v>112</v>
      </c>
      <c r="E28" s="40">
        <v>35</v>
      </c>
      <c r="F28" s="64" t="str">
        <f t="shared" si="0"/>
        <v>United StatesTotal35</v>
      </c>
      <c r="G28" s="64">
        <v>104490</v>
      </c>
      <c r="H28" s="64">
        <v>6079</v>
      </c>
      <c r="I28" s="74"/>
    </row>
    <row r="29" spans="2:9">
      <c r="B29" s="64" t="s">
        <v>42</v>
      </c>
      <c r="C29" s="76" t="s">
        <v>3</v>
      </c>
      <c r="D29" s="40" t="s">
        <v>113</v>
      </c>
      <c r="E29" s="40">
        <v>45</v>
      </c>
      <c r="F29" s="64" t="str">
        <f t="shared" si="0"/>
        <v>United StatesTotal45</v>
      </c>
      <c r="G29" s="64">
        <v>191142</v>
      </c>
      <c r="H29" s="64">
        <v>16964</v>
      </c>
      <c r="I29" s="74"/>
    </row>
    <row r="30" spans="2:9">
      <c r="B30" s="64" t="s">
        <v>42</v>
      </c>
      <c r="C30" s="76" t="s">
        <v>3</v>
      </c>
      <c r="D30" s="40" t="s">
        <v>114</v>
      </c>
      <c r="E30" s="40">
        <v>55</v>
      </c>
      <c r="F30" s="64" t="str">
        <f t="shared" si="0"/>
        <v>United StatesTotal55</v>
      </c>
      <c r="G30" s="64">
        <v>440549</v>
      </c>
      <c r="H30" s="64">
        <v>42090</v>
      </c>
      <c r="I30" s="74"/>
    </row>
    <row r="31" spans="2:9">
      <c r="B31" s="64" t="s">
        <v>42</v>
      </c>
      <c r="C31" s="76" t="s">
        <v>3</v>
      </c>
      <c r="D31" s="41" t="s">
        <v>117</v>
      </c>
      <c r="E31" s="41">
        <v>65</v>
      </c>
      <c r="F31" s="64" t="str">
        <f t="shared" si="0"/>
        <v>United StatesTotal65</v>
      </c>
      <c r="G31" s="64">
        <v>674507</v>
      </c>
      <c r="H31" s="64">
        <v>76277</v>
      </c>
      <c r="I31" s="74"/>
    </row>
    <row r="32" spans="2:9">
      <c r="B32" s="64" t="s">
        <v>42</v>
      </c>
      <c r="C32" s="76" t="s">
        <v>3</v>
      </c>
      <c r="D32" s="41" t="s">
        <v>116</v>
      </c>
      <c r="E32" s="41">
        <v>75</v>
      </c>
      <c r="F32" s="64" t="str">
        <f t="shared" si="0"/>
        <v>United StatesTotal75</v>
      </c>
      <c r="G32" s="64">
        <v>822084</v>
      </c>
      <c r="H32" s="64">
        <v>97030</v>
      </c>
      <c r="I32" s="74"/>
    </row>
    <row r="33" spans="2:9">
      <c r="B33" s="72" t="s">
        <v>42</v>
      </c>
      <c r="C33" s="78" t="s">
        <v>3</v>
      </c>
      <c r="D33" s="42" t="s">
        <v>115</v>
      </c>
      <c r="E33" s="42">
        <v>85</v>
      </c>
      <c r="F33" s="72" t="str">
        <f t="shared" si="0"/>
        <v>United StatesTotal85</v>
      </c>
      <c r="G33" s="72">
        <v>1012805</v>
      </c>
      <c r="H33" s="72">
        <v>109529</v>
      </c>
      <c r="I33" s="74"/>
    </row>
    <row r="35" spans="2:9">
      <c r="B35" s="64" t="s">
        <v>268</v>
      </c>
    </row>
    <row r="36" spans="2:9">
      <c r="B36" s="64" t="s">
        <v>269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B68E8-67EC-B941-A580-AA17C1780C77}">
  <dimension ref="B2:G33"/>
  <sheetViews>
    <sheetView workbookViewId="0">
      <pane ySplit="3" topLeftCell="A4" activePane="bottomLeft" state="frozen"/>
      <selection pane="bottomLeft"/>
    </sheetView>
  </sheetViews>
  <sheetFormatPr defaultColWidth="11.19921875" defaultRowHeight="15.6"/>
  <cols>
    <col min="1" max="1" width="11.19921875" style="47"/>
    <col min="2" max="2" width="15.8984375" style="47" customWidth="1"/>
    <col min="3" max="3" width="10.796875" style="47"/>
    <col min="4" max="5" width="10.796875" style="75"/>
    <col min="6" max="6" width="23.796875" style="47" hidden="1" customWidth="1"/>
    <col min="7" max="7" width="15.796875" style="79" customWidth="1"/>
    <col min="8" max="16384" width="11.19921875" style="47"/>
  </cols>
  <sheetData>
    <row r="2" spans="2:7">
      <c r="B2" s="63" t="s">
        <v>271</v>
      </c>
    </row>
    <row r="3" spans="2:7" ht="31.05" customHeight="1">
      <c r="B3" s="1" t="s">
        <v>1</v>
      </c>
      <c r="C3" s="1" t="s">
        <v>0</v>
      </c>
      <c r="D3" s="1" t="s">
        <v>41</v>
      </c>
      <c r="E3" s="1" t="s">
        <v>119</v>
      </c>
      <c r="F3" s="1" t="s">
        <v>36</v>
      </c>
      <c r="G3" s="80" t="s">
        <v>40</v>
      </c>
    </row>
    <row r="4" spans="2:7">
      <c r="B4" s="83" t="s">
        <v>42</v>
      </c>
      <c r="C4" s="84" t="s">
        <v>35</v>
      </c>
      <c r="D4" s="84" t="s">
        <v>108</v>
      </c>
      <c r="E4" s="84">
        <v>0</v>
      </c>
      <c r="F4" s="84" t="str">
        <f>_xlfn.CONCAT(B4,C4,E4)</f>
        <v>United StatesFemale0</v>
      </c>
      <c r="G4" s="85">
        <v>10882</v>
      </c>
    </row>
    <row r="5" spans="2:7">
      <c r="B5" s="82" t="s">
        <v>42</v>
      </c>
      <c r="C5" s="40" t="s">
        <v>35</v>
      </c>
      <c r="D5" s="40" t="s">
        <v>109</v>
      </c>
      <c r="E5" s="40">
        <v>5</v>
      </c>
      <c r="F5" s="40" t="str">
        <f t="shared" ref="F5:F33" si="0">_xlfn.CONCAT(B5,C5,E5)</f>
        <v>United StatesFemale5</v>
      </c>
      <c r="G5" s="81">
        <v>2311</v>
      </c>
    </row>
    <row r="6" spans="2:7">
      <c r="B6" s="82" t="s">
        <v>42</v>
      </c>
      <c r="C6" s="40" t="s">
        <v>35</v>
      </c>
      <c r="D6" s="40" t="s">
        <v>110</v>
      </c>
      <c r="E6" s="40">
        <v>15</v>
      </c>
      <c r="F6" s="40" t="str">
        <f t="shared" si="0"/>
        <v>United StatesFemale15</v>
      </c>
      <c r="G6" s="81">
        <v>8023</v>
      </c>
    </row>
    <row r="7" spans="2:7">
      <c r="B7" s="82" t="s">
        <v>42</v>
      </c>
      <c r="C7" s="40" t="s">
        <v>35</v>
      </c>
      <c r="D7" s="40" t="s">
        <v>111</v>
      </c>
      <c r="E7" s="40">
        <v>25</v>
      </c>
      <c r="F7" s="40" t="str">
        <f t="shared" si="0"/>
        <v>United StatesFemale25</v>
      </c>
      <c r="G7" s="81">
        <v>17827</v>
      </c>
    </row>
    <row r="8" spans="2:7">
      <c r="B8" s="82" t="s">
        <v>42</v>
      </c>
      <c r="C8" s="40" t="s">
        <v>35</v>
      </c>
      <c r="D8" s="40" t="s">
        <v>112</v>
      </c>
      <c r="E8" s="40">
        <v>35</v>
      </c>
      <c r="F8" s="40" t="str">
        <f t="shared" si="0"/>
        <v>United StatesFemale35</v>
      </c>
      <c r="G8" s="81">
        <v>29550</v>
      </c>
    </row>
    <row r="9" spans="2:7">
      <c r="B9" s="82" t="s">
        <v>42</v>
      </c>
      <c r="C9" s="40" t="s">
        <v>35</v>
      </c>
      <c r="D9" s="40" t="s">
        <v>113</v>
      </c>
      <c r="E9" s="40">
        <v>45</v>
      </c>
      <c r="F9" s="40" t="str">
        <f t="shared" si="0"/>
        <v>United StatesFemale45</v>
      </c>
      <c r="G9" s="81">
        <v>61546</v>
      </c>
    </row>
    <row r="10" spans="2:7">
      <c r="B10" s="82" t="s">
        <v>42</v>
      </c>
      <c r="C10" s="40" t="s">
        <v>35</v>
      </c>
      <c r="D10" s="40" t="s">
        <v>114</v>
      </c>
      <c r="E10" s="40">
        <v>55</v>
      </c>
      <c r="F10" s="40" t="str">
        <f t="shared" si="0"/>
        <v>United StatesFemale55</v>
      </c>
      <c r="G10" s="81">
        <v>147012</v>
      </c>
    </row>
    <row r="11" spans="2:7">
      <c r="B11" s="82" t="s">
        <v>42</v>
      </c>
      <c r="C11" s="40" t="s">
        <v>35</v>
      </c>
      <c r="D11" s="40" t="s">
        <v>117</v>
      </c>
      <c r="E11" s="40">
        <v>65</v>
      </c>
      <c r="F11" s="40" t="str">
        <f t="shared" si="0"/>
        <v>United StatesFemale65</v>
      </c>
      <c r="G11" s="81">
        <v>235312</v>
      </c>
    </row>
    <row r="12" spans="2:7">
      <c r="B12" s="82" t="s">
        <v>42</v>
      </c>
      <c r="C12" s="40" t="s">
        <v>35</v>
      </c>
      <c r="D12" s="40" t="s">
        <v>116</v>
      </c>
      <c r="E12" s="40">
        <v>75</v>
      </c>
      <c r="F12" s="40" t="str">
        <f t="shared" si="0"/>
        <v>United StatesFemale75</v>
      </c>
      <c r="G12" s="81">
        <v>332927</v>
      </c>
    </row>
    <row r="13" spans="2:7">
      <c r="B13" s="86" t="s">
        <v>42</v>
      </c>
      <c r="C13" s="87" t="s">
        <v>35</v>
      </c>
      <c r="D13" s="87" t="s">
        <v>115</v>
      </c>
      <c r="E13" s="87">
        <v>85</v>
      </c>
      <c r="F13" s="87" t="str">
        <f t="shared" si="0"/>
        <v>United StatesFemale85</v>
      </c>
      <c r="G13" s="88">
        <v>535581</v>
      </c>
    </row>
    <row r="14" spans="2:7">
      <c r="B14" s="83" t="s">
        <v>42</v>
      </c>
      <c r="C14" s="84" t="s">
        <v>34</v>
      </c>
      <c r="D14" s="84" t="s">
        <v>108</v>
      </c>
      <c r="E14" s="84">
        <v>0</v>
      </c>
      <c r="F14" s="84" t="str">
        <f t="shared" si="0"/>
        <v>United StatesMale0</v>
      </c>
      <c r="G14" s="85">
        <v>13715</v>
      </c>
    </row>
    <row r="15" spans="2:7">
      <c r="B15" s="82" t="s">
        <v>42</v>
      </c>
      <c r="C15" s="40" t="s">
        <v>34</v>
      </c>
      <c r="D15" s="40" t="s">
        <v>109</v>
      </c>
      <c r="E15" s="40">
        <v>5</v>
      </c>
      <c r="F15" s="40" t="str">
        <f t="shared" si="0"/>
        <v>United StatesMale5</v>
      </c>
      <c r="G15" s="81">
        <v>3186</v>
      </c>
    </row>
    <row r="16" spans="2:7">
      <c r="B16" s="82" t="s">
        <v>42</v>
      </c>
      <c r="C16" s="40" t="s">
        <v>34</v>
      </c>
      <c r="D16" s="40" t="s">
        <v>110</v>
      </c>
      <c r="E16" s="40">
        <v>15</v>
      </c>
      <c r="F16" s="40" t="str">
        <f t="shared" si="0"/>
        <v>United StatesMale15</v>
      </c>
      <c r="G16" s="81">
        <v>21748</v>
      </c>
    </row>
    <row r="17" spans="2:7">
      <c r="B17" s="82" t="s">
        <v>42</v>
      </c>
      <c r="C17" s="40" t="s">
        <v>34</v>
      </c>
      <c r="D17" s="40" t="s">
        <v>111</v>
      </c>
      <c r="E17" s="40">
        <v>25</v>
      </c>
      <c r="F17" s="40" t="str">
        <f t="shared" si="0"/>
        <v>United StatesMale25</v>
      </c>
      <c r="G17" s="81">
        <v>41351</v>
      </c>
    </row>
    <row r="18" spans="2:7">
      <c r="B18" s="82" t="s">
        <v>42</v>
      </c>
      <c r="C18" s="40" t="s">
        <v>34</v>
      </c>
      <c r="D18" s="40" t="s">
        <v>112</v>
      </c>
      <c r="E18" s="40">
        <v>35</v>
      </c>
      <c r="F18" s="40" t="str">
        <f t="shared" si="0"/>
        <v>United StatesMale35</v>
      </c>
      <c r="G18" s="81">
        <v>53436</v>
      </c>
    </row>
    <row r="19" spans="2:7">
      <c r="B19" s="82" t="s">
        <v>42</v>
      </c>
      <c r="C19" s="40" t="s">
        <v>34</v>
      </c>
      <c r="D19" s="40" t="s">
        <v>113</v>
      </c>
      <c r="E19" s="40">
        <v>45</v>
      </c>
      <c r="F19" s="40" t="str">
        <f t="shared" si="0"/>
        <v>United StatesMale45</v>
      </c>
      <c r="G19" s="81">
        <v>98847</v>
      </c>
    </row>
    <row r="20" spans="2:7">
      <c r="B20" s="82" t="s">
        <v>42</v>
      </c>
      <c r="C20" s="40" t="s">
        <v>34</v>
      </c>
      <c r="D20" s="40" t="s">
        <v>114</v>
      </c>
      <c r="E20" s="40">
        <v>55</v>
      </c>
      <c r="F20" s="40" t="str">
        <f t="shared" si="0"/>
        <v>United StatesMale55</v>
      </c>
      <c r="G20" s="81">
        <v>227925</v>
      </c>
    </row>
    <row r="21" spans="2:7">
      <c r="B21" s="82" t="s">
        <v>42</v>
      </c>
      <c r="C21" s="40" t="s">
        <v>34</v>
      </c>
      <c r="D21" s="40" t="s">
        <v>117</v>
      </c>
      <c r="E21" s="40">
        <v>65</v>
      </c>
      <c r="F21" s="40" t="str">
        <f t="shared" si="0"/>
        <v>United StatesMale65</v>
      </c>
      <c r="G21" s="81">
        <v>320247</v>
      </c>
    </row>
    <row r="22" spans="2:7">
      <c r="B22" s="82" t="s">
        <v>42</v>
      </c>
      <c r="C22" s="40" t="s">
        <v>34</v>
      </c>
      <c r="D22" s="40" t="s">
        <v>116</v>
      </c>
      <c r="E22" s="40">
        <v>75</v>
      </c>
      <c r="F22" s="40" t="str">
        <f t="shared" si="0"/>
        <v>United StatesMale75</v>
      </c>
      <c r="G22" s="81">
        <v>355100</v>
      </c>
    </row>
    <row r="23" spans="2:7">
      <c r="B23" s="86" t="s">
        <v>42</v>
      </c>
      <c r="C23" s="87" t="s">
        <v>34</v>
      </c>
      <c r="D23" s="87" t="s">
        <v>115</v>
      </c>
      <c r="E23" s="87">
        <v>85</v>
      </c>
      <c r="F23" s="87" t="str">
        <f t="shared" si="0"/>
        <v>United StatesMale85</v>
      </c>
      <c r="G23" s="88">
        <v>338165</v>
      </c>
    </row>
    <row r="24" spans="2:7">
      <c r="B24" s="83" t="s">
        <v>42</v>
      </c>
      <c r="C24" s="84" t="s">
        <v>3</v>
      </c>
      <c r="D24" s="84" t="s">
        <v>108</v>
      </c>
      <c r="E24" s="84">
        <v>0</v>
      </c>
      <c r="F24" s="84" t="str">
        <f t="shared" si="0"/>
        <v>United StatesTotal0</v>
      </c>
      <c r="G24" s="85">
        <v>24597</v>
      </c>
    </row>
    <row r="25" spans="2:7">
      <c r="B25" s="82" t="s">
        <v>42</v>
      </c>
      <c r="C25" s="40" t="s">
        <v>3</v>
      </c>
      <c r="D25" s="40" t="s">
        <v>109</v>
      </c>
      <c r="E25" s="40">
        <v>5</v>
      </c>
      <c r="F25" s="40" t="str">
        <f t="shared" si="0"/>
        <v>United StatesTotal5</v>
      </c>
      <c r="G25" s="81">
        <v>5497</v>
      </c>
    </row>
    <row r="26" spans="2:7">
      <c r="B26" s="82" t="s">
        <v>42</v>
      </c>
      <c r="C26" s="40" t="s">
        <v>3</v>
      </c>
      <c r="D26" s="40" t="s">
        <v>110</v>
      </c>
      <c r="E26" s="40">
        <v>15</v>
      </c>
      <c r="F26" s="40" t="str">
        <f t="shared" si="0"/>
        <v>United StatesTotal15</v>
      </c>
      <c r="G26" s="81">
        <v>29771</v>
      </c>
    </row>
    <row r="27" spans="2:7">
      <c r="B27" s="82" t="s">
        <v>42</v>
      </c>
      <c r="C27" s="40" t="s">
        <v>3</v>
      </c>
      <c r="D27" s="40" t="s">
        <v>111</v>
      </c>
      <c r="E27" s="40">
        <v>25</v>
      </c>
      <c r="F27" s="40" t="str">
        <f t="shared" si="0"/>
        <v>United StatesTotal25</v>
      </c>
      <c r="G27" s="81">
        <v>59178</v>
      </c>
    </row>
    <row r="28" spans="2:7">
      <c r="B28" s="82" t="s">
        <v>42</v>
      </c>
      <c r="C28" s="40" t="s">
        <v>3</v>
      </c>
      <c r="D28" s="40" t="s">
        <v>112</v>
      </c>
      <c r="E28" s="40">
        <v>35</v>
      </c>
      <c r="F28" s="40" t="str">
        <f t="shared" si="0"/>
        <v>United StatesTotal35</v>
      </c>
      <c r="G28" s="81">
        <v>82986</v>
      </c>
    </row>
    <row r="29" spans="2:7">
      <c r="B29" s="82" t="s">
        <v>42</v>
      </c>
      <c r="C29" s="40" t="s">
        <v>3</v>
      </c>
      <c r="D29" s="40" t="s">
        <v>113</v>
      </c>
      <c r="E29" s="40">
        <v>45</v>
      </c>
      <c r="F29" s="40" t="str">
        <f t="shared" si="0"/>
        <v>United StatesTotal45</v>
      </c>
      <c r="G29" s="81">
        <v>160393</v>
      </c>
    </row>
    <row r="30" spans="2:7">
      <c r="B30" s="82" t="s">
        <v>42</v>
      </c>
      <c r="C30" s="40" t="s">
        <v>3</v>
      </c>
      <c r="D30" s="40" t="s">
        <v>114</v>
      </c>
      <c r="E30" s="40">
        <v>55</v>
      </c>
      <c r="F30" s="40" t="str">
        <f t="shared" si="0"/>
        <v>United StatesTotal55</v>
      </c>
      <c r="G30" s="81">
        <v>374937</v>
      </c>
    </row>
    <row r="31" spans="2:7">
      <c r="B31" s="82" t="s">
        <v>42</v>
      </c>
      <c r="C31" s="40" t="s">
        <v>3</v>
      </c>
      <c r="D31" s="40" t="s">
        <v>117</v>
      </c>
      <c r="E31" s="40">
        <v>65</v>
      </c>
      <c r="F31" s="40" t="str">
        <f t="shared" si="0"/>
        <v>United StatesTotal65</v>
      </c>
      <c r="G31" s="81">
        <v>555559</v>
      </c>
    </row>
    <row r="32" spans="2:7">
      <c r="B32" s="82" t="s">
        <v>42</v>
      </c>
      <c r="C32" s="40" t="s">
        <v>3</v>
      </c>
      <c r="D32" s="40" t="s">
        <v>116</v>
      </c>
      <c r="E32" s="40">
        <v>75</v>
      </c>
      <c r="F32" s="40" t="str">
        <f t="shared" si="0"/>
        <v>United StatesTotal75</v>
      </c>
      <c r="G32" s="81">
        <v>688027</v>
      </c>
    </row>
    <row r="33" spans="2:7">
      <c r="B33" s="86" t="s">
        <v>42</v>
      </c>
      <c r="C33" s="87" t="s">
        <v>3</v>
      </c>
      <c r="D33" s="87" t="s">
        <v>115</v>
      </c>
      <c r="E33" s="87">
        <v>85</v>
      </c>
      <c r="F33" s="87" t="str">
        <f t="shared" si="0"/>
        <v>United StatesTotal85</v>
      </c>
      <c r="G33" s="88">
        <v>873746</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5D401-A4C4-1B4A-9159-E2D0D6F69D65}">
  <dimension ref="B2:R40"/>
  <sheetViews>
    <sheetView workbookViewId="0"/>
  </sheetViews>
  <sheetFormatPr defaultColWidth="11.19921875" defaultRowHeight="13.8"/>
  <cols>
    <col min="1" max="1" width="11.19921875" style="190"/>
    <col min="2" max="5" width="11.19921875" style="188"/>
    <col min="6" max="6" width="11.19921875" style="190"/>
    <col min="7" max="7" width="0" style="190" hidden="1" customWidth="1"/>
    <col min="8" max="8" width="13.69921875" style="190" bestFit="1" customWidth="1"/>
    <col min="9" max="10" width="11.19921875" style="190"/>
    <col min="11" max="11" width="13.69921875" style="190" bestFit="1" customWidth="1"/>
    <col min="12" max="17" width="11.19921875" style="190"/>
    <col min="18" max="18" width="11.296875" style="188" customWidth="1"/>
    <col min="19" max="16384" width="11.19921875" style="190"/>
  </cols>
  <sheetData>
    <row r="2" spans="2:18" s="321" customFormat="1">
      <c r="B2" s="319" t="s">
        <v>353</v>
      </c>
      <c r="C2" s="320"/>
      <c r="D2" s="320"/>
      <c r="E2" s="320"/>
      <c r="R2" s="320"/>
    </row>
    <row r="3" spans="2:18">
      <c r="H3" s="227" t="s">
        <v>333</v>
      </c>
      <c r="I3" s="227"/>
      <c r="J3" s="227"/>
      <c r="K3" s="227"/>
      <c r="L3" s="227"/>
      <c r="M3" s="227"/>
      <c r="N3" s="227"/>
      <c r="O3" s="227"/>
      <c r="P3" s="227"/>
      <c r="Q3" s="227"/>
      <c r="R3" s="227" t="s">
        <v>335</v>
      </c>
    </row>
    <row r="4" spans="2:18" ht="16.05" customHeight="1">
      <c r="B4" s="214" t="s">
        <v>122</v>
      </c>
      <c r="C4" s="214" t="s">
        <v>0</v>
      </c>
      <c r="D4" s="214" t="s">
        <v>41</v>
      </c>
      <c r="E4" s="214" t="s">
        <v>119</v>
      </c>
      <c r="F4" s="215" t="s">
        <v>5</v>
      </c>
      <c r="G4" s="214" t="s">
        <v>36</v>
      </c>
      <c r="H4" s="216" t="s">
        <v>312</v>
      </c>
      <c r="I4" s="217" t="s">
        <v>323</v>
      </c>
      <c r="J4" s="216" t="s">
        <v>314</v>
      </c>
      <c r="K4" s="216" t="s">
        <v>315</v>
      </c>
      <c r="L4" s="216" t="s">
        <v>316</v>
      </c>
      <c r="M4" s="191" t="s">
        <v>345</v>
      </c>
      <c r="N4" s="191" t="s">
        <v>318</v>
      </c>
      <c r="O4" s="191" t="s">
        <v>330</v>
      </c>
      <c r="P4" s="191" t="s">
        <v>320</v>
      </c>
      <c r="Q4" s="191" t="s">
        <v>331</v>
      </c>
      <c r="R4" s="191" t="s">
        <v>332</v>
      </c>
    </row>
    <row r="5" spans="2:18">
      <c r="B5" s="195" t="s">
        <v>42</v>
      </c>
      <c r="C5" s="221" t="s">
        <v>3</v>
      </c>
      <c r="D5" s="196" t="s">
        <v>108</v>
      </c>
      <c r="E5" s="195">
        <v>0</v>
      </c>
      <c r="F5" s="170">
        <v>5</v>
      </c>
      <c r="G5" s="171" t="str">
        <f>_xlfn.CONCAT(B5,C5,E5)</f>
        <v>United StatesTotal0</v>
      </c>
      <c r="H5" s="172">
        <f>VLOOKUP(G5,'Appen1a. py 2020'!$F$4:$G$33,2,FALSE)</f>
        <v>19375565.800000001</v>
      </c>
      <c r="I5" s="222">
        <f>K5/H5</f>
        <v>1.1927909738770053E-3</v>
      </c>
      <c r="J5" s="173">
        <f>(I5*F5)/(1+(F5-R5)*I5)</f>
        <v>5.9322093087367791E-3</v>
      </c>
      <c r="K5" s="172">
        <f>VLOOKUP(G5,'Appen2a. Deaths 2020'!$F$4:$G$33,2,FALSE)</f>
        <v>23111</v>
      </c>
      <c r="L5" s="170">
        <f>N5*J5</f>
        <v>593.22093087367796</v>
      </c>
      <c r="M5" s="222">
        <f>1-J5</f>
        <v>0.99406779069126328</v>
      </c>
      <c r="N5" s="170">
        <v>100000</v>
      </c>
      <c r="O5" s="170">
        <f>N6*F5+L5*R5</f>
        <v>497338.54788110423</v>
      </c>
      <c r="P5" s="170">
        <f>O5+P6</f>
        <v>7733582.8305945573</v>
      </c>
      <c r="Q5" s="176">
        <f t="shared" ref="Q5:Q13" si="0">P5/N5</f>
        <v>77.335828305945569</v>
      </c>
      <c r="R5" s="199">
        <f>VLOOKUP(G5,'Appen4a. 2020 LT CDC_abridged'!$G$7:$R$40,12,FALSE)</f>
        <v>0.51355661881977677</v>
      </c>
    </row>
    <row r="6" spans="2:18">
      <c r="B6" s="188" t="s">
        <v>42</v>
      </c>
      <c r="C6" s="212" t="s">
        <v>3</v>
      </c>
      <c r="D6" s="200" t="s">
        <v>109</v>
      </c>
      <c r="E6" s="188">
        <v>5</v>
      </c>
      <c r="F6" s="163">
        <v>10</v>
      </c>
      <c r="G6" s="164" t="str">
        <f t="shared" ref="G6:G14" si="1">_xlfn.CONCAT(B6,C6,E6)</f>
        <v>United StatesTotal5</v>
      </c>
      <c r="H6" s="165">
        <f>VLOOKUP(G6,'Appen1a. py 2020'!$F$4:$G$33,2,FALSE)</f>
        <v>40982318.5</v>
      </c>
      <c r="I6" s="213">
        <f t="shared" ref="I6:I14" si="2">K6/H6</f>
        <v>1.3720551217716E-4</v>
      </c>
      <c r="J6" s="166">
        <f t="shared" ref="J6:J13" si="3">(I6*F6)/(1+(F6-R6)*I6)</f>
        <v>1.3712098861396872E-3</v>
      </c>
      <c r="K6" s="165">
        <f>VLOOKUP(G6,'Appen2a. Deaths 2020'!$F$4:$G$33,2,FALSE)</f>
        <v>5623</v>
      </c>
      <c r="L6" s="163">
        <f t="shared" ref="L6:L14" si="4">N6*J6</f>
        <v>136.30755820888976</v>
      </c>
      <c r="M6" s="213">
        <f t="shared" ref="M6:M14" si="5">1-J6</f>
        <v>0.9986287901138603</v>
      </c>
      <c r="N6" s="163">
        <f>N5-L5</f>
        <v>99406.779069126322</v>
      </c>
      <c r="O6" s="163">
        <f t="shared" ref="O6:O13" si="6">N7*F6+L6*R6</f>
        <v>993455.40894078056</v>
      </c>
      <c r="P6" s="163">
        <f t="shared" ref="P6:P13" si="7">O6+P7</f>
        <v>7236244.2827134533</v>
      </c>
      <c r="Q6" s="169">
        <f t="shared" si="0"/>
        <v>72.794273695171768</v>
      </c>
      <c r="R6" s="202">
        <f>VLOOKUP(G6,'Appen4a. 2020 LT CDC_abridged'!$G$7:$R$40,12,FALSE)</f>
        <v>5.507352941176471</v>
      </c>
    </row>
    <row r="7" spans="2:18">
      <c r="B7" s="188" t="s">
        <v>42</v>
      </c>
      <c r="C7" s="212" t="s">
        <v>3</v>
      </c>
      <c r="D7" s="203" t="s">
        <v>110</v>
      </c>
      <c r="E7" s="188">
        <v>15</v>
      </c>
      <c r="F7" s="163">
        <v>10</v>
      </c>
      <c r="G7" s="164" t="str">
        <f t="shared" si="1"/>
        <v>United StatesTotal15</v>
      </c>
      <c r="H7" s="165">
        <f>VLOOKUP(G7,'Appen1a. py 2020'!$F$4:$G$33,2,FALSE)</f>
        <v>42605265.899999999</v>
      </c>
      <c r="I7" s="213">
        <f t="shared" si="2"/>
        <v>8.406472590516094E-4</v>
      </c>
      <c r="J7" s="166">
        <f t="shared" si="3"/>
        <v>8.3765303974554957E-3</v>
      </c>
      <c r="K7" s="165">
        <f>VLOOKUP(G7,'Appen2a. Deaths 2020'!$F$4:$G$33,2,FALSE)</f>
        <v>35816</v>
      </c>
      <c r="L7" s="163">
        <f t="shared" si="4"/>
        <v>831.5421221809396</v>
      </c>
      <c r="M7" s="213">
        <f t="shared" si="5"/>
        <v>0.99162346960254455</v>
      </c>
      <c r="N7" s="163">
        <f t="shared" ref="N7:N14" si="8">N6-L6</f>
        <v>99270.471510917429</v>
      </c>
      <c r="O7" s="163">
        <f t="shared" si="6"/>
        <v>989168.89721267647</v>
      </c>
      <c r="P7" s="163">
        <f t="shared" si="7"/>
        <v>6242788.8737726724</v>
      </c>
      <c r="Q7" s="169">
        <f t="shared" si="0"/>
        <v>62.886664873815086</v>
      </c>
      <c r="R7" s="202">
        <f>VLOOKUP(G7,'Appen4a. 2020 LT CDC_abridged'!$G$7:$R$40,12,FALSE)</f>
        <v>5.747878787878788</v>
      </c>
    </row>
    <row r="8" spans="2:18">
      <c r="B8" s="188" t="s">
        <v>42</v>
      </c>
      <c r="C8" s="212" t="s">
        <v>3</v>
      </c>
      <c r="D8" s="203" t="s">
        <v>111</v>
      </c>
      <c r="E8" s="188">
        <v>25</v>
      </c>
      <c r="F8" s="163">
        <v>10</v>
      </c>
      <c r="G8" s="164" t="str">
        <f t="shared" si="1"/>
        <v>United StatesTotal25</v>
      </c>
      <c r="H8" s="165">
        <f>VLOOKUP(G8,'Appen1a. py 2020'!$F$4:$G$33,2,FALSE)</f>
        <v>46040567.299999997</v>
      </c>
      <c r="I8" s="213">
        <f t="shared" si="2"/>
        <v>1.5961141295493986E-3</v>
      </c>
      <c r="J8" s="166">
        <f t="shared" si="3"/>
        <v>1.5841981837116815E-2</v>
      </c>
      <c r="K8" s="165">
        <f>VLOOKUP(G8,'Appen2a. Deaths 2020'!$F$4:$G$33,2,FALSE)</f>
        <v>73486</v>
      </c>
      <c r="L8" s="163">
        <f t="shared" si="4"/>
        <v>1559.4677314415881</v>
      </c>
      <c r="M8" s="213">
        <f t="shared" si="5"/>
        <v>0.98415801816288317</v>
      </c>
      <c r="N8" s="163">
        <f t="shared" si="8"/>
        <v>98438.929388736491</v>
      </c>
      <c r="O8" s="163">
        <f t="shared" si="6"/>
        <v>977040.23952337517</v>
      </c>
      <c r="P8" s="163">
        <f t="shared" si="7"/>
        <v>5253619.9765599957</v>
      </c>
      <c r="Q8" s="169">
        <f t="shared" si="0"/>
        <v>53.369332734343224</v>
      </c>
      <c r="R8" s="202">
        <f>VLOOKUP(G8,'Appen4a. 2020 LT CDC_abridged'!$G$7:$R$40,12,FALSE)</f>
        <v>5.2874598070739554</v>
      </c>
    </row>
    <row r="9" spans="2:18">
      <c r="B9" s="188" t="s">
        <v>42</v>
      </c>
      <c r="C9" s="212" t="s">
        <v>3</v>
      </c>
      <c r="D9" s="203" t="s">
        <v>112</v>
      </c>
      <c r="E9" s="188">
        <v>35</v>
      </c>
      <c r="F9" s="163">
        <v>10</v>
      </c>
      <c r="G9" s="164" t="str">
        <f t="shared" si="1"/>
        <v>United StatesTotal35</v>
      </c>
      <c r="H9" s="165">
        <f>VLOOKUP(G9,'Appen1a. py 2020'!$F$4:$G$33,2,FALSE)</f>
        <v>42126716.899999999</v>
      </c>
      <c r="I9" s="213">
        <f t="shared" si="2"/>
        <v>2.4803736841880505E-3</v>
      </c>
      <c r="J9" s="166">
        <f t="shared" si="3"/>
        <v>2.4516229943890879E-2</v>
      </c>
      <c r="K9" s="165">
        <f>VLOOKUP(G9,'Appen2a. Deaths 2020'!$F$4:$G$33,2,FALSE)</f>
        <v>104490</v>
      </c>
      <c r="L9" s="163">
        <f t="shared" si="4"/>
        <v>2375.1191588306015</v>
      </c>
      <c r="M9" s="213">
        <f t="shared" si="5"/>
        <v>0.97548377005610909</v>
      </c>
      <c r="N9" s="163">
        <f t="shared" si="8"/>
        <v>96879.461657294902</v>
      </c>
      <c r="O9" s="163">
        <f t="shared" si="6"/>
        <v>957565.05318999791</v>
      </c>
      <c r="P9" s="163">
        <f t="shared" si="7"/>
        <v>4276579.7370366203</v>
      </c>
      <c r="Q9" s="169">
        <f t="shared" si="0"/>
        <v>44.143306164982178</v>
      </c>
      <c r="R9" s="202">
        <f>VLOOKUP(G9,'Appen4a. 2020 LT CDC_abridged'!$G$7:$R$40,12,FALSE)</f>
        <v>5.2720000000000002</v>
      </c>
    </row>
    <row r="10" spans="2:18">
      <c r="B10" s="188" t="s">
        <v>42</v>
      </c>
      <c r="C10" s="212" t="s">
        <v>3</v>
      </c>
      <c r="D10" s="203" t="s">
        <v>113</v>
      </c>
      <c r="E10" s="188">
        <v>45</v>
      </c>
      <c r="F10" s="163">
        <v>10</v>
      </c>
      <c r="G10" s="164" t="str">
        <f t="shared" si="1"/>
        <v>United StatesTotal45</v>
      </c>
      <c r="H10" s="165">
        <f>VLOOKUP(G10,'Appen1a. py 2020'!$F$4:$G$33,2,FALSE)</f>
        <v>40403772.200000003</v>
      </c>
      <c r="I10" s="213">
        <f t="shared" si="2"/>
        <v>4.7307959032597451E-3</v>
      </c>
      <c r="J10" s="166">
        <f t="shared" si="3"/>
        <v>4.6310337356135441E-2</v>
      </c>
      <c r="K10" s="165">
        <f>VLOOKUP(G10,'Appen2a. Deaths 2020'!$F$4:$G$33,2,FALSE)</f>
        <v>191142</v>
      </c>
      <c r="L10" s="163">
        <f t="shared" si="4"/>
        <v>4376.52798272365</v>
      </c>
      <c r="M10" s="213">
        <f t="shared" si="5"/>
        <v>0.95368966264386457</v>
      </c>
      <c r="N10" s="163">
        <f t="shared" si="8"/>
        <v>94504.342498464306</v>
      </c>
      <c r="O10" s="163">
        <f t="shared" si="6"/>
        <v>925114.52030894265</v>
      </c>
      <c r="P10" s="163">
        <f t="shared" si="7"/>
        <v>3319014.6838466227</v>
      </c>
      <c r="Q10" s="169">
        <f t="shared" si="0"/>
        <v>35.120234648482494</v>
      </c>
      <c r="R10" s="202">
        <f>VLOOKUP(G10,'Appen4a. 2020 LT CDC_abridged'!$G$7:$R$40,12,FALSE)</f>
        <v>5.4464121435142596</v>
      </c>
    </row>
    <row r="11" spans="2:18">
      <c r="B11" s="188" t="s">
        <v>42</v>
      </c>
      <c r="C11" s="212" t="s">
        <v>3</v>
      </c>
      <c r="D11" s="203" t="s">
        <v>114</v>
      </c>
      <c r="E11" s="188">
        <v>55</v>
      </c>
      <c r="F11" s="163">
        <v>10</v>
      </c>
      <c r="G11" s="164" t="str">
        <f t="shared" si="1"/>
        <v>United StatesTotal55</v>
      </c>
      <c r="H11" s="165">
        <f>VLOOKUP(G11,'Appen1a. py 2020'!$F$4:$G$33,2,FALSE)</f>
        <v>42434095.100000001</v>
      </c>
      <c r="I11" s="213">
        <f t="shared" si="2"/>
        <v>1.0381958162694507E-2</v>
      </c>
      <c r="J11" s="166">
        <f t="shared" si="3"/>
        <v>9.9090528635697048E-2</v>
      </c>
      <c r="K11" s="165">
        <f>VLOOKUP(G11,'Appen2a. Deaths 2020'!$F$4:$G$33,2,FALSE)</f>
        <v>440549</v>
      </c>
      <c r="L11" s="163">
        <f t="shared" si="4"/>
        <v>8930.8127851447916</v>
      </c>
      <c r="M11" s="213">
        <f t="shared" si="5"/>
        <v>0.90090947136430299</v>
      </c>
      <c r="N11" s="163">
        <f t="shared" si="8"/>
        <v>90127.814515740654</v>
      </c>
      <c r="O11" s="163">
        <f t="shared" si="6"/>
        <v>860224.30886264611</v>
      </c>
      <c r="P11" s="163">
        <f t="shared" si="7"/>
        <v>2393900.1635376802</v>
      </c>
      <c r="Q11" s="169">
        <f t="shared" si="0"/>
        <v>26.56116956125226</v>
      </c>
      <c r="R11" s="202">
        <f>VLOOKUP(G11,'Appen4a. 2020 LT CDC_abridged'!$G$7:$R$40,12,FALSE)</f>
        <v>5.4031242975949656</v>
      </c>
    </row>
    <row r="12" spans="2:18">
      <c r="B12" s="188" t="s">
        <v>42</v>
      </c>
      <c r="C12" s="212" t="s">
        <v>3</v>
      </c>
      <c r="D12" s="204" t="s">
        <v>117</v>
      </c>
      <c r="E12" s="188">
        <v>65</v>
      </c>
      <c r="F12" s="163">
        <v>10</v>
      </c>
      <c r="G12" s="164" t="str">
        <f t="shared" si="1"/>
        <v>United StatesTotal65</v>
      </c>
      <c r="H12" s="165">
        <f>VLOOKUP(G12,'Appen1a. py 2020'!$F$4:$G$33,2,FALSE)</f>
        <v>32568951.399999999</v>
      </c>
      <c r="I12" s="213">
        <f t="shared" si="2"/>
        <v>2.071012332315986E-2</v>
      </c>
      <c r="J12" s="166">
        <f t="shared" si="3"/>
        <v>0.18888799962431232</v>
      </c>
      <c r="K12" s="165">
        <f>VLOOKUP(G12,'Appen2a. Deaths 2020'!$F$4:$G$33,2,FALSE)</f>
        <v>674507</v>
      </c>
      <c r="L12" s="163">
        <f t="shared" si="4"/>
        <v>15337.139232384077</v>
      </c>
      <c r="M12" s="213">
        <f t="shared" si="5"/>
        <v>0.81111200037568765</v>
      </c>
      <c r="N12" s="163">
        <f t="shared" si="8"/>
        <v>81197.001730595861</v>
      </c>
      <c r="O12" s="163">
        <f t="shared" si="6"/>
        <v>740562.42896597134</v>
      </c>
      <c r="P12" s="163">
        <f t="shared" si="7"/>
        <v>1533675.8546750338</v>
      </c>
      <c r="Q12" s="169">
        <f t="shared" si="0"/>
        <v>18.888331120447383</v>
      </c>
      <c r="R12" s="202">
        <f>VLOOKUP(G12,'Appen4a. 2020 LT CDC_abridged'!$G$7:$R$40,12,FALSE)</f>
        <v>5.3441390041493779</v>
      </c>
    </row>
    <row r="13" spans="2:18">
      <c r="B13" s="188" t="s">
        <v>42</v>
      </c>
      <c r="C13" s="212" t="s">
        <v>3</v>
      </c>
      <c r="D13" s="204" t="s">
        <v>116</v>
      </c>
      <c r="E13" s="188">
        <v>75</v>
      </c>
      <c r="F13" s="163">
        <v>10</v>
      </c>
      <c r="G13" s="164" t="str">
        <f t="shared" si="1"/>
        <v>United StatesTotal75</v>
      </c>
      <c r="H13" s="165">
        <f>VLOOKUP(G13,'Appen1a. py 2020'!$F$4:$G$33,2,FALSE)</f>
        <v>16467057.4</v>
      </c>
      <c r="I13" s="213">
        <f t="shared" si="2"/>
        <v>4.9922944945828635E-2</v>
      </c>
      <c r="J13" s="166">
        <f t="shared" si="3"/>
        <v>0.40433441210675275</v>
      </c>
      <c r="K13" s="165">
        <f>VLOOKUP(G13,'Appen2a. Deaths 2020'!$F$4:$G$33,2,FALSE)</f>
        <v>822084</v>
      </c>
      <c r="L13" s="163">
        <f t="shared" si="4"/>
        <v>26629.408784646035</v>
      </c>
      <c r="M13" s="213">
        <f t="shared" si="5"/>
        <v>0.59566558789324731</v>
      </c>
      <c r="N13" s="163">
        <f t="shared" si="8"/>
        <v>65859.862498211791</v>
      </c>
      <c r="O13" s="163">
        <f t="shared" si="6"/>
        <v>533410.21475278749</v>
      </c>
      <c r="P13" s="163">
        <f t="shared" si="7"/>
        <v>793113.42570906249</v>
      </c>
      <c r="Q13" s="169">
        <f t="shared" si="0"/>
        <v>12.042439744398143</v>
      </c>
      <c r="R13" s="202">
        <f>VLOOKUP(G13,'Appen4a. 2020 LT CDC_abridged'!$G$7:$R$40,12,FALSE)</f>
        <v>5.2988663307646711</v>
      </c>
    </row>
    <row r="14" spans="2:18">
      <c r="B14" s="205" t="s">
        <v>42</v>
      </c>
      <c r="C14" s="223" t="s">
        <v>3</v>
      </c>
      <c r="D14" s="206" t="s">
        <v>115</v>
      </c>
      <c r="E14" s="205">
        <v>85</v>
      </c>
      <c r="F14" s="182" t="s">
        <v>37</v>
      </c>
      <c r="G14" s="178" t="str">
        <f t="shared" si="1"/>
        <v>United StatesTotal85</v>
      </c>
      <c r="H14" s="179">
        <f>VLOOKUP(G14,'Appen1a. py 2020'!$F$4:$G$33,2,FALSE)</f>
        <v>6704707.3300000001</v>
      </c>
      <c r="I14" s="224">
        <f t="shared" si="2"/>
        <v>0.15105879349397344</v>
      </c>
      <c r="J14" s="181">
        <v>1</v>
      </c>
      <c r="K14" s="179">
        <f>VLOOKUP(G14,'Appen2a. Deaths 2020'!$F$4:$G$33,2,FALSE)</f>
        <v>1012805</v>
      </c>
      <c r="L14" s="177">
        <f t="shared" si="4"/>
        <v>39230.453713565759</v>
      </c>
      <c r="M14" s="181">
        <f t="shared" si="5"/>
        <v>0</v>
      </c>
      <c r="N14" s="177">
        <f t="shared" si="8"/>
        <v>39230.453713565759</v>
      </c>
      <c r="O14" s="177">
        <f>N14*Q14</f>
        <v>259703.21095627494</v>
      </c>
      <c r="P14" s="177">
        <f>O14</f>
        <v>259703.21095627494</v>
      </c>
      <c r="Q14" s="182">
        <f>1/I14</f>
        <v>6.6199390109645977</v>
      </c>
      <c r="R14" s="209">
        <f>VLOOKUP(G14,'Appen4a. 2020 LT CDC_abridged'!$G$7:$R$40,12,FALSE)</f>
        <v>6.6608706852138075</v>
      </c>
    </row>
    <row r="15" spans="2:18" ht="16.05" customHeight="1">
      <c r="B15" s="219"/>
      <c r="C15" s="219"/>
      <c r="D15" s="219"/>
      <c r="E15" s="219"/>
      <c r="F15" s="220"/>
      <c r="G15" s="219"/>
      <c r="H15" s="219"/>
      <c r="I15" s="219"/>
      <c r="J15" s="219"/>
      <c r="K15" s="219"/>
      <c r="L15" s="219"/>
      <c r="M15" s="219"/>
      <c r="N15" s="219"/>
      <c r="O15" s="219"/>
      <c r="P15" s="219"/>
      <c r="Q15" s="219"/>
      <c r="R15" s="219"/>
    </row>
    <row r="16" spans="2:18">
      <c r="B16" s="195" t="s">
        <v>42</v>
      </c>
      <c r="C16" s="221" t="s">
        <v>35</v>
      </c>
      <c r="D16" s="196" t="s">
        <v>108</v>
      </c>
      <c r="E16" s="195">
        <v>0</v>
      </c>
      <c r="F16" s="170">
        <v>5</v>
      </c>
      <c r="G16" s="171" t="str">
        <f>_xlfn.CONCAT(B16,C16,E16)</f>
        <v>United StatesFemale0</v>
      </c>
      <c r="H16" s="172">
        <f>VLOOKUP(G16,'Appen1a. py 2020'!$F$4:$G$33,2,FALSE)</f>
        <v>9468037.5399999991</v>
      </c>
      <c r="I16" s="222">
        <f>K16/H16</f>
        <v>1.0800548642522598E-3</v>
      </c>
      <c r="J16" s="173">
        <f>(I16*F16)/(1+(F16-R16)*I16)</f>
        <v>5.3741342640359173E-3</v>
      </c>
      <c r="K16" s="172">
        <f>VLOOKUP(G16,'Appen2a. Deaths 2020'!$F$4:$G$33,2,FALSE)</f>
        <v>10226</v>
      </c>
      <c r="L16" s="170">
        <f>N16*J16</f>
        <v>537.41342640359176</v>
      </c>
      <c r="M16" s="222">
        <f>1-J16</f>
        <v>0.99462586573596412</v>
      </c>
      <c r="N16" s="170">
        <v>100000</v>
      </c>
      <c r="O16" s="170">
        <f>N17*F16+L16*R16</f>
        <v>497579.74728038663</v>
      </c>
      <c r="P16" s="170">
        <f>O16+P17</f>
        <v>8023191.6057133703</v>
      </c>
      <c r="Q16" s="176">
        <f>P16/N16</f>
        <v>80.231916057133702</v>
      </c>
      <c r="R16" s="199">
        <f>VLOOKUP(G16,'Appen4a. 2020 LT CDC_abridged'!$G$7:$R$40,12,FALSE)</f>
        <v>0.49647887323943662</v>
      </c>
    </row>
    <row r="17" spans="2:18">
      <c r="B17" s="188" t="s">
        <v>42</v>
      </c>
      <c r="C17" s="212" t="s">
        <v>35</v>
      </c>
      <c r="D17" s="200" t="s">
        <v>109</v>
      </c>
      <c r="E17" s="188">
        <v>5</v>
      </c>
      <c r="F17" s="163">
        <v>10</v>
      </c>
      <c r="G17" s="164" t="str">
        <f t="shared" ref="G17:G25" si="9">_xlfn.CONCAT(B17,C17,E17)</f>
        <v>United StatesFemale5</v>
      </c>
      <c r="H17" s="165">
        <f>VLOOKUP(G17,'Appen1a. py 2020'!$F$4:$G$33,2,FALSE)</f>
        <v>20045138.100000001</v>
      </c>
      <c r="I17" s="213">
        <f t="shared" ref="I17:I25" si="10">K17/H17</f>
        <v>1.1279543142683562E-4</v>
      </c>
      <c r="J17" s="166">
        <f t="shared" ref="J17:J24" si="11">(I17*F17)/(1+(F17-R17)*I17)</f>
        <v>1.1273582477374525E-3</v>
      </c>
      <c r="K17" s="165">
        <f>VLOOKUP(G17,'Appen2a. Deaths 2020'!$F$4:$G$33,2,FALSE)</f>
        <v>2261</v>
      </c>
      <c r="L17" s="163">
        <f t="shared" ref="L17:L25" si="12">N17*J17</f>
        <v>112.12996731504431</v>
      </c>
      <c r="M17" s="213">
        <f t="shared" ref="M17:M25" si="13">1-J17</f>
        <v>0.99887264175226254</v>
      </c>
      <c r="N17" s="163">
        <f>N16-L16</f>
        <v>99462.586573596403</v>
      </c>
      <c r="O17" s="163">
        <f t="shared" ref="O17:O24" si="14">N18*F17+L17*R17</f>
        <v>994100.25651417463</v>
      </c>
      <c r="P17" s="163">
        <f t="shared" ref="P17:P24" si="15">O17+P18</f>
        <v>7525611.858432984</v>
      </c>
      <c r="Q17" s="169">
        <f t="shared" ref="Q17:Q24" si="16">P17/N17</f>
        <v>75.662740309538179</v>
      </c>
      <c r="R17" s="202">
        <f>VLOOKUP(G17,'Appen4a. 2020 LT CDC_abridged'!$G$7:$R$40,12,FALSE)</f>
        <v>5.3125</v>
      </c>
    </row>
    <row r="18" spans="2:18">
      <c r="B18" s="188" t="s">
        <v>42</v>
      </c>
      <c r="C18" s="212" t="s">
        <v>35</v>
      </c>
      <c r="D18" s="203" t="s">
        <v>110</v>
      </c>
      <c r="E18" s="188">
        <v>15</v>
      </c>
      <c r="F18" s="163">
        <v>10</v>
      </c>
      <c r="G18" s="164" t="str">
        <f t="shared" si="9"/>
        <v>United StatesFemale15</v>
      </c>
      <c r="H18" s="165">
        <f>VLOOKUP(G18,'Appen1a. py 2020'!$F$4:$G$33,2,FALSE)</f>
        <v>20848863.899999999</v>
      </c>
      <c r="I18" s="213">
        <f t="shared" si="10"/>
        <v>4.4760232714646868E-4</v>
      </c>
      <c r="J18" s="166">
        <f t="shared" si="11"/>
        <v>4.4673900166453187E-3</v>
      </c>
      <c r="K18" s="165">
        <f>VLOOKUP(G18,'Appen2a. Deaths 2020'!$F$4:$G$33,2,FALSE)</f>
        <v>9332</v>
      </c>
      <c r="L18" s="163">
        <f t="shared" si="12"/>
        <v>443.83723799205529</v>
      </c>
      <c r="M18" s="213">
        <f t="shared" si="13"/>
        <v>0.99553260998335469</v>
      </c>
      <c r="N18" s="163">
        <f t="shared" ref="N18:N25" si="17">N17-L17</f>
        <v>99350.456606281354</v>
      </c>
      <c r="O18" s="163">
        <f t="shared" si="14"/>
        <v>991588.31640037161</v>
      </c>
      <c r="P18" s="163">
        <f t="shared" si="15"/>
        <v>6531511.6019188091</v>
      </c>
      <c r="Q18" s="169">
        <f t="shared" si="16"/>
        <v>65.742139744789654</v>
      </c>
      <c r="R18" s="202">
        <f>VLOOKUP(G18,'Appen4a. 2020 LT CDC_abridged'!$G$7:$R$40,12,FALSE)</f>
        <v>5.6825396825396828</v>
      </c>
    </row>
    <row r="19" spans="2:18">
      <c r="B19" s="188" t="s">
        <v>42</v>
      </c>
      <c r="C19" s="212" t="s">
        <v>35</v>
      </c>
      <c r="D19" s="203" t="s">
        <v>111</v>
      </c>
      <c r="E19" s="188">
        <v>25</v>
      </c>
      <c r="F19" s="163">
        <v>10</v>
      </c>
      <c r="G19" s="164" t="str">
        <f t="shared" si="9"/>
        <v>United StatesFemale25</v>
      </c>
      <c r="H19" s="165">
        <f>VLOOKUP(G19,'Appen1a. py 2020'!$F$4:$G$33,2,FALSE)</f>
        <v>22612707.699999999</v>
      </c>
      <c r="I19" s="213">
        <f t="shared" si="10"/>
        <v>9.5760314453629104E-4</v>
      </c>
      <c r="J19" s="166">
        <f t="shared" si="11"/>
        <v>9.5339762483405231E-3</v>
      </c>
      <c r="K19" s="165">
        <f>VLOOKUP(G19,'Appen2a. Deaths 2020'!$F$4:$G$33,2,FALSE)</f>
        <v>21654</v>
      </c>
      <c r="L19" s="163">
        <f t="shared" si="12"/>
        <v>942.97335986092685</v>
      </c>
      <c r="M19" s="213">
        <f t="shared" si="13"/>
        <v>0.99046602375165949</v>
      </c>
      <c r="N19" s="163">
        <f t="shared" si="17"/>
        <v>98906.619368289292</v>
      </c>
      <c r="O19" s="163">
        <f t="shared" si="14"/>
        <v>984722.49724863993</v>
      </c>
      <c r="P19" s="163">
        <f t="shared" si="15"/>
        <v>5539923.2855184376</v>
      </c>
      <c r="Q19" s="169">
        <f t="shared" si="16"/>
        <v>56.011653425236844</v>
      </c>
      <c r="R19" s="202">
        <f>VLOOKUP(G19,'Appen4a. 2020 LT CDC_abridged'!$G$7:$R$40,12,FALSE)</f>
        <v>5.3936170212765955</v>
      </c>
    </row>
    <row r="20" spans="2:18">
      <c r="B20" s="188" t="s">
        <v>42</v>
      </c>
      <c r="C20" s="212" t="s">
        <v>35</v>
      </c>
      <c r="D20" s="203" t="s">
        <v>112</v>
      </c>
      <c r="E20" s="188">
        <v>35</v>
      </c>
      <c r="F20" s="163">
        <v>10</v>
      </c>
      <c r="G20" s="164" t="str">
        <f t="shared" si="9"/>
        <v>United StatesFemale35</v>
      </c>
      <c r="H20" s="165">
        <f>VLOOKUP(G20,'Appen1a. py 2020'!$F$4:$G$33,2,FALSE)</f>
        <v>21086104.600000001</v>
      </c>
      <c r="I20" s="213">
        <f t="shared" si="10"/>
        <v>1.7070957714968367E-3</v>
      </c>
      <c r="J20" s="166">
        <f t="shared" si="11"/>
        <v>1.6936360214802632E-2</v>
      </c>
      <c r="K20" s="165">
        <f>VLOOKUP(G20,'Appen2a. Deaths 2020'!$F$4:$G$33,2,FALSE)</f>
        <v>35996</v>
      </c>
      <c r="L20" s="163">
        <f t="shared" si="12"/>
        <v>1659.1475967541546</v>
      </c>
      <c r="M20" s="213">
        <f t="shared" si="13"/>
        <v>0.9830636397851974</v>
      </c>
      <c r="N20" s="163">
        <f t="shared" si="17"/>
        <v>97963.646008428361</v>
      </c>
      <c r="O20" s="163">
        <f t="shared" si="14"/>
        <v>971912.42838084023</v>
      </c>
      <c r="P20" s="163">
        <f t="shared" si="15"/>
        <v>4555200.7882697973</v>
      </c>
      <c r="Q20" s="169">
        <f t="shared" si="16"/>
        <v>46.498889882864177</v>
      </c>
      <c r="R20" s="202">
        <f>VLOOKUP(G20,'Appen4a. 2020 LT CDC_abridged'!$G$7:$R$40,12,FALSE)</f>
        <v>5.3445783132530122</v>
      </c>
    </row>
    <row r="21" spans="2:18">
      <c r="B21" s="188" t="s">
        <v>42</v>
      </c>
      <c r="C21" s="212" t="s">
        <v>35</v>
      </c>
      <c r="D21" s="203" t="s">
        <v>113</v>
      </c>
      <c r="E21" s="188">
        <v>45</v>
      </c>
      <c r="F21" s="163">
        <v>10</v>
      </c>
      <c r="G21" s="164" t="str">
        <f t="shared" si="9"/>
        <v>United StatesFemale45</v>
      </c>
      <c r="H21" s="165">
        <f>VLOOKUP(G21,'Appen1a. py 2020'!$F$4:$G$33,2,FALSE)</f>
        <v>20460697.100000001</v>
      </c>
      <c r="I21" s="213">
        <f t="shared" si="10"/>
        <v>3.4846320069906122E-3</v>
      </c>
      <c r="J21" s="166">
        <f t="shared" si="11"/>
        <v>3.43044826072572E-2</v>
      </c>
      <c r="K21" s="165">
        <f>VLOOKUP(G21,'Appen2a. Deaths 2020'!$F$4:$G$33,2,FALSE)</f>
        <v>71298</v>
      </c>
      <c r="L21" s="163">
        <f t="shared" si="12"/>
        <v>3303.6759907639066</v>
      </c>
      <c r="M21" s="213">
        <f t="shared" si="13"/>
        <v>0.96569551739274284</v>
      </c>
      <c r="N21" s="163">
        <f t="shared" si="17"/>
        <v>96304.498411674213</v>
      </c>
      <c r="O21" s="163">
        <f t="shared" si="14"/>
        <v>948070.26513454365</v>
      </c>
      <c r="P21" s="163">
        <f t="shared" si="15"/>
        <v>3583288.3598889569</v>
      </c>
      <c r="Q21" s="169">
        <f t="shared" si="16"/>
        <v>37.207902216274704</v>
      </c>
      <c r="R21" s="202">
        <f>VLOOKUP(G21,'Appen4a. 2020 LT CDC_abridged'!$G$7:$R$40,12,FALSE)</f>
        <v>5.4672555589399936</v>
      </c>
    </row>
    <row r="22" spans="2:18">
      <c r="B22" s="188" t="s">
        <v>42</v>
      </c>
      <c r="C22" s="212" t="s">
        <v>35</v>
      </c>
      <c r="D22" s="203" t="s">
        <v>114</v>
      </c>
      <c r="E22" s="188">
        <v>55</v>
      </c>
      <c r="F22" s="163">
        <v>10</v>
      </c>
      <c r="G22" s="164" t="str">
        <f t="shared" si="9"/>
        <v>United StatesFemale55</v>
      </c>
      <c r="H22" s="165">
        <f>VLOOKUP(G22,'Appen1a. py 2020'!$F$4:$G$33,2,FALSE)</f>
        <v>21929073.600000001</v>
      </c>
      <c r="I22" s="213">
        <f t="shared" si="10"/>
        <v>7.7259077647493504E-3</v>
      </c>
      <c r="J22" s="166">
        <f t="shared" si="11"/>
        <v>7.4623929803017505E-2</v>
      </c>
      <c r="K22" s="165">
        <f>VLOOKUP(G22,'Appen2a. Deaths 2020'!$F$4:$G$33,2,FALSE)</f>
        <v>169422</v>
      </c>
      <c r="L22" s="163">
        <f t="shared" si="12"/>
        <v>6940.0868439609076</v>
      </c>
      <c r="M22" s="213">
        <f t="shared" si="13"/>
        <v>0.92537607019698254</v>
      </c>
      <c r="N22" s="163">
        <f t="shared" si="17"/>
        <v>93000.822420910306</v>
      </c>
      <c r="O22" s="163">
        <f t="shared" si="14"/>
        <v>898287.56118810119</v>
      </c>
      <c r="P22" s="163">
        <f t="shared" si="15"/>
        <v>2635218.0947544132</v>
      </c>
      <c r="Q22" s="169">
        <f t="shared" si="16"/>
        <v>28.335427861355242</v>
      </c>
      <c r="R22" s="202">
        <f>VLOOKUP(G22,'Appen4a. 2020 LT CDC_abridged'!$G$7:$R$40,12,FALSE)</f>
        <v>5.4293564714389007</v>
      </c>
    </row>
    <row r="23" spans="2:18">
      <c r="B23" s="188" t="s">
        <v>42</v>
      </c>
      <c r="C23" s="212" t="s">
        <v>35</v>
      </c>
      <c r="D23" s="204" t="s">
        <v>117</v>
      </c>
      <c r="E23" s="188">
        <v>65</v>
      </c>
      <c r="F23" s="163">
        <v>10</v>
      </c>
      <c r="G23" s="164" t="str">
        <f t="shared" si="9"/>
        <v>United StatesFemale65</v>
      </c>
      <c r="H23" s="165">
        <f>VLOOKUP(G23,'Appen1a. py 2020'!$F$4:$G$33,2,FALSE)</f>
        <v>17369154.699999999</v>
      </c>
      <c r="I23" s="213">
        <f t="shared" si="10"/>
        <v>1.6264925085847731E-2</v>
      </c>
      <c r="J23" s="166">
        <f t="shared" si="11"/>
        <v>0.15141330902103486</v>
      </c>
      <c r="K23" s="165">
        <f>VLOOKUP(G23,'Appen2a. Deaths 2020'!$F$4:$G$33,2,FALSE)</f>
        <v>282508</v>
      </c>
      <c r="L23" s="163">
        <f t="shared" si="12"/>
        <v>13030.740750490209</v>
      </c>
      <c r="M23" s="213">
        <f t="shared" si="13"/>
        <v>0.84858669097896511</v>
      </c>
      <c r="N23" s="163">
        <f t="shared" si="17"/>
        <v>86060.735576949402</v>
      </c>
      <c r="O23" s="163">
        <f t="shared" si="14"/>
        <v>801155.90337568673</v>
      </c>
      <c r="P23" s="163">
        <f t="shared" si="15"/>
        <v>1736930.5335663119</v>
      </c>
      <c r="Q23" s="169">
        <f t="shared" si="16"/>
        <v>20.182613150142924</v>
      </c>
      <c r="R23" s="202">
        <f>VLOOKUP(G23,'Appen4a. 2020 LT CDC_abridged'!$G$7:$R$40,12,FALSE)</f>
        <v>5.4375999390847483</v>
      </c>
    </row>
    <row r="24" spans="2:18">
      <c r="B24" s="188" t="s">
        <v>42</v>
      </c>
      <c r="C24" s="212" t="s">
        <v>35</v>
      </c>
      <c r="D24" s="204" t="s">
        <v>116</v>
      </c>
      <c r="E24" s="188">
        <v>75</v>
      </c>
      <c r="F24" s="163">
        <v>10</v>
      </c>
      <c r="G24" s="164" t="str">
        <f t="shared" si="9"/>
        <v>United StatesFemale75</v>
      </c>
      <c r="H24" s="165">
        <f>VLOOKUP(G24,'Appen1a. py 2020'!$F$4:$G$33,2,FALSE)</f>
        <v>9235949.0099999998</v>
      </c>
      <c r="I24" s="213">
        <f t="shared" si="10"/>
        <v>4.2575592348360093E-2</v>
      </c>
      <c r="J24" s="166">
        <f t="shared" si="11"/>
        <v>0.35598052693382654</v>
      </c>
      <c r="K24" s="165">
        <f>VLOOKUP(G24,'Appen2a. Deaths 2020'!$F$4:$G$33,2,FALSE)</f>
        <v>393226</v>
      </c>
      <c r="L24" s="163">
        <f t="shared" si="12"/>
        <v>25997.256040297569</v>
      </c>
      <c r="M24" s="213">
        <f t="shared" si="13"/>
        <v>0.64401947306617346</v>
      </c>
      <c r="N24" s="163">
        <f t="shared" si="17"/>
        <v>73029.994826459195</v>
      </c>
      <c r="O24" s="163">
        <f t="shared" si="14"/>
        <v>610614.0773705272</v>
      </c>
      <c r="P24" s="163">
        <f t="shared" si="15"/>
        <v>935774.63019062509</v>
      </c>
      <c r="Q24" s="169">
        <f t="shared" si="16"/>
        <v>12.813565609778578</v>
      </c>
      <c r="R24" s="202">
        <f>VLOOKUP(G24,'Appen4a. 2020 LT CDC_abridged'!$G$7:$R$40,12,FALSE)</f>
        <v>5.396211403674938</v>
      </c>
    </row>
    <row r="25" spans="2:18">
      <c r="B25" s="205" t="s">
        <v>42</v>
      </c>
      <c r="C25" s="223" t="s">
        <v>35</v>
      </c>
      <c r="D25" s="206" t="s">
        <v>115</v>
      </c>
      <c r="E25" s="205">
        <v>85</v>
      </c>
      <c r="F25" s="182" t="s">
        <v>37</v>
      </c>
      <c r="G25" s="178" t="str">
        <f t="shared" si="9"/>
        <v>United StatesFemale85</v>
      </c>
      <c r="H25" s="179">
        <f>VLOOKUP(G25,'Appen1a. py 2020'!$F$4:$G$33,2,FALSE)</f>
        <v>4271744.18</v>
      </c>
      <c r="I25" s="224">
        <f t="shared" si="10"/>
        <v>0.14464466362309178</v>
      </c>
      <c r="J25" s="181">
        <v>1</v>
      </c>
      <c r="K25" s="179">
        <f>VLOOKUP(G25,'Appen2a. Deaths 2020'!$F$4:$G$33,2,FALSE)</f>
        <v>617885</v>
      </c>
      <c r="L25" s="177">
        <f t="shared" si="12"/>
        <v>47032.73878616163</v>
      </c>
      <c r="M25" s="181">
        <f t="shared" si="13"/>
        <v>0</v>
      </c>
      <c r="N25" s="177">
        <f t="shared" si="17"/>
        <v>47032.73878616163</v>
      </c>
      <c r="O25" s="177">
        <f>N25*Q25</f>
        <v>325160.55282009789</v>
      </c>
      <c r="P25" s="177">
        <f>O25</f>
        <v>325160.55282009789</v>
      </c>
      <c r="Q25" s="182">
        <f>1/I25</f>
        <v>6.9134939025870503</v>
      </c>
      <c r="R25" s="209">
        <f>VLOOKUP(G25,'Appen4a. 2020 LT CDC_abridged'!$G$7:$R$40,12,FALSE)</f>
        <v>6.9551478959465554</v>
      </c>
    </row>
    <row r="26" spans="2:18" ht="16.05" customHeight="1">
      <c r="B26" s="219"/>
      <c r="C26" s="219"/>
      <c r="D26" s="219"/>
      <c r="E26" s="219"/>
      <c r="F26" s="220"/>
      <c r="G26" s="219"/>
      <c r="H26" s="219"/>
      <c r="I26" s="219"/>
      <c r="J26" s="219"/>
      <c r="K26" s="219"/>
      <c r="L26" s="219"/>
      <c r="M26" s="219"/>
      <c r="N26" s="219"/>
      <c r="O26" s="219"/>
      <c r="P26" s="219"/>
      <c r="Q26" s="219"/>
      <c r="R26" s="219"/>
    </row>
    <row r="27" spans="2:18">
      <c r="B27" s="195" t="s">
        <v>42</v>
      </c>
      <c r="C27" s="195" t="s">
        <v>34</v>
      </c>
      <c r="D27" s="196" t="s">
        <v>108</v>
      </c>
      <c r="E27" s="195">
        <v>0</v>
      </c>
      <c r="F27" s="170">
        <v>5</v>
      </c>
      <c r="G27" s="171" t="str">
        <f>_xlfn.CONCAT(B27,C27,E27)</f>
        <v>United StatesMale0</v>
      </c>
      <c r="H27" s="172">
        <f>VLOOKUP(G27,'Appen1a. py 2020'!$F$4:$G$33,2,FALSE)</f>
        <v>9907528.2899999991</v>
      </c>
      <c r="I27" s="222">
        <f>K27/H27</f>
        <v>1.3005261880508847E-3</v>
      </c>
      <c r="J27" s="173">
        <f>(I27*F27)/(1+(F27-R27)*I27)</f>
        <v>6.465022988057372E-3</v>
      </c>
      <c r="K27" s="172">
        <f>VLOOKUP(G27,'Appen2a. Deaths 2020'!$F$4:$G$33,2,FALSE)</f>
        <v>12885</v>
      </c>
      <c r="L27" s="170">
        <f>N27*J27</f>
        <v>646.50229880573715</v>
      </c>
      <c r="M27" s="222">
        <f>1-J27</f>
        <v>0.9935349770119426</v>
      </c>
      <c r="N27" s="170">
        <v>100000</v>
      </c>
      <c r="O27" s="170">
        <f>N28*F27+L27*R27</f>
        <v>497108.25106463907</v>
      </c>
      <c r="P27" s="170">
        <f>O27+P28</f>
        <v>7451934.6614481751</v>
      </c>
      <c r="Q27" s="176">
        <f>P27/N27</f>
        <v>74.519346614481748</v>
      </c>
      <c r="R27" s="199">
        <f>VLOOKUP(G27,'Appen4a. 2020 LT CDC_abridged'!$G$7:$R$40,12,FALSE)</f>
        <v>0.52708638360175697</v>
      </c>
    </row>
    <row r="28" spans="2:18">
      <c r="B28" s="188" t="s">
        <v>42</v>
      </c>
      <c r="C28" s="188" t="s">
        <v>34</v>
      </c>
      <c r="D28" s="200" t="s">
        <v>109</v>
      </c>
      <c r="E28" s="188">
        <v>5</v>
      </c>
      <c r="F28" s="163">
        <v>10</v>
      </c>
      <c r="G28" s="164" t="str">
        <f t="shared" ref="G28:G36" si="18">_xlfn.CONCAT(B28,C28,E28)</f>
        <v>United StatesMale5</v>
      </c>
      <c r="H28" s="165">
        <f>VLOOKUP(G28,'Appen1a. py 2020'!$F$4:$G$33,2,FALSE)</f>
        <v>20937180.300000001</v>
      </c>
      <c r="I28" s="213">
        <f t="shared" ref="I28:I36" si="19">K28/H28</f>
        <v>1.6057558619772693E-4</v>
      </c>
      <c r="J28" s="166">
        <f t="shared" ref="J28:J35" si="20">(I28*F28)/(1+(F28-R28)*I28)</f>
        <v>1.6046279739397153E-3</v>
      </c>
      <c r="K28" s="165">
        <f>VLOOKUP(G28,'Appen2a. Deaths 2020'!$F$4:$G$33,2,FALSE)</f>
        <v>3362</v>
      </c>
      <c r="L28" s="163">
        <f t="shared" ref="L28:L36" si="21">N28*J28</f>
        <v>159.42540172009151</v>
      </c>
      <c r="M28" s="213">
        <f t="shared" ref="M28:M36" si="22">1-J28</f>
        <v>0.99839537202606032</v>
      </c>
      <c r="N28" s="163">
        <f>N27-L27</f>
        <v>99353.497701194268</v>
      </c>
      <c r="O28" s="163">
        <f t="shared" ref="O28:O35" si="23">N29*F28+L28*R28</f>
        <v>992837.11487611127</v>
      </c>
      <c r="P28" s="163">
        <f t="shared" ref="P28:P35" si="24">O28+P29</f>
        <v>6954826.4103835355</v>
      </c>
      <c r="Q28" s="169">
        <f t="shared" ref="Q28:Q35" si="25">P28/N28</f>
        <v>70.00082102091848</v>
      </c>
      <c r="R28" s="202">
        <f>VLOOKUP(G28,'Appen4a. 2020 LT CDC_abridged'!$G$7:$R$40,12,FALSE)</f>
        <v>5.6226415094339623</v>
      </c>
    </row>
    <row r="29" spans="2:18">
      <c r="B29" s="188" t="s">
        <v>42</v>
      </c>
      <c r="C29" s="188" t="s">
        <v>34</v>
      </c>
      <c r="D29" s="203" t="s">
        <v>110</v>
      </c>
      <c r="E29" s="188">
        <v>15</v>
      </c>
      <c r="F29" s="163">
        <v>10</v>
      </c>
      <c r="G29" s="164" t="str">
        <f t="shared" si="18"/>
        <v>United StatesMale15</v>
      </c>
      <c r="H29" s="165">
        <f>VLOOKUP(G29,'Appen1a. py 2020'!$F$4:$G$33,2,FALSE)</f>
        <v>21756402</v>
      </c>
      <c r="I29" s="213">
        <f t="shared" si="19"/>
        <v>1.2172968673772437E-3</v>
      </c>
      <c r="J29" s="166">
        <f t="shared" si="20"/>
        <v>1.2110571334293541E-2</v>
      </c>
      <c r="K29" s="165">
        <f>VLOOKUP(G29,'Appen2a. Deaths 2020'!$F$4:$G$33,2,FALSE)</f>
        <v>26484</v>
      </c>
      <c r="L29" s="163">
        <f t="shared" si="21"/>
        <v>1201.2968885218531</v>
      </c>
      <c r="M29" s="213">
        <f t="shared" si="22"/>
        <v>0.9878894286657065</v>
      </c>
      <c r="N29" s="163">
        <f t="shared" ref="N29:N36" si="26">N28-L28</f>
        <v>99194.072299474181</v>
      </c>
      <c r="O29" s="163">
        <f t="shared" si="23"/>
        <v>986856.14061435673</v>
      </c>
      <c r="P29" s="163">
        <f t="shared" si="24"/>
        <v>5961989.2955074245</v>
      </c>
      <c r="Q29" s="169">
        <f t="shared" si="25"/>
        <v>60.104290078017378</v>
      </c>
      <c r="R29" s="202">
        <f>VLOOKUP(G29,'Appen4a. 2020 LT CDC_abridged'!$G$7:$R$40,12,FALSE)</f>
        <v>5.7674223341729638</v>
      </c>
    </row>
    <row r="30" spans="2:18">
      <c r="B30" s="188" t="s">
        <v>42</v>
      </c>
      <c r="C30" s="188" t="s">
        <v>34</v>
      </c>
      <c r="D30" s="203" t="s">
        <v>111</v>
      </c>
      <c r="E30" s="188">
        <v>25</v>
      </c>
      <c r="F30" s="163">
        <v>10</v>
      </c>
      <c r="G30" s="164" t="str">
        <f t="shared" si="18"/>
        <v>United StatesMale25</v>
      </c>
      <c r="H30" s="165">
        <f>VLOOKUP(G30,'Appen1a. py 2020'!$F$4:$G$33,2,FALSE)</f>
        <v>23427859.600000001</v>
      </c>
      <c r="I30" s="213">
        <f t="shared" si="19"/>
        <v>2.2124086828657621E-3</v>
      </c>
      <c r="J30" s="166">
        <f t="shared" si="20"/>
        <v>2.1893869631107305E-2</v>
      </c>
      <c r="K30" s="165">
        <f>VLOOKUP(G30,'Appen2a. Deaths 2020'!$F$4:$G$33,2,FALSE)</f>
        <v>51832</v>
      </c>
      <c r="L30" s="163">
        <f t="shared" si="21"/>
        <v>2145.4410496377677</v>
      </c>
      <c r="M30" s="213">
        <f t="shared" si="22"/>
        <v>0.97810613036889271</v>
      </c>
      <c r="N30" s="163">
        <f t="shared" si="26"/>
        <v>97992.775410952323</v>
      </c>
      <c r="O30" s="163">
        <f t="shared" si="23"/>
        <v>969730.89386846439</v>
      </c>
      <c r="P30" s="163">
        <f t="shared" si="24"/>
        <v>4975133.1548930677</v>
      </c>
      <c r="Q30" s="169">
        <f t="shared" si="25"/>
        <v>50.770407655348578</v>
      </c>
      <c r="R30" s="202">
        <f>VLOOKUP(G30,'Appen4a. 2020 LT CDC_abridged'!$G$7:$R$40,12,FALSE)</f>
        <v>5.2471962616822427</v>
      </c>
    </row>
    <row r="31" spans="2:18">
      <c r="B31" s="188" t="s">
        <v>42</v>
      </c>
      <c r="C31" s="188" t="s">
        <v>34</v>
      </c>
      <c r="D31" s="203" t="s">
        <v>112</v>
      </c>
      <c r="E31" s="188">
        <v>35</v>
      </c>
      <c r="F31" s="163">
        <v>10</v>
      </c>
      <c r="G31" s="164" t="str">
        <f t="shared" si="18"/>
        <v>United StatesMale35</v>
      </c>
      <c r="H31" s="165">
        <f>VLOOKUP(G31,'Appen1a. py 2020'!$F$4:$G$33,2,FALSE)</f>
        <v>21040612.300000001</v>
      </c>
      <c r="I31" s="213">
        <f t="shared" si="19"/>
        <v>3.2553235154663251E-3</v>
      </c>
      <c r="J31" s="166">
        <f t="shared" si="20"/>
        <v>3.2056164781680767E-2</v>
      </c>
      <c r="K31" s="165">
        <f>VLOOKUP(G31,'Appen2a. Deaths 2020'!$F$4:$G$33,2,FALSE)</f>
        <v>68494</v>
      </c>
      <c r="L31" s="163">
        <f t="shared" si="21"/>
        <v>3072.4979441711525</v>
      </c>
      <c r="M31" s="213">
        <f t="shared" si="22"/>
        <v>0.96794383521831928</v>
      </c>
      <c r="N31" s="163">
        <f t="shared" si="26"/>
        <v>95847.334361314555</v>
      </c>
      <c r="O31" s="163">
        <f t="shared" si="23"/>
        <v>943837.97173259337</v>
      </c>
      <c r="P31" s="163">
        <f t="shared" si="24"/>
        <v>4005402.2610246036</v>
      </c>
      <c r="Q31" s="169">
        <f t="shared" si="25"/>
        <v>41.789396520152415</v>
      </c>
      <c r="R31" s="202">
        <f>VLOOKUP(G31,'Appen4a. 2020 LT CDC_abridged'!$G$7:$R$40,12,FALSE)</f>
        <v>5.236653645833333</v>
      </c>
    </row>
    <row r="32" spans="2:18">
      <c r="B32" s="188" t="s">
        <v>42</v>
      </c>
      <c r="C32" s="188" t="s">
        <v>34</v>
      </c>
      <c r="D32" s="203" t="s">
        <v>113</v>
      </c>
      <c r="E32" s="188">
        <v>45</v>
      </c>
      <c r="F32" s="163">
        <v>10</v>
      </c>
      <c r="G32" s="164" t="str">
        <f t="shared" si="18"/>
        <v>United StatesMale45</v>
      </c>
      <c r="H32" s="165">
        <f>VLOOKUP(G32,'Appen1a. py 2020'!$F$4:$G$33,2,FALSE)</f>
        <v>19943075.100000001</v>
      </c>
      <c r="I32" s="213">
        <f t="shared" si="19"/>
        <v>6.0093039513249387E-3</v>
      </c>
      <c r="J32" s="166">
        <f t="shared" si="20"/>
        <v>5.8487678968609708E-2</v>
      </c>
      <c r="K32" s="165">
        <f>VLOOKUP(G32,'Appen2a. Deaths 2020'!$F$4:$G$33,2,FALSE)</f>
        <v>119844</v>
      </c>
      <c r="L32" s="163">
        <f t="shared" si="21"/>
        <v>5426.1848487311645</v>
      </c>
      <c r="M32" s="213">
        <f t="shared" si="22"/>
        <v>0.94151232103139026</v>
      </c>
      <c r="N32" s="163">
        <f t="shared" si="26"/>
        <v>92774.836417143408</v>
      </c>
      <c r="O32" s="163">
        <f t="shared" si="23"/>
        <v>902963.95267787913</v>
      </c>
      <c r="P32" s="163">
        <f t="shared" si="24"/>
        <v>3061564.28929201</v>
      </c>
      <c r="Q32" s="169">
        <f t="shared" si="25"/>
        <v>32.999942737988796</v>
      </c>
      <c r="R32" s="202">
        <f>VLOOKUP(G32,'Appen4a. 2020 LT CDC_abridged'!$G$7:$R$40,12,FALSE)</f>
        <v>5.4324424647364511</v>
      </c>
    </row>
    <row r="33" spans="2:18">
      <c r="B33" s="188" t="s">
        <v>42</v>
      </c>
      <c r="C33" s="188" t="s">
        <v>34</v>
      </c>
      <c r="D33" s="203" t="s">
        <v>114</v>
      </c>
      <c r="E33" s="188">
        <v>55</v>
      </c>
      <c r="F33" s="163">
        <v>10</v>
      </c>
      <c r="G33" s="164" t="str">
        <f t="shared" si="18"/>
        <v>United StatesMale55</v>
      </c>
      <c r="H33" s="165">
        <f>VLOOKUP(G33,'Appen1a. py 2020'!$F$4:$G$33,2,FALSE)</f>
        <v>20505021.5</v>
      </c>
      <c r="I33" s="213">
        <f t="shared" si="19"/>
        <v>1.3222468457299593E-2</v>
      </c>
      <c r="J33" s="166">
        <f t="shared" si="20"/>
        <v>0.12462219823816424</v>
      </c>
      <c r="K33" s="165">
        <f>VLOOKUP(G33,'Appen2a. Deaths 2020'!$F$4:$G$33,2,FALSE)</f>
        <v>271127</v>
      </c>
      <c r="L33" s="163">
        <f t="shared" si="21"/>
        <v>10885.580971595007</v>
      </c>
      <c r="M33" s="213">
        <f t="shared" si="22"/>
        <v>0.87537780176183577</v>
      </c>
      <c r="N33" s="163">
        <f t="shared" si="26"/>
        <v>87348.651568412242</v>
      </c>
      <c r="O33" s="163">
        <f t="shared" si="23"/>
        <v>823263.90164958313</v>
      </c>
      <c r="P33" s="163">
        <f t="shared" si="24"/>
        <v>2158600.336614131</v>
      </c>
      <c r="Q33" s="169">
        <f t="shared" si="25"/>
        <v>24.712463190384753</v>
      </c>
      <c r="R33" s="202">
        <f>VLOOKUP(G33,'Appen4a. 2020 LT CDC_abridged'!$G$7:$R$40,12,FALSE)</f>
        <v>5.3863175364189564</v>
      </c>
    </row>
    <row r="34" spans="2:18">
      <c r="B34" s="188" t="s">
        <v>42</v>
      </c>
      <c r="C34" s="188" t="s">
        <v>34</v>
      </c>
      <c r="D34" s="204" t="s">
        <v>117</v>
      </c>
      <c r="E34" s="188">
        <v>65</v>
      </c>
      <c r="F34" s="163">
        <v>10</v>
      </c>
      <c r="G34" s="164" t="str">
        <f t="shared" si="18"/>
        <v>United StatesMale65</v>
      </c>
      <c r="H34" s="165">
        <f>VLOOKUP(G34,'Appen1a. py 2020'!$F$4:$G$33,2,FALSE)</f>
        <v>15199796.800000001</v>
      </c>
      <c r="I34" s="213">
        <f t="shared" si="19"/>
        <v>2.5789752663009282E-2</v>
      </c>
      <c r="J34" s="166">
        <f t="shared" si="20"/>
        <v>0.22986475599538633</v>
      </c>
      <c r="K34" s="165">
        <f>VLOOKUP(G34,'Appen2a. Deaths 2020'!$F$4:$G$33,2,FALSE)</f>
        <v>391999</v>
      </c>
      <c r="L34" s="163">
        <f t="shared" si="21"/>
        <v>17576.165065395395</v>
      </c>
      <c r="M34" s="213">
        <f t="shared" si="22"/>
        <v>0.77013524400461364</v>
      </c>
      <c r="N34" s="163">
        <f t="shared" si="26"/>
        <v>76463.070596817241</v>
      </c>
      <c r="O34" s="163">
        <f t="shared" si="23"/>
        <v>681517.39549659239</v>
      </c>
      <c r="P34" s="163">
        <f t="shared" si="24"/>
        <v>1335336.4349645479</v>
      </c>
      <c r="Q34" s="169">
        <f t="shared" si="25"/>
        <v>17.463808666613122</v>
      </c>
      <c r="R34" s="202">
        <f>VLOOKUP(G34,'Appen4a. 2020 LT CDC_abridged'!$G$7:$R$40,12,FALSE)</f>
        <v>5.2712488667271078</v>
      </c>
    </row>
    <row r="35" spans="2:18">
      <c r="B35" s="188" t="s">
        <v>42</v>
      </c>
      <c r="C35" s="188" t="s">
        <v>34</v>
      </c>
      <c r="D35" s="204" t="s">
        <v>116</v>
      </c>
      <c r="E35" s="188">
        <v>75</v>
      </c>
      <c r="F35" s="163">
        <v>10</v>
      </c>
      <c r="G35" s="164" t="str">
        <f t="shared" si="18"/>
        <v>United StatesMale75</v>
      </c>
      <c r="H35" s="165">
        <f>VLOOKUP(G35,'Appen1a. py 2020'!$F$4:$G$33,2,FALSE)</f>
        <v>7231108.4400000004</v>
      </c>
      <c r="I35" s="213">
        <f t="shared" si="19"/>
        <v>5.9307366714030356E-2</v>
      </c>
      <c r="J35" s="166">
        <f t="shared" si="20"/>
        <v>0.46186979229380914</v>
      </c>
      <c r="K35" s="165">
        <f>VLOOKUP(G35,'Appen2a. Deaths 2020'!$F$4:$G$33,2,FALSE)</f>
        <v>428858</v>
      </c>
      <c r="L35" s="163">
        <f t="shared" si="21"/>
        <v>27198.082826622966</v>
      </c>
      <c r="M35" s="213">
        <f t="shared" si="22"/>
        <v>0.53813020770619091</v>
      </c>
      <c r="N35" s="163">
        <f t="shared" si="26"/>
        <v>58886.905531421842</v>
      </c>
      <c r="O35" s="163">
        <f t="shared" si="23"/>
        <v>458595.35389199317</v>
      </c>
      <c r="P35" s="163">
        <f t="shared" si="24"/>
        <v>653819.03946795536</v>
      </c>
      <c r="Q35" s="169">
        <f t="shared" si="25"/>
        <v>11.102961406574163</v>
      </c>
      <c r="R35" s="202">
        <f>VLOOKUP(G35,'Appen4a. 2020 LT CDC_abridged'!$G$7:$R$40,12,FALSE)</f>
        <v>5.2101880763924191</v>
      </c>
    </row>
    <row r="36" spans="2:18">
      <c r="B36" s="205" t="s">
        <v>42</v>
      </c>
      <c r="C36" s="205" t="s">
        <v>34</v>
      </c>
      <c r="D36" s="206" t="s">
        <v>115</v>
      </c>
      <c r="E36" s="205">
        <v>85</v>
      </c>
      <c r="F36" s="182" t="s">
        <v>37</v>
      </c>
      <c r="G36" s="178" t="str">
        <f t="shared" si="18"/>
        <v>United StatesMale85</v>
      </c>
      <c r="H36" s="179">
        <f>VLOOKUP(G36,'Appen1a. py 2020'!$F$4:$G$33,2,FALSE)</f>
        <v>2432963.15</v>
      </c>
      <c r="I36" s="224">
        <f t="shared" si="19"/>
        <v>0.16232058426367865</v>
      </c>
      <c r="J36" s="181">
        <v>1</v>
      </c>
      <c r="K36" s="179">
        <f>VLOOKUP(G36,'Appen2a. Deaths 2020'!$F$4:$G$33,2,FALSE)</f>
        <v>394920</v>
      </c>
      <c r="L36" s="177">
        <f t="shared" si="21"/>
        <v>31688.822704798877</v>
      </c>
      <c r="M36" s="181">
        <f t="shared" si="22"/>
        <v>0</v>
      </c>
      <c r="N36" s="177">
        <f t="shared" si="26"/>
        <v>31688.822704798877</v>
      </c>
      <c r="O36" s="177">
        <f>N36*Q36</f>
        <v>195223.68557596218</v>
      </c>
      <c r="P36" s="177">
        <f>O36</f>
        <v>195223.68557596218</v>
      </c>
      <c r="Q36" s="182">
        <f>1/I36</f>
        <v>6.1606481059455076</v>
      </c>
      <c r="R36" s="209">
        <f>VLOOKUP(G36,'Appen4a. 2020 LT CDC_abridged'!$G$7:$R$40,12,FALSE)</f>
        <v>6.2007596310363535</v>
      </c>
    </row>
    <row r="38" spans="2:18">
      <c r="B38" s="211" t="s">
        <v>344</v>
      </c>
    </row>
    <row r="39" spans="2:18">
      <c r="K39" s="226"/>
    </row>
    <row r="40" spans="2:18">
      <c r="K40" s="22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Contents</vt:lpstr>
      <vt:lpstr>Summary</vt:lpstr>
      <vt:lpstr>DT19</vt:lpstr>
      <vt:lpstr>DT20</vt:lpstr>
      <vt:lpstr>Appen1a. py 2020</vt:lpstr>
      <vt:lpstr>Append1b. py 2019</vt:lpstr>
      <vt:lpstr>Appen2a. Deaths 2020</vt:lpstr>
      <vt:lpstr>Appen2b. Deaths 2019</vt:lpstr>
      <vt:lpstr>Appen3a. 2020 LT_construct</vt:lpstr>
      <vt:lpstr>Appen3b. 2019 LT_construct</vt:lpstr>
      <vt:lpstr>Appen4a. 2020 LT CDC_abridged</vt:lpstr>
      <vt:lpstr>Appen4b. 2020 LT NCHS_raw</vt:lpstr>
      <vt:lpstr>Appen5a. 2019 LT NCHS_abridged</vt:lpstr>
      <vt:lpstr>Appen5b. LT 2019 NCHS_complete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2023-02-16T16:58:28Z</dcterms:created>
  <dcterms:modified xsi:type="dcterms:W3CDTF">2023-02-22T19:29:48Z</dcterms:modified>
</cp:coreProperties>
</file>