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Uni\SHProject\"/>
    </mc:Choice>
  </mc:AlternateContent>
  <xr:revisionPtr revIDLastSave="0" documentId="13_ncr:1_{4C43ABA0-2BB0-4F3B-8DD8-24C628C0C698}" xr6:coauthVersionLast="45" xr6:coauthVersionMax="45" xr10:uidLastSave="{00000000-0000-0000-0000-000000000000}"/>
  <bookViews>
    <workbookView xWindow="-108" yWindow="-108" windowWidth="23256" windowHeight="12576" firstSheet="2" activeTab="5" xr2:uid="{7CEF8074-F7D7-45C8-A2A7-A1391E3D1FA2}"/>
  </bookViews>
  <sheets>
    <sheet name="Energy Calibration" sheetId="1" r:id="rId1"/>
    <sheet name="Energy Calibration (2)" sheetId="10" r:id="rId2"/>
    <sheet name="Energy Efficiency Calibration" sheetId="5" r:id="rId3"/>
    <sheet name="Energy Efficiency Calibrati (2)" sheetId="11" r:id="rId4"/>
    <sheet name="Geometry Efficiency Calibration" sheetId="13" r:id="rId5"/>
    <sheet name="Results" sheetId="15" r:id="rId6"/>
    <sheet name="Data" sheetId="2" r:id="rId7"/>
    <sheet name="Glenkinchie(12yo)" sheetId="7" r:id="rId8"/>
    <sheet name="Overall Background" sheetId="8" r:id="rId9"/>
    <sheet name="Decay Chain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Y5" i="15" l="1"/>
  <c r="AY6" i="15" s="1"/>
  <c r="AY7" i="15" s="1"/>
  <c r="AY8" i="15" s="1"/>
  <c r="AY9" i="15" s="1"/>
  <c r="AY10" i="15" s="1"/>
  <c r="AY11" i="15" s="1"/>
  <c r="AY12" i="15" s="1"/>
  <c r="AY13" i="15" s="1"/>
  <c r="AY14" i="15" s="1"/>
  <c r="AY15" i="15" s="1"/>
  <c r="AY16" i="15" s="1"/>
  <c r="AY17" i="15" s="1"/>
  <c r="AY18" i="15" s="1"/>
  <c r="AY19" i="15" s="1"/>
  <c r="AY20" i="15" s="1"/>
  <c r="AY21" i="15" s="1"/>
  <c r="AY22" i="15" s="1"/>
  <c r="AY23" i="15" s="1"/>
  <c r="AY24" i="15" s="1"/>
  <c r="AY25" i="15" s="1"/>
  <c r="AW5" i="15"/>
  <c r="AW6" i="15" s="1"/>
  <c r="AW7" i="15" s="1"/>
  <c r="AW8" i="15" s="1"/>
  <c r="AW9" i="15" s="1"/>
  <c r="AW10" i="15" s="1"/>
  <c r="AW11" i="15" s="1"/>
  <c r="AW12" i="15" s="1"/>
  <c r="AW13" i="15" s="1"/>
  <c r="AW14" i="15" s="1"/>
  <c r="AW15" i="15" s="1"/>
  <c r="AW16" i="15" s="1"/>
  <c r="AW17" i="15" s="1"/>
  <c r="AW18" i="15" s="1"/>
  <c r="AW19" i="15" s="1"/>
  <c r="AW20" i="15" s="1"/>
  <c r="AW21" i="15" s="1"/>
  <c r="AW22" i="15" s="1"/>
  <c r="AW23" i="15" s="1"/>
  <c r="AW24" i="15" s="1"/>
  <c r="AW25" i="15" s="1"/>
  <c r="AU5" i="15"/>
  <c r="AU6" i="15" s="1"/>
  <c r="AU7" i="15" s="1"/>
  <c r="AU8" i="15" s="1"/>
  <c r="AU9" i="15" s="1"/>
  <c r="AU10" i="15" s="1"/>
  <c r="AU11" i="15" s="1"/>
  <c r="AU12" i="15" s="1"/>
  <c r="AU13" i="15" s="1"/>
  <c r="AU14" i="15" s="1"/>
  <c r="AU15" i="15" s="1"/>
  <c r="AU16" i="15" s="1"/>
  <c r="AU17" i="15" s="1"/>
  <c r="AU18" i="15" s="1"/>
  <c r="AU19" i="15" s="1"/>
  <c r="AU20" i="15" s="1"/>
  <c r="AU21" i="15" s="1"/>
  <c r="AU22" i="15" s="1"/>
  <c r="AU23" i="15" s="1"/>
  <c r="AU24" i="15" s="1"/>
  <c r="AU25" i="15" s="1"/>
  <c r="AE5" i="15"/>
  <c r="AF5" i="15"/>
  <c r="AE6" i="15"/>
  <c r="AF6" i="15"/>
  <c r="AE7" i="15"/>
  <c r="AF7" i="15"/>
  <c r="AE8" i="15"/>
  <c r="AF8" i="15"/>
  <c r="AE9" i="15"/>
  <c r="AF9" i="15"/>
  <c r="AE10" i="15"/>
  <c r="AF10" i="15"/>
  <c r="AE11" i="15"/>
  <c r="AF11" i="15"/>
  <c r="AE12" i="15"/>
  <c r="AF12" i="15"/>
  <c r="AE13" i="15"/>
  <c r="AF13" i="15"/>
  <c r="AE14" i="15"/>
  <c r="AF14" i="15"/>
  <c r="AE15" i="15"/>
  <c r="AF15" i="15"/>
  <c r="AE16" i="15"/>
  <c r="AF16" i="15"/>
  <c r="AE17" i="15"/>
  <c r="AF17" i="15"/>
  <c r="AE18" i="15"/>
  <c r="AF18" i="15"/>
  <c r="AE19" i="15"/>
  <c r="AF19" i="15"/>
  <c r="AE20" i="15"/>
  <c r="AF20" i="15"/>
  <c r="AE21" i="15"/>
  <c r="AF21" i="15"/>
  <c r="AE22" i="15"/>
  <c r="AF22" i="15"/>
  <c r="AE23" i="15"/>
  <c r="AF23" i="15"/>
  <c r="AE24" i="15"/>
  <c r="AF24" i="15"/>
  <c r="AE25" i="15"/>
  <c r="AF25" i="15"/>
  <c r="AF4" i="15"/>
  <c r="AE4" i="15"/>
  <c r="AS4" i="11"/>
  <c r="AR4" i="11"/>
  <c r="AR5" i="11"/>
  <c r="AS5" i="11"/>
  <c r="AR6" i="11"/>
  <c r="AS6" i="11"/>
  <c r="CD4" i="15"/>
  <c r="CD5" i="15" s="1"/>
  <c r="CD6" i="15" s="1"/>
  <c r="CD7" i="15" s="1"/>
  <c r="CD8" i="15" s="1"/>
  <c r="CD9" i="15" s="1"/>
  <c r="CD10" i="15" s="1"/>
  <c r="CD11" i="15" s="1"/>
  <c r="CD12" i="15" s="1"/>
  <c r="CD13" i="15" s="1"/>
  <c r="CD14" i="15" s="1"/>
  <c r="CD15" i="15" s="1"/>
  <c r="CD16" i="15" s="1"/>
  <c r="CD17" i="15" s="1"/>
  <c r="CD18" i="15" s="1"/>
  <c r="CD19" i="15" s="1"/>
  <c r="CD20" i="15" s="1"/>
  <c r="CD21" i="15" s="1"/>
  <c r="CD22" i="15" s="1"/>
  <c r="CD23" i="15" s="1"/>
  <c r="CD24" i="15" s="1"/>
  <c r="CD25" i="15" s="1"/>
  <c r="BU5" i="15"/>
  <c r="BU6" i="15" s="1"/>
  <c r="BU7" i="15" s="1"/>
  <c r="BU8" i="15" s="1"/>
  <c r="BU9" i="15" s="1"/>
  <c r="BU10" i="15" s="1"/>
  <c r="BU11" i="15" s="1"/>
  <c r="BU12" i="15" s="1"/>
  <c r="BU13" i="15" s="1"/>
  <c r="BU14" i="15" s="1"/>
  <c r="BU15" i="15" s="1"/>
  <c r="BU16" i="15" s="1"/>
  <c r="BU17" i="15" s="1"/>
  <c r="BU18" i="15" s="1"/>
  <c r="BU19" i="15" s="1"/>
  <c r="BU20" i="15" s="1"/>
  <c r="BU21" i="15" s="1"/>
  <c r="BU22" i="15" s="1"/>
  <c r="BU23" i="15" s="1"/>
  <c r="BU24" i="15" s="1"/>
  <c r="BU25" i="15" s="1"/>
  <c r="V5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39" i="13"/>
  <c r="V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O6" i="13"/>
  <c r="O5" i="13"/>
  <c r="O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" i="13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5" i="11"/>
  <c r="M4" i="11"/>
  <c r="H44" i="13"/>
  <c r="H42" i="13"/>
  <c r="H41" i="13"/>
  <c r="BE7" i="13" l="1"/>
  <c r="BX28" i="15"/>
  <c r="CE5" i="13"/>
  <c r="CE6" i="13"/>
  <c r="CE7" i="13"/>
  <c r="CE8" i="13"/>
  <c r="CE9" i="13"/>
  <c r="CE10" i="13"/>
  <c r="CE11" i="13"/>
  <c r="CE12" i="13"/>
  <c r="CE13" i="13"/>
  <c r="CE14" i="13"/>
  <c r="CE15" i="13"/>
  <c r="CE16" i="13"/>
  <c r="CE17" i="13"/>
  <c r="CE18" i="13"/>
  <c r="CE19" i="13"/>
  <c r="CE20" i="13"/>
  <c r="CE21" i="13"/>
  <c r="CE22" i="13"/>
  <c r="CE23" i="13"/>
  <c r="CE24" i="13"/>
  <c r="CE25" i="13"/>
  <c r="CE26" i="13"/>
  <c r="CE27" i="13"/>
  <c r="CE28" i="13"/>
  <c r="CE29" i="13"/>
  <c r="CE30" i="13"/>
  <c r="CE31" i="13"/>
  <c r="CE32" i="13"/>
  <c r="CE33" i="13"/>
  <c r="CE34" i="13"/>
  <c r="CE35" i="13"/>
  <c r="CE36" i="13"/>
  <c r="CE37" i="13"/>
  <c r="CE38" i="13"/>
  <c r="CE39" i="13"/>
  <c r="CE40" i="13"/>
  <c r="CE41" i="13"/>
  <c r="CE42" i="13"/>
  <c r="CE43" i="13"/>
  <c r="CE44" i="13"/>
  <c r="CE45" i="13"/>
  <c r="CE4" i="13"/>
  <c r="BX5" i="13"/>
  <c r="BX6" i="13"/>
  <c r="BX8" i="13"/>
  <c r="BX4" i="13"/>
  <c r="BW7" i="13"/>
  <c r="BX7" i="13" s="1"/>
  <c r="BW8" i="13"/>
  <c r="BF7" i="13"/>
  <c r="BG7" i="13"/>
  <c r="BH7" i="13"/>
  <c r="BI7" i="13"/>
  <c r="BJ7" i="13"/>
  <c r="BE8" i="13"/>
  <c r="BF8" i="13"/>
  <c r="BG8" i="13"/>
  <c r="BH8" i="13"/>
  <c r="BI8" i="13"/>
  <c r="BJ8" i="13"/>
  <c r="BE9" i="13"/>
  <c r="BF9" i="13"/>
  <c r="BG9" i="13"/>
  <c r="BH9" i="13"/>
  <c r="BI9" i="13"/>
  <c r="BJ9" i="13"/>
  <c r="BE10" i="13"/>
  <c r="BF10" i="13"/>
  <c r="BG10" i="13"/>
  <c r="BH10" i="13"/>
  <c r="BI10" i="13"/>
  <c r="BJ10" i="13"/>
  <c r="BE11" i="13"/>
  <c r="BF11" i="13"/>
  <c r="BG11" i="13"/>
  <c r="BH11" i="13"/>
  <c r="BI11" i="13"/>
  <c r="BJ11" i="13"/>
  <c r="BE12" i="13"/>
  <c r="BF12" i="13"/>
  <c r="BG12" i="13"/>
  <c r="BH12" i="13"/>
  <c r="BI12" i="13"/>
  <c r="BJ12" i="13"/>
  <c r="BE13" i="13"/>
  <c r="BF13" i="13"/>
  <c r="BG13" i="13"/>
  <c r="BH13" i="13"/>
  <c r="BI13" i="13"/>
  <c r="BJ13" i="13"/>
  <c r="BE14" i="13"/>
  <c r="BF14" i="13"/>
  <c r="BG14" i="13"/>
  <c r="BH14" i="13"/>
  <c r="BI14" i="13"/>
  <c r="BJ14" i="13"/>
  <c r="BE15" i="13"/>
  <c r="BF15" i="13"/>
  <c r="BG15" i="13"/>
  <c r="BH15" i="13"/>
  <c r="BI15" i="13"/>
  <c r="BJ15" i="13"/>
  <c r="BE16" i="13"/>
  <c r="BF16" i="13"/>
  <c r="BG16" i="13"/>
  <c r="BH16" i="13"/>
  <c r="BI16" i="13"/>
  <c r="BJ16" i="13"/>
  <c r="BE17" i="13"/>
  <c r="BF17" i="13"/>
  <c r="BG17" i="13"/>
  <c r="BH17" i="13"/>
  <c r="BI17" i="13"/>
  <c r="BJ17" i="13"/>
  <c r="BE18" i="13"/>
  <c r="BF18" i="13"/>
  <c r="BG18" i="13"/>
  <c r="BH18" i="13"/>
  <c r="BI18" i="13"/>
  <c r="BJ18" i="13"/>
  <c r="BE19" i="13"/>
  <c r="BF19" i="13"/>
  <c r="BG19" i="13"/>
  <c r="BH19" i="13"/>
  <c r="BI19" i="13"/>
  <c r="BJ19" i="13"/>
  <c r="BE20" i="13"/>
  <c r="BF20" i="13"/>
  <c r="BG20" i="13"/>
  <c r="BH20" i="13"/>
  <c r="BI20" i="13"/>
  <c r="BJ20" i="13"/>
  <c r="BE21" i="13"/>
  <c r="BF21" i="13"/>
  <c r="BG21" i="13"/>
  <c r="BH21" i="13"/>
  <c r="BI21" i="13"/>
  <c r="BJ21" i="13"/>
  <c r="BE22" i="13"/>
  <c r="BF22" i="13"/>
  <c r="BG22" i="13"/>
  <c r="BH22" i="13"/>
  <c r="BI22" i="13"/>
  <c r="BJ22" i="13"/>
  <c r="BE23" i="13"/>
  <c r="BF23" i="13"/>
  <c r="BG23" i="13"/>
  <c r="BH23" i="13"/>
  <c r="BI23" i="13"/>
  <c r="BJ23" i="13"/>
  <c r="BE24" i="13"/>
  <c r="BF24" i="13"/>
  <c r="BG24" i="13"/>
  <c r="BH24" i="13"/>
  <c r="BI24" i="13"/>
  <c r="BJ24" i="13"/>
  <c r="BE25" i="13"/>
  <c r="BF25" i="13"/>
  <c r="BG25" i="13"/>
  <c r="BH25" i="13"/>
  <c r="BI25" i="13"/>
  <c r="BJ25" i="13"/>
  <c r="BE26" i="13"/>
  <c r="BF26" i="13"/>
  <c r="BG26" i="13"/>
  <c r="BH26" i="13"/>
  <c r="BI26" i="13"/>
  <c r="BJ26" i="13"/>
  <c r="BE27" i="13"/>
  <c r="BF27" i="13"/>
  <c r="BG27" i="13"/>
  <c r="BH27" i="13"/>
  <c r="BI27" i="13"/>
  <c r="BJ27" i="13"/>
  <c r="BE28" i="13"/>
  <c r="BF28" i="13"/>
  <c r="BG28" i="13"/>
  <c r="BH28" i="13"/>
  <c r="BI28" i="13"/>
  <c r="BJ28" i="13"/>
  <c r="BE29" i="13"/>
  <c r="BF29" i="13"/>
  <c r="BG29" i="13"/>
  <c r="BH29" i="13"/>
  <c r="BI29" i="13"/>
  <c r="BJ29" i="13"/>
  <c r="BE30" i="13"/>
  <c r="BF30" i="13"/>
  <c r="BG30" i="13"/>
  <c r="BH30" i="13"/>
  <c r="BI30" i="13"/>
  <c r="BJ30" i="13"/>
  <c r="BE31" i="13"/>
  <c r="BF31" i="13"/>
  <c r="BG31" i="13"/>
  <c r="BH31" i="13"/>
  <c r="BI31" i="13"/>
  <c r="BJ31" i="13"/>
  <c r="BE32" i="13"/>
  <c r="BF32" i="13"/>
  <c r="BG32" i="13"/>
  <c r="BH32" i="13"/>
  <c r="BI32" i="13"/>
  <c r="BJ32" i="13"/>
  <c r="BE33" i="13"/>
  <c r="BF33" i="13"/>
  <c r="BG33" i="13"/>
  <c r="BH33" i="13"/>
  <c r="BI33" i="13"/>
  <c r="BJ33" i="13"/>
  <c r="BE34" i="13"/>
  <c r="BF34" i="13"/>
  <c r="BG34" i="13"/>
  <c r="BH34" i="13"/>
  <c r="BI34" i="13"/>
  <c r="BJ34" i="13"/>
  <c r="BE35" i="13"/>
  <c r="BF35" i="13"/>
  <c r="BG35" i="13"/>
  <c r="BH35" i="13"/>
  <c r="BI35" i="13"/>
  <c r="BJ35" i="13"/>
  <c r="BE36" i="13"/>
  <c r="BF36" i="13"/>
  <c r="BG36" i="13"/>
  <c r="BH36" i="13"/>
  <c r="BI36" i="13"/>
  <c r="BJ36" i="13"/>
  <c r="BE37" i="13"/>
  <c r="BF37" i="13"/>
  <c r="BG37" i="13"/>
  <c r="BH37" i="13"/>
  <c r="BI37" i="13"/>
  <c r="BJ37" i="13"/>
  <c r="BE38" i="13"/>
  <c r="BF38" i="13"/>
  <c r="BG38" i="13"/>
  <c r="BH38" i="13"/>
  <c r="BI38" i="13"/>
  <c r="BJ38" i="13"/>
  <c r="BE39" i="13"/>
  <c r="BF39" i="13"/>
  <c r="BG39" i="13"/>
  <c r="BH39" i="13"/>
  <c r="BI39" i="13"/>
  <c r="BJ39" i="13"/>
  <c r="BE40" i="13"/>
  <c r="BF40" i="13"/>
  <c r="BG40" i="13"/>
  <c r="BH40" i="13"/>
  <c r="BI40" i="13"/>
  <c r="BJ40" i="13"/>
  <c r="BE41" i="13"/>
  <c r="BF41" i="13"/>
  <c r="BG41" i="13"/>
  <c r="BH41" i="13"/>
  <c r="BI41" i="13"/>
  <c r="BJ41" i="13"/>
  <c r="BE42" i="13"/>
  <c r="BF42" i="13"/>
  <c r="BG42" i="13"/>
  <c r="BH42" i="13"/>
  <c r="BI42" i="13"/>
  <c r="BJ42" i="13"/>
  <c r="BE43" i="13"/>
  <c r="BF43" i="13"/>
  <c r="BG43" i="13"/>
  <c r="BH43" i="13"/>
  <c r="BI43" i="13"/>
  <c r="BJ43" i="13"/>
  <c r="BE44" i="13"/>
  <c r="BF44" i="13"/>
  <c r="BG44" i="13"/>
  <c r="BH44" i="13"/>
  <c r="BI44" i="13"/>
  <c r="BJ44" i="13"/>
  <c r="BE45" i="13"/>
  <c r="BF45" i="13"/>
  <c r="BG45" i="13"/>
  <c r="BH45" i="13"/>
  <c r="BI45" i="13"/>
  <c r="BJ45" i="13"/>
  <c r="BE46" i="13"/>
  <c r="BF46" i="13"/>
  <c r="BG46" i="13"/>
  <c r="BH46" i="13"/>
  <c r="BI46" i="13"/>
  <c r="BJ46" i="13"/>
  <c r="BE47" i="13"/>
  <c r="BF47" i="13"/>
  <c r="BG47" i="13"/>
  <c r="BH47" i="13"/>
  <c r="BI47" i="13"/>
  <c r="BJ47" i="13"/>
  <c r="BE48" i="13"/>
  <c r="BF48" i="13"/>
  <c r="BG48" i="13"/>
  <c r="BH48" i="13"/>
  <c r="BI48" i="13"/>
  <c r="BJ48" i="13"/>
  <c r="BE49" i="13"/>
  <c r="BF49" i="13"/>
  <c r="BG49" i="13"/>
  <c r="BH49" i="13"/>
  <c r="BI49" i="13"/>
  <c r="BJ49" i="13"/>
  <c r="BE50" i="13"/>
  <c r="BF50" i="13"/>
  <c r="BG50" i="13"/>
  <c r="BH50" i="13"/>
  <c r="BI50" i="13"/>
  <c r="BJ50" i="13"/>
  <c r="BE51" i="13"/>
  <c r="BF51" i="13"/>
  <c r="BG51" i="13"/>
  <c r="BH51" i="13"/>
  <c r="BI51" i="13"/>
  <c r="BJ51" i="13"/>
  <c r="BE52" i="13"/>
  <c r="BF52" i="13"/>
  <c r="BG52" i="13"/>
  <c r="BH52" i="13"/>
  <c r="BI52" i="13"/>
  <c r="BJ52" i="13"/>
  <c r="BE53" i="13"/>
  <c r="BF53" i="13"/>
  <c r="BG53" i="13"/>
  <c r="BH53" i="13"/>
  <c r="BI53" i="13"/>
  <c r="BJ53" i="13"/>
  <c r="BE54" i="13"/>
  <c r="BF54" i="13"/>
  <c r="BG54" i="13"/>
  <c r="BH54" i="13"/>
  <c r="BI54" i="13"/>
  <c r="BJ54" i="13"/>
  <c r="BE55" i="13"/>
  <c r="BF55" i="13"/>
  <c r="BG55" i="13"/>
  <c r="BH55" i="13"/>
  <c r="BI55" i="13"/>
  <c r="BJ55" i="13"/>
  <c r="BE56" i="13"/>
  <c r="BF56" i="13"/>
  <c r="BG56" i="13"/>
  <c r="BH56" i="13"/>
  <c r="BI56" i="13"/>
  <c r="BJ56" i="13"/>
  <c r="BE57" i="13"/>
  <c r="BF57" i="13"/>
  <c r="BG57" i="13"/>
  <c r="BH57" i="13"/>
  <c r="BI57" i="13"/>
  <c r="BJ57" i="13"/>
  <c r="BE58" i="13"/>
  <c r="BF58" i="13"/>
  <c r="BG58" i="13"/>
  <c r="BH58" i="13"/>
  <c r="BI58" i="13"/>
  <c r="BJ58" i="13"/>
  <c r="BE59" i="13"/>
  <c r="BF59" i="13"/>
  <c r="BG59" i="13"/>
  <c r="BH59" i="13"/>
  <c r="BI59" i="13"/>
  <c r="BJ59" i="13"/>
  <c r="BE60" i="13"/>
  <c r="BF60" i="13"/>
  <c r="BG60" i="13"/>
  <c r="BH60" i="13"/>
  <c r="BI60" i="13"/>
  <c r="BJ60" i="13"/>
  <c r="BE61" i="13"/>
  <c r="BF61" i="13"/>
  <c r="BG61" i="13"/>
  <c r="BH61" i="13"/>
  <c r="BI61" i="13"/>
  <c r="BJ61" i="13"/>
  <c r="BE62" i="13"/>
  <c r="BF62" i="13"/>
  <c r="BG62" i="13"/>
  <c r="BH62" i="13"/>
  <c r="BI62" i="13"/>
  <c r="BJ62" i="13"/>
  <c r="BE63" i="13"/>
  <c r="BF63" i="13"/>
  <c r="BG63" i="13"/>
  <c r="BH63" i="13"/>
  <c r="BI63" i="13"/>
  <c r="BJ63" i="13"/>
  <c r="BE64" i="13"/>
  <c r="BF64" i="13"/>
  <c r="BG64" i="13"/>
  <c r="BH64" i="13"/>
  <c r="BI64" i="13"/>
  <c r="BJ64" i="13"/>
  <c r="BE65" i="13"/>
  <c r="BF65" i="13"/>
  <c r="BG65" i="13"/>
  <c r="BH65" i="13"/>
  <c r="BI65" i="13"/>
  <c r="BJ65" i="13"/>
  <c r="BE66" i="13"/>
  <c r="BF66" i="13"/>
  <c r="BG66" i="13"/>
  <c r="BH66" i="13"/>
  <c r="BI66" i="13"/>
  <c r="BJ66" i="13"/>
  <c r="BE67" i="13"/>
  <c r="BF67" i="13"/>
  <c r="BG67" i="13"/>
  <c r="BH67" i="13"/>
  <c r="BI67" i="13"/>
  <c r="BJ67" i="13"/>
  <c r="BE68" i="13"/>
  <c r="BF68" i="13"/>
  <c r="BG68" i="13"/>
  <c r="BH68" i="13"/>
  <c r="BI68" i="13"/>
  <c r="BJ68" i="13"/>
  <c r="BE69" i="13"/>
  <c r="BF69" i="13"/>
  <c r="BG69" i="13"/>
  <c r="BH69" i="13"/>
  <c r="BI69" i="13"/>
  <c r="BJ69" i="13"/>
  <c r="BE70" i="13"/>
  <c r="BF70" i="13"/>
  <c r="BG70" i="13"/>
  <c r="BH70" i="13"/>
  <c r="BI70" i="13"/>
  <c r="BJ70" i="13"/>
  <c r="BE71" i="13"/>
  <c r="BF71" i="13"/>
  <c r="BG71" i="13"/>
  <c r="BH71" i="13"/>
  <c r="BI71" i="13"/>
  <c r="BJ71" i="13"/>
  <c r="BE72" i="13"/>
  <c r="BF72" i="13"/>
  <c r="BG72" i="13"/>
  <c r="BH72" i="13"/>
  <c r="BI72" i="13"/>
  <c r="BJ72" i="13"/>
  <c r="BE73" i="13"/>
  <c r="BF73" i="13"/>
  <c r="BG73" i="13"/>
  <c r="BH73" i="13"/>
  <c r="BI73" i="13"/>
  <c r="BJ73" i="13"/>
  <c r="BE74" i="13"/>
  <c r="BF74" i="13"/>
  <c r="BG74" i="13"/>
  <c r="BH74" i="13"/>
  <c r="BI74" i="13"/>
  <c r="BJ74" i="13"/>
  <c r="BE75" i="13"/>
  <c r="BF75" i="13"/>
  <c r="BG75" i="13"/>
  <c r="BH75" i="13"/>
  <c r="BI75" i="13"/>
  <c r="BJ75" i="13"/>
  <c r="BE76" i="13"/>
  <c r="BF76" i="13"/>
  <c r="BG76" i="13"/>
  <c r="BH76" i="13"/>
  <c r="BI76" i="13"/>
  <c r="BJ76" i="13"/>
  <c r="BE77" i="13"/>
  <c r="BF77" i="13"/>
  <c r="BG77" i="13"/>
  <c r="BH77" i="13"/>
  <c r="BI77" i="13"/>
  <c r="BJ77" i="13"/>
  <c r="BE78" i="13"/>
  <c r="BF78" i="13"/>
  <c r="BG78" i="13"/>
  <c r="BH78" i="13"/>
  <c r="BI78" i="13"/>
  <c r="BJ78" i="13"/>
  <c r="BE79" i="13"/>
  <c r="BF79" i="13"/>
  <c r="BG79" i="13"/>
  <c r="BH79" i="13"/>
  <c r="BI79" i="13"/>
  <c r="BJ79" i="13"/>
  <c r="BE80" i="13"/>
  <c r="BF80" i="13"/>
  <c r="BG80" i="13"/>
  <c r="BH80" i="13"/>
  <c r="BI80" i="13"/>
  <c r="BJ80" i="13"/>
  <c r="BE81" i="13"/>
  <c r="BF81" i="13"/>
  <c r="BG81" i="13"/>
  <c r="BH81" i="13"/>
  <c r="BI81" i="13"/>
  <c r="BJ81" i="13"/>
  <c r="BE82" i="13"/>
  <c r="BF82" i="13"/>
  <c r="BG82" i="13"/>
  <c r="BH82" i="13"/>
  <c r="BI82" i="13"/>
  <c r="BJ82" i="13"/>
  <c r="BE83" i="13"/>
  <c r="BF83" i="13"/>
  <c r="BG83" i="13"/>
  <c r="BH83" i="13"/>
  <c r="BI83" i="13"/>
  <c r="BJ83" i="13"/>
  <c r="BE84" i="13"/>
  <c r="BF84" i="13"/>
  <c r="BG84" i="13"/>
  <c r="BH84" i="13"/>
  <c r="BI84" i="13"/>
  <c r="BJ84" i="13"/>
  <c r="BE85" i="13"/>
  <c r="BF85" i="13"/>
  <c r="BG85" i="13"/>
  <c r="BH85" i="13"/>
  <c r="BI85" i="13"/>
  <c r="BJ85" i="13"/>
  <c r="BE86" i="13"/>
  <c r="BF86" i="13"/>
  <c r="BG86" i="13"/>
  <c r="BH86" i="13"/>
  <c r="BI86" i="13"/>
  <c r="BJ86" i="13"/>
  <c r="BE87" i="13"/>
  <c r="BF87" i="13"/>
  <c r="BG87" i="13"/>
  <c r="BH87" i="13"/>
  <c r="BI87" i="13"/>
  <c r="BJ87" i="13"/>
  <c r="BE88" i="13"/>
  <c r="BF88" i="13"/>
  <c r="BG88" i="13"/>
  <c r="BH88" i="13"/>
  <c r="BI88" i="13"/>
  <c r="BJ88" i="13"/>
  <c r="BE89" i="13"/>
  <c r="BF89" i="13"/>
  <c r="BG89" i="13"/>
  <c r="BH89" i="13"/>
  <c r="BI89" i="13"/>
  <c r="BJ89" i="13"/>
  <c r="BE90" i="13"/>
  <c r="BF90" i="13"/>
  <c r="BG90" i="13"/>
  <c r="BH90" i="13"/>
  <c r="BI90" i="13"/>
  <c r="BJ90" i="13"/>
  <c r="BE91" i="13"/>
  <c r="BF91" i="13"/>
  <c r="BG91" i="13"/>
  <c r="BH91" i="13"/>
  <c r="BI91" i="13"/>
  <c r="BJ91" i="13"/>
  <c r="BE92" i="13"/>
  <c r="BF92" i="13"/>
  <c r="BG92" i="13"/>
  <c r="BH92" i="13"/>
  <c r="BI92" i="13"/>
  <c r="BJ92" i="13"/>
  <c r="BE93" i="13"/>
  <c r="BF93" i="13"/>
  <c r="BG93" i="13"/>
  <c r="BH93" i="13"/>
  <c r="BI93" i="13"/>
  <c r="BJ93" i="13"/>
  <c r="BE94" i="13"/>
  <c r="BF94" i="13"/>
  <c r="BG94" i="13"/>
  <c r="BH94" i="13"/>
  <c r="BI94" i="13"/>
  <c r="BJ94" i="13"/>
  <c r="BE95" i="13"/>
  <c r="BF95" i="13"/>
  <c r="BG95" i="13"/>
  <c r="BH95" i="13"/>
  <c r="BI95" i="13"/>
  <c r="BJ95" i="13"/>
  <c r="BE96" i="13"/>
  <c r="BF96" i="13"/>
  <c r="BG96" i="13"/>
  <c r="BH96" i="13"/>
  <c r="BI96" i="13"/>
  <c r="BJ96" i="13"/>
  <c r="BE97" i="13"/>
  <c r="BF97" i="13"/>
  <c r="BG97" i="13"/>
  <c r="BH97" i="13"/>
  <c r="BI97" i="13"/>
  <c r="BJ97" i="13"/>
  <c r="BE98" i="13"/>
  <c r="BF98" i="13"/>
  <c r="BG98" i="13"/>
  <c r="BH98" i="13"/>
  <c r="BI98" i="13"/>
  <c r="BJ98" i="13"/>
  <c r="BE99" i="13"/>
  <c r="BF99" i="13"/>
  <c r="BG99" i="13"/>
  <c r="BH99" i="13"/>
  <c r="BI99" i="13"/>
  <c r="BJ99" i="13"/>
  <c r="BE100" i="13"/>
  <c r="BF100" i="13"/>
  <c r="BG100" i="13"/>
  <c r="BH100" i="13"/>
  <c r="BI100" i="13"/>
  <c r="BJ100" i="13"/>
  <c r="BE101" i="13"/>
  <c r="BF101" i="13"/>
  <c r="BG101" i="13"/>
  <c r="BH101" i="13"/>
  <c r="BI101" i="13"/>
  <c r="BJ101" i="13"/>
  <c r="BE102" i="13"/>
  <c r="BF102" i="13"/>
  <c r="BG102" i="13"/>
  <c r="BH102" i="13"/>
  <c r="BI102" i="13"/>
  <c r="BJ102" i="13"/>
  <c r="BE103" i="13"/>
  <c r="BF103" i="13"/>
  <c r="BG103" i="13"/>
  <c r="BH103" i="13"/>
  <c r="BI103" i="13"/>
  <c r="BJ103" i="13"/>
  <c r="BE104" i="13"/>
  <c r="BF104" i="13"/>
  <c r="BG104" i="13"/>
  <c r="BH104" i="13"/>
  <c r="BI104" i="13"/>
  <c r="BJ104" i="13"/>
  <c r="BE105" i="13"/>
  <c r="BF105" i="13"/>
  <c r="BG105" i="13"/>
  <c r="BH105" i="13"/>
  <c r="BI105" i="13"/>
  <c r="BJ105" i="13"/>
  <c r="BE106" i="13"/>
  <c r="BF106" i="13"/>
  <c r="BG106" i="13"/>
  <c r="BH106" i="13"/>
  <c r="BI106" i="13"/>
  <c r="BJ106" i="13"/>
  <c r="BE107" i="13"/>
  <c r="BF107" i="13"/>
  <c r="BG107" i="13"/>
  <c r="BH107" i="13"/>
  <c r="BI107" i="13"/>
  <c r="BJ107" i="13"/>
  <c r="BE108" i="13"/>
  <c r="BF108" i="13"/>
  <c r="BG108" i="13"/>
  <c r="BH108" i="13"/>
  <c r="BI108" i="13"/>
  <c r="BJ108" i="13"/>
  <c r="BE109" i="13"/>
  <c r="BF109" i="13"/>
  <c r="BG109" i="13"/>
  <c r="BH109" i="13"/>
  <c r="BI109" i="13"/>
  <c r="BJ109" i="13"/>
  <c r="BE110" i="13"/>
  <c r="BF110" i="13"/>
  <c r="BG110" i="13"/>
  <c r="BH110" i="13"/>
  <c r="BI110" i="13"/>
  <c r="BJ110" i="13"/>
  <c r="BE111" i="13"/>
  <c r="BF111" i="13"/>
  <c r="BG111" i="13"/>
  <c r="BH111" i="13"/>
  <c r="BI111" i="13"/>
  <c r="BJ111" i="13"/>
  <c r="BE112" i="13"/>
  <c r="BF112" i="13"/>
  <c r="BG112" i="13"/>
  <c r="BH112" i="13"/>
  <c r="BI112" i="13"/>
  <c r="BJ112" i="13"/>
  <c r="BE113" i="13"/>
  <c r="BF113" i="13"/>
  <c r="BG113" i="13"/>
  <c r="BH113" i="13"/>
  <c r="BI113" i="13"/>
  <c r="BJ113" i="13"/>
  <c r="BE114" i="13"/>
  <c r="BF114" i="13"/>
  <c r="BG114" i="13"/>
  <c r="BH114" i="13"/>
  <c r="BI114" i="13"/>
  <c r="BJ114" i="13"/>
  <c r="BE115" i="13"/>
  <c r="BF115" i="13"/>
  <c r="BG115" i="13"/>
  <c r="BH115" i="13"/>
  <c r="BI115" i="13"/>
  <c r="BJ115" i="13"/>
  <c r="BE116" i="13"/>
  <c r="BF116" i="13"/>
  <c r="BG116" i="13"/>
  <c r="BH116" i="13"/>
  <c r="BI116" i="13"/>
  <c r="BJ116" i="13"/>
  <c r="BE117" i="13"/>
  <c r="BF117" i="13"/>
  <c r="BG117" i="13"/>
  <c r="BH117" i="13"/>
  <c r="BI117" i="13"/>
  <c r="BJ117" i="13"/>
  <c r="BE118" i="13"/>
  <c r="BF118" i="13"/>
  <c r="BG118" i="13"/>
  <c r="BH118" i="13"/>
  <c r="BI118" i="13"/>
  <c r="BJ118" i="13"/>
  <c r="BE119" i="13"/>
  <c r="BF119" i="13"/>
  <c r="BG119" i="13"/>
  <c r="BH119" i="13"/>
  <c r="BI119" i="13"/>
  <c r="BJ119" i="13"/>
  <c r="BE120" i="13"/>
  <c r="BF120" i="13"/>
  <c r="BG120" i="13"/>
  <c r="BH120" i="13"/>
  <c r="BI120" i="13"/>
  <c r="BJ120" i="13"/>
  <c r="BE121" i="13"/>
  <c r="BF121" i="13"/>
  <c r="BG121" i="13"/>
  <c r="BH121" i="13"/>
  <c r="BI121" i="13"/>
  <c r="BJ121" i="13"/>
  <c r="BE122" i="13"/>
  <c r="BF122" i="13"/>
  <c r="BG122" i="13"/>
  <c r="BH122" i="13"/>
  <c r="BI122" i="13"/>
  <c r="BJ122" i="13"/>
  <c r="BE123" i="13"/>
  <c r="BF123" i="13"/>
  <c r="BG123" i="13"/>
  <c r="BH123" i="13"/>
  <c r="BI123" i="13"/>
  <c r="BJ123" i="13"/>
  <c r="BE124" i="13"/>
  <c r="BF124" i="13"/>
  <c r="BG124" i="13"/>
  <c r="BH124" i="13"/>
  <c r="BI124" i="13"/>
  <c r="BJ124" i="13"/>
  <c r="BE125" i="13"/>
  <c r="BF125" i="13"/>
  <c r="BG125" i="13"/>
  <c r="BH125" i="13"/>
  <c r="BI125" i="13"/>
  <c r="BJ125" i="13"/>
  <c r="BE126" i="13"/>
  <c r="BF126" i="13"/>
  <c r="BG126" i="13"/>
  <c r="BH126" i="13"/>
  <c r="BI126" i="13"/>
  <c r="BJ126" i="13"/>
  <c r="BE127" i="13"/>
  <c r="BF127" i="13"/>
  <c r="BG127" i="13"/>
  <c r="BH127" i="13"/>
  <c r="BI127" i="13"/>
  <c r="BJ127" i="13"/>
  <c r="BE128" i="13"/>
  <c r="BF128" i="13"/>
  <c r="BG128" i="13"/>
  <c r="BH128" i="13"/>
  <c r="BI128" i="13"/>
  <c r="BJ128" i="13"/>
  <c r="BE129" i="13"/>
  <c r="BF129" i="13"/>
  <c r="BG129" i="13"/>
  <c r="BH129" i="13"/>
  <c r="BI129" i="13"/>
  <c r="BJ129" i="13"/>
  <c r="BE130" i="13"/>
  <c r="BF130" i="13"/>
  <c r="BG130" i="13"/>
  <c r="BH130" i="13"/>
  <c r="BI130" i="13"/>
  <c r="BJ130" i="13"/>
  <c r="BE131" i="13"/>
  <c r="BF131" i="13"/>
  <c r="BG131" i="13"/>
  <c r="BH131" i="13"/>
  <c r="BI131" i="13"/>
  <c r="BJ131" i="13"/>
  <c r="BE132" i="13"/>
  <c r="BF132" i="13"/>
  <c r="BG132" i="13"/>
  <c r="BH132" i="13"/>
  <c r="BI132" i="13"/>
  <c r="BJ132" i="13"/>
  <c r="BE133" i="13"/>
  <c r="BF133" i="13"/>
  <c r="BG133" i="13"/>
  <c r="BH133" i="13"/>
  <c r="BI133" i="13"/>
  <c r="BJ133" i="13"/>
  <c r="BE134" i="13"/>
  <c r="BF134" i="13"/>
  <c r="BG134" i="13"/>
  <c r="BH134" i="13"/>
  <c r="BI134" i="13"/>
  <c r="BJ134" i="13"/>
  <c r="BE135" i="13"/>
  <c r="BF135" i="13"/>
  <c r="BG135" i="13"/>
  <c r="BH135" i="13"/>
  <c r="BI135" i="13"/>
  <c r="BJ135" i="13"/>
  <c r="BE136" i="13"/>
  <c r="BF136" i="13"/>
  <c r="BG136" i="13"/>
  <c r="BH136" i="13"/>
  <c r="BI136" i="13"/>
  <c r="BJ136" i="13"/>
  <c r="BE137" i="13"/>
  <c r="BF137" i="13"/>
  <c r="BG137" i="13"/>
  <c r="BH137" i="13"/>
  <c r="BI137" i="13"/>
  <c r="BJ137" i="13"/>
  <c r="BE138" i="13"/>
  <c r="BF138" i="13"/>
  <c r="BG138" i="13"/>
  <c r="BH138" i="13"/>
  <c r="BI138" i="13"/>
  <c r="BJ138" i="13"/>
  <c r="BE139" i="13"/>
  <c r="BF139" i="13"/>
  <c r="BG139" i="13"/>
  <c r="BH139" i="13"/>
  <c r="BI139" i="13"/>
  <c r="BJ139" i="13"/>
  <c r="BE140" i="13"/>
  <c r="BF140" i="13"/>
  <c r="BG140" i="13"/>
  <c r="BH140" i="13"/>
  <c r="BI140" i="13"/>
  <c r="BJ140" i="13"/>
  <c r="BE141" i="13"/>
  <c r="BF141" i="13"/>
  <c r="BG141" i="13"/>
  <c r="BH141" i="13"/>
  <c r="BI141" i="13"/>
  <c r="BJ141" i="13"/>
  <c r="BE142" i="13"/>
  <c r="BF142" i="13"/>
  <c r="BG142" i="13"/>
  <c r="BH142" i="13"/>
  <c r="BI142" i="13"/>
  <c r="BJ142" i="13"/>
  <c r="BE143" i="13"/>
  <c r="BF143" i="13"/>
  <c r="BG143" i="13"/>
  <c r="BH143" i="13"/>
  <c r="BI143" i="13"/>
  <c r="BJ143" i="13"/>
  <c r="BE144" i="13"/>
  <c r="BF144" i="13"/>
  <c r="BG144" i="13"/>
  <c r="BH144" i="13"/>
  <c r="BI144" i="13"/>
  <c r="BJ144" i="13"/>
  <c r="BE145" i="13"/>
  <c r="BF145" i="13"/>
  <c r="BG145" i="13"/>
  <c r="BH145" i="13"/>
  <c r="BI145" i="13"/>
  <c r="BJ145" i="13"/>
  <c r="BE146" i="13"/>
  <c r="BF146" i="13"/>
  <c r="BG146" i="13"/>
  <c r="BH146" i="13"/>
  <c r="BI146" i="13"/>
  <c r="BJ146" i="13"/>
  <c r="BJ6" i="13"/>
  <c r="BI6" i="13"/>
  <c r="BH6" i="13"/>
  <c r="BG6" i="13"/>
  <c r="BF6" i="13"/>
  <c r="BE6" i="13"/>
  <c r="AT5" i="15"/>
  <c r="AX5" i="15"/>
  <c r="AX6" i="15" s="1"/>
  <c r="AV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4" i="15"/>
  <c r="C27" i="15"/>
  <c r="E7" i="15" s="1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4" i="15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4" i="11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4" i="10"/>
  <c r="AD5" i="15"/>
  <c r="AG5" i="15" s="1"/>
  <c r="AD6" i="15"/>
  <c r="AG6" i="15" s="1"/>
  <c r="AD7" i="15"/>
  <c r="AG7" i="15" s="1"/>
  <c r="AD8" i="15"/>
  <c r="AG8" i="15" s="1"/>
  <c r="AD9" i="15"/>
  <c r="AG9" i="15" s="1"/>
  <c r="AD10" i="15"/>
  <c r="AG10" i="15" s="1"/>
  <c r="AD11" i="15"/>
  <c r="AG11" i="15" s="1"/>
  <c r="AD12" i="15"/>
  <c r="AG12" i="15" s="1"/>
  <c r="AD13" i="15"/>
  <c r="AG13" i="15" s="1"/>
  <c r="AD14" i="15"/>
  <c r="AG14" i="15" s="1"/>
  <c r="AD15" i="15"/>
  <c r="AG15" i="15" s="1"/>
  <c r="AD16" i="15"/>
  <c r="AG16" i="15" s="1"/>
  <c r="AD17" i="15"/>
  <c r="AG17" i="15" s="1"/>
  <c r="AD18" i="15"/>
  <c r="AG18" i="15" s="1"/>
  <c r="AD19" i="15"/>
  <c r="AG19" i="15" s="1"/>
  <c r="AD20" i="15"/>
  <c r="AG20" i="15" s="1"/>
  <c r="AD21" i="15"/>
  <c r="AG21" i="15" s="1"/>
  <c r="AD22" i="15"/>
  <c r="AG22" i="15" s="1"/>
  <c r="AD23" i="15"/>
  <c r="AG23" i="15" s="1"/>
  <c r="AD24" i="15"/>
  <c r="AG24" i="15" s="1"/>
  <c r="AD25" i="15"/>
  <c r="AG25" i="15" s="1"/>
  <c r="AD4" i="15"/>
  <c r="AG4" i="15" s="1"/>
  <c r="AK11" i="15"/>
  <c r="AZ5" i="11"/>
  <c r="AZ6" i="11"/>
  <c r="AZ7" i="11"/>
  <c r="AZ8" i="11"/>
  <c r="AZ9" i="11"/>
  <c r="AZ10" i="11"/>
  <c r="AZ11" i="11"/>
  <c r="AZ12" i="11"/>
  <c r="AZ13" i="11"/>
  <c r="AZ14" i="11"/>
  <c r="AZ15" i="11"/>
  <c r="AZ16" i="11"/>
  <c r="AZ17" i="11"/>
  <c r="AZ18" i="11"/>
  <c r="AZ19" i="11"/>
  <c r="AZ20" i="11"/>
  <c r="AZ21" i="11"/>
  <c r="AZ22" i="11"/>
  <c r="AZ23" i="11"/>
  <c r="AZ24" i="11"/>
  <c r="AZ25" i="11"/>
  <c r="AZ26" i="11"/>
  <c r="AZ27" i="11"/>
  <c r="AZ28" i="11"/>
  <c r="AZ29" i="11"/>
  <c r="AZ30" i="11"/>
  <c r="AZ31" i="11"/>
  <c r="AZ32" i="11"/>
  <c r="AZ33" i="11"/>
  <c r="AZ34" i="11"/>
  <c r="AZ35" i="11"/>
  <c r="AZ36" i="11"/>
  <c r="AZ37" i="11"/>
  <c r="AZ38" i="11"/>
  <c r="AZ39" i="11"/>
  <c r="AZ40" i="11"/>
  <c r="AZ41" i="11"/>
  <c r="AZ42" i="11"/>
  <c r="AZ43" i="11"/>
  <c r="AZ44" i="11"/>
  <c r="AZ45" i="11"/>
  <c r="AZ46" i="11"/>
  <c r="AZ47" i="11"/>
  <c r="AZ48" i="11"/>
  <c r="AZ49" i="11"/>
  <c r="AZ50" i="11"/>
  <c r="AZ51" i="11"/>
  <c r="AZ52" i="11"/>
  <c r="AZ53" i="11"/>
  <c r="AZ54" i="11"/>
  <c r="AZ55" i="11"/>
  <c r="AZ56" i="11"/>
  <c r="AZ57" i="11"/>
  <c r="AZ58" i="11"/>
  <c r="AZ59" i="11"/>
  <c r="AZ60" i="11"/>
  <c r="AZ61" i="11"/>
  <c r="AZ62" i="11"/>
  <c r="AZ63" i="11"/>
  <c r="AZ64" i="11"/>
  <c r="AZ65" i="11"/>
  <c r="AZ66" i="11"/>
  <c r="AZ67" i="11"/>
  <c r="AZ68" i="11"/>
  <c r="AZ69" i="11"/>
  <c r="AZ70" i="11"/>
  <c r="AZ71" i="11"/>
  <c r="AZ72" i="11"/>
  <c r="AZ73" i="11"/>
  <c r="AZ74" i="11"/>
  <c r="AZ75" i="11"/>
  <c r="AZ76" i="11"/>
  <c r="AZ77" i="11"/>
  <c r="AZ78" i="11"/>
  <c r="AZ79" i="11"/>
  <c r="AZ80" i="11"/>
  <c r="AZ81" i="11"/>
  <c r="AZ82" i="11"/>
  <c r="AZ83" i="11"/>
  <c r="AZ84" i="11"/>
  <c r="AZ85" i="11"/>
  <c r="AZ86" i="11"/>
  <c r="AZ87" i="11"/>
  <c r="AZ88" i="11"/>
  <c r="AZ89" i="11"/>
  <c r="AZ90" i="11"/>
  <c r="AZ91" i="11"/>
  <c r="AZ92" i="11"/>
  <c r="AZ93" i="11"/>
  <c r="AZ94" i="11"/>
  <c r="AZ95" i="11"/>
  <c r="AZ96" i="11"/>
  <c r="AZ97" i="11"/>
  <c r="AZ98" i="11"/>
  <c r="AZ99" i="11"/>
  <c r="AZ100" i="11"/>
  <c r="AZ101" i="11"/>
  <c r="AZ102" i="11"/>
  <c r="AZ103" i="11"/>
  <c r="AZ104" i="11"/>
  <c r="AZ105" i="11"/>
  <c r="AZ106" i="11"/>
  <c r="AZ107" i="11"/>
  <c r="AZ108" i="11"/>
  <c r="AZ109" i="11"/>
  <c r="AZ110" i="11"/>
  <c r="AZ111" i="11"/>
  <c r="AZ112" i="11"/>
  <c r="AZ113" i="11"/>
  <c r="AZ114" i="11"/>
  <c r="AZ115" i="11"/>
  <c r="AZ116" i="11"/>
  <c r="AZ117" i="11"/>
  <c r="AZ118" i="11"/>
  <c r="AZ119" i="11"/>
  <c r="AZ120" i="11"/>
  <c r="AZ121" i="11"/>
  <c r="AZ122" i="11"/>
  <c r="AZ123" i="11"/>
  <c r="AZ124" i="11"/>
  <c r="AZ125" i="11"/>
  <c r="AZ126" i="11"/>
  <c r="AZ127" i="11"/>
  <c r="AZ128" i="11"/>
  <c r="AZ129" i="11"/>
  <c r="AZ130" i="11"/>
  <c r="AZ131" i="11"/>
  <c r="AZ132" i="11"/>
  <c r="AZ133" i="11"/>
  <c r="AZ134" i="11"/>
  <c r="AZ135" i="11"/>
  <c r="AZ136" i="11"/>
  <c r="AZ137" i="11"/>
  <c r="AZ138" i="11"/>
  <c r="AZ139" i="11"/>
  <c r="AZ140" i="11"/>
  <c r="AZ141" i="11"/>
  <c r="AZ142" i="11"/>
  <c r="AZ143" i="11"/>
  <c r="AZ144" i="11"/>
  <c r="AZ145" i="11"/>
  <c r="AZ146" i="11"/>
  <c r="AZ147" i="11"/>
  <c r="AZ148" i="11"/>
  <c r="AZ149" i="11"/>
  <c r="AZ150" i="11"/>
  <c r="AZ151" i="11"/>
  <c r="AZ152" i="11"/>
  <c r="AZ153" i="11"/>
  <c r="AZ154" i="11"/>
  <c r="AZ155" i="11"/>
  <c r="AZ156" i="11"/>
  <c r="AZ157" i="11"/>
  <c r="AZ158" i="11"/>
  <c r="AZ159" i="11"/>
  <c r="AZ160" i="11"/>
  <c r="AZ161" i="11"/>
  <c r="AZ162" i="11"/>
  <c r="AZ163" i="11"/>
  <c r="AZ164" i="11"/>
  <c r="AZ165" i="11"/>
  <c r="AZ166" i="11"/>
  <c r="AZ167" i="11"/>
  <c r="AZ168" i="11"/>
  <c r="AZ169" i="11"/>
  <c r="AZ170" i="11"/>
  <c r="AZ171" i="11"/>
  <c r="AZ172" i="11"/>
  <c r="AZ173" i="11"/>
  <c r="AZ174" i="11"/>
  <c r="AZ175" i="11"/>
  <c r="AZ176" i="11"/>
  <c r="AZ177" i="11"/>
  <c r="AZ178" i="11"/>
  <c r="AZ179" i="11"/>
  <c r="AZ180" i="11"/>
  <c r="AZ181" i="11"/>
  <c r="AZ182" i="11"/>
  <c r="AZ183" i="11"/>
  <c r="AZ184" i="11"/>
  <c r="AZ185" i="11"/>
  <c r="AZ186" i="11"/>
  <c r="AZ187" i="11"/>
  <c r="AZ188" i="11"/>
  <c r="AZ189" i="11"/>
  <c r="AZ190" i="11"/>
  <c r="AZ191" i="11"/>
  <c r="AZ192" i="11"/>
  <c r="AZ193" i="11"/>
  <c r="AZ194" i="11"/>
  <c r="AZ195" i="11"/>
  <c r="AZ196" i="11"/>
  <c r="AZ197" i="11"/>
  <c r="AZ198" i="11"/>
  <c r="AZ199" i="11"/>
  <c r="AZ200" i="11"/>
  <c r="AZ201" i="11"/>
  <c r="AZ202" i="11"/>
  <c r="AZ203" i="11"/>
  <c r="AZ204" i="11"/>
  <c r="AZ205" i="11"/>
  <c r="AZ206" i="11"/>
  <c r="AZ207" i="11"/>
  <c r="AZ208" i="11"/>
  <c r="AZ209" i="11"/>
  <c r="AZ210" i="11"/>
  <c r="AZ211" i="11"/>
  <c r="AZ212" i="11"/>
  <c r="AZ213" i="11"/>
  <c r="AZ214" i="11"/>
  <c r="AZ215" i="11"/>
  <c r="AZ216" i="11"/>
  <c r="AZ217" i="11"/>
  <c r="AZ218" i="11"/>
  <c r="AZ219" i="11"/>
  <c r="AZ220" i="11"/>
  <c r="AZ221" i="11"/>
  <c r="AZ222" i="11"/>
  <c r="AZ223" i="11"/>
  <c r="AZ224" i="11"/>
  <c r="AZ225" i="11"/>
  <c r="AZ226" i="11"/>
  <c r="AZ227" i="11"/>
  <c r="AZ228" i="11"/>
  <c r="AZ229" i="11"/>
  <c r="AZ230" i="11"/>
  <c r="AZ231" i="11"/>
  <c r="AZ232" i="11"/>
  <c r="AZ233" i="11"/>
  <c r="AZ234" i="11"/>
  <c r="AZ235" i="11"/>
  <c r="AZ236" i="11"/>
  <c r="AZ237" i="11"/>
  <c r="AZ238" i="11"/>
  <c r="AZ239" i="11"/>
  <c r="AZ240" i="11"/>
  <c r="AZ241" i="11"/>
  <c r="AZ242" i="11"/>
  <c r="AZ243" i="11"/>
  <c r="AZ244" i="11"/>
  <c r="AZ245" i="11"/>
  <c r="AZ246" i="11"/>
  <c r="AZ247" i="11"/>
  <c r="AZ248" i="11"/>
  <c r="AZ249" i="11"/>
  <c r="AZ250" i="11"/>
  <c r="AZ251" i="11"/>
  <c r="AZ252" i="11"/>
  <c r="AZ253" i="11"/>
  <c r="AZ254" i="11"/>
  <c r="AZ255" i="11"/>
  <c r="AZ256" i="11"/>
  <c r="AZ257" i="11"/>
  <c r="AZ258" i="11"/>
  <c r="AZ259" i="11"/>
  <c r="AZ260" i="11"/>
  <c r="AZ261" i="11"/>
  <c r="AZ262" i="11"/>
  <c r="AZ263" i="11"/>
  <c r="AZ264" i="11"/>
  <c r="AZ265" i="11"/>
  <c r="AZ266" i="11"/>
  <c r="AZ267" i="11"/>
  <c r="AZ268" i="11"/>
  <c r="AZ269" i="11"/>
  <c r="AZ270" i="11"/>
  <c r="AZ271" i="11"/>
  <c r="AZ272" i="11"/>
  <c r="AZ273" i="11"/>
  <c r="AZ274" i="11"/>
  <c r="AZ275" i="11"/>
  <c r="AZ276" i="11"/>
  <c r="AZ277" i="11"/>
  <c r="AZ278" i="11"/>
  <c r="AZ279" i="11"/>
  <c r="AZ280" i="11"/>
  <c r="AZ281" i="11"/>
  <c r="AZ282" i="11"/>
  <c r="AZ283" i="11"/>
  <c r="AZ284" i="11"/>
  <c r="AZ285" i="11"/>
  <c r="AZ286" i="11"/>
  <c r="AZ287" i="11"/>
  <c r="AZ288" i="11"/>
  <c r="AZ289" i="11"/>
  <c r="AZ290" i="11"/>
  <c r="AZ291" i="11"/>
  <c r="AZ292" i="11"/>
  <c r="AZ293" i="11"/>
  <c r="AZ294" i="11"/>
  <c r="AZ295" i="11"/>
  <c r="AZ296" i="11"/>
  <c r="AZ297" i="11"/>
  <c r="AZ298" i="11"/>
  <c r="AZ299" i="11"/>
  <c r="AZ300" i="11"/>
  <c r="AZ301" i="11"/>
  <c r="AZ302" i="11"/>
  <c r="AZ303" i="11"/>
  <c r="AZ304" i="11"/>
  <c r="AZ305" i="11"/>
  <c r="AZ306" i="11"/>
  <c r="AZ307" i="11"/>
  <c r="AZ308" i="11"/>
  <c r="AZ309" i="11"/>
  <c r="AZ310" i="11"/>
  <c r="AZ311" i="11"/>
  <c r="AZ312" i="11"/>
  <c r="AZ313" i="11"/>
  <c r="AZ314" i="11"/>
  <c r="AZ315" i="11"/>
  <c r="AZ316" i="11"/>
  <c r="AZ317" i="11"/>
  <c r="AZ318" i="11"/>
  <c r="AZ319" i="11"/>
  <c r="AZ320" i="11"/>
  <c r="AZ321" i="11"/>
  <c r="AZ322" i="11"/>
  <c r="AZ323" i="11"/>
  <c r="AZ324" i="11"/>
  <c r="AZ325" i="11"/>
  <c r="AZ326" i="11"/>
  <c r="AZ327" i="11"/>
  <c r="AZ328" i="11"/>
  <c r="AZ329" i="11"/>
  <c r="AZ330" i="11"/>
  <c r="AZ331" i="11"/>
  <c r="AZ332" i="11"/>
  <c r="AZ333" i="11"/>
  <c r="AZ334" i="11"/>
  <c r="AZ335" i="11"/>
  <c r="AZ336" i="11"/>
  <c r="AZ337" i="11"/>
  <c r="AZ338" i="11"/>
  <c r="AZ339" i="11"/>
  <c r="AZ340" i="11"/>
  <c r="AZ341" i="11"/>
  <c r="AZ342" i="11"/>
  <c r="AZ343" i="11"/>
  <c r="AZ344" i="11"/>
  <c r="AZ345" i="11"/>
  <c r="AZ346" i="11"/>
  <c r="AZ347" i="11"/>
  <c r="AZ348" i="11"/>
  <c r="AZ349" i="11"/>
  <c r="AZ350" i="11"/>
  <c r="AZ351" i="11"/>
  <c r="AZ352" i="11"/>
  <c r="AZ353" i="11"/>
  <c r="AZ354" i="11"/>
  <c r="AZ355" i="11"/>
  <c r="AZ356" i="11"/>
  <c r="AZ357" i="11"/>
  <c r="AZ358" i="11"/>
  <c r="AZ359" i="11"/>
  <c r="AZ360" i="11"/>
  <c r="AZ361" i="11"/>
  <c r="AZ362" i="11"/>
  <c r="AZ363" i="11"/>
  <c r="AZ364" i="11"/>
  <c r="AZ365" i="11"/>
  <c r="AZ366" i="11"/>
  <c r="AZ367" i="11"/>
  <c r="AZ368" i="11"/>
  <c r="AZ369" i="11"/>
  <c r="AZ370" i="11"/>
  <c r="AZ371" i="11"/>
  <c r="AZ372" i="11"/>
  <c r="AZ373" i="11"/>
  <c r="AZ374" i="11"/>
  <c r="AZ375" i="11"/>
  <c r="AZ376" i="11"/>
  <c r="AZ377" i="11"/>
  <c r="AZ378" i="11"/>
  <c r="AZ379" i="11"/>
  <c r="AZ380" i="11"/>
  <c r="AZ381" i="11"/>
  <c r="AZ382" i="11"/>
  <c r="AZ383" i="11"/>
  <c r="AZ384" i="11"/>
  <c r="AZ385" i="11"/>
  <c r="AZ386" i="11"/>
  <c r="AZ387" i="11"/>
  <c r="AZ388" i="11"/>
  <c r="AZ389" i="11"/>
  <c r="AZ390" i="11"/>
  <c r="AZ391" i="11"/>
  <c r="AZ392" i="11"/>
  <c r="AZ393" i="11"/>
  <c r="AZ394" i="11"/>
  <c r="AZ395" i="11"/>
  <c r="AZ396" i="11"/>
  <c r="AZ397" i="11"/>
  <c r="AZ4" i="11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4" i="5"/>
  <c r="BO7" i="13"/>
  <c r="BO8" i="13"/>
  <c r="BO9" i="13"/>
  <c r="BO10" i="13"/>
  <c r="BO11" i="13"/>
  <c r="BO12" i="13"/>
  <c r="BO13" i="13"/>
  <c r="BO14" i="13"/>
  <c r="BO15" i="13"/>
  <c r="BO16" i="13"/>
  <c r="BO17" i="13"/>
  <c r="BO18" i="13"/>
  <c r="BO19" i="13"/>
  <c r="BO20" i="13"/>
  <c r="BO21" i="13"/>
  <c r="BO22" i="13"/>
  <c r="BO23" i="13"/>
  <c r="BO24" i="13"/>
  <c r="BO25" i="13"/>
  <c r="BO26" i="13"/>
  <c r="BO27" i="13"/>
  <c r="BO28" i="13"/>
  <c r="BO29" i="13"/>
  <c r="BO30" i="13"/>
  <c r="BO31" i="13"/>
  <c r="BO32" i="13"/>
  <c r="BO33" i="13"/>
  <c r="BO34" i="13"/>
  <c r="BO35" i="13"/>
  <c r="BO36" i="13"/>
  <c r="BO37" i="13"/>
  <c r="BO38" i="13"/>
  <c r="BO39" i="13"/>
  <c r="BO40" i="13"/>
  <c r="BO41" i="13"/>
  <c r="BO42" i="13"/>
  <c r="BO43" i="13"/>
  <c r="BO44" i="13"/>
  <c r="BO45" i="13"/>
  <c r="BO46" i="13"/>
  <c r="BO47" i="13"/>
  <c r="BO48" i="13"/>
  <c r="BO49" i="13"/>
  <c r="BO50" i="13"/>
  <c r="BO51" i="13"/>
  <c r="BO52" i="13"/>
  <c r="BO53" i="13"/>
  <c r="BO54" i="13"/>
  <c r="BO55" i="13"/>
  <c r="BO56" i="13"/>
  <c r="BO57" i="13"/>
  <c r="BO58" i="13"/>
  <c r="BO59" i="13"/>
  <c r="BO60" i="13"/>
  <c r="BO61" i="13"/>
  <c r="BO62" i="13"/>
  <c r="BO63" i="13"/>
  <c r="BO64" i="13"/>
  <c r="BO65" i="13"/>
  <c r="BO66" i="13"/>
  <c r="BO67" i="13"/>
  <c r="BO68" i="13"/>
  <c r="BO69" i="13"/>
  <c r="BO70" i="13"/>
  <c r="BO71" i="13"/>
  <c r="BO72" i="13"/>
  <c r="BO73" i="13"/>
  <c r="BO74" i="13"/>
  <c r="BO75" i="13"/>
  <c r="BO76" i="13"/>
  <c r="BO77" i="13"/>
  <c r="BO78" i="13"/>
  <c r="BO79" i="13"/>
  <c r="BO80" i="13"/>
  <c r="BO81" i="13"/>
  <c r="BO82" i="13"/>
  <c r="BO83" i="13"/>
  <c r="BO84" i="13"/>
  <c r="BO85" i="13"/>
  <c r="BO86" i="13"/>
  <c r="BO87" i="13"/>
  <c r="BO88" i="13"/>
  <c r="BO89" i="13"/>
  <c r="BO90" i="13"/>
  <c r="BO91" i="13"/>
  <c r="BO92" i="13"/>
  <c r="BO93" i="13"/>
  <c r="BO94" i="13"/>
  <c r="BO95" i="13"/>
  <c r="BO96" i="13"/>
  <c r="BO97" i="13"/>
  <c r="BO98" i="13"/>
  <c r="BO99" i="13"/>
  <c r="BO100" i="13"/>
  <c r="BO101" i="13"/>
  <c r="BO102" i="13"/>
  <c r="BO103" i="13"/>
  <c r="BO104" i="13"/>
  <c r="BO105" i="13"/>
  <c r="BO106" i="13"/>
  <c r="BO107" i="13"/>
  <c r="BO108" i="13"/>
  <c r="BO109" i="13"/>
  <c r="BO110" i="13"/>
  <c r="BO111" i="13"/>
  <c r="BO112" i="13"/>
  <c r="BO113" i="13"/>
  <c r="BO114" i="13"/>
  <c r="BO115" i="13"/>
  <c r="BO116" i="13"/>
  <c r="BO117" i="13"/>
  <c r="BO118" i="13"/>
  <c r="BO119" i="13"/>
  <c r="BO120" i="13"/>
  <c r="BO121" i="13"/>
  <c r="BO122" i="13"/>
  <c r="BO123" i="13"/>
  <c r="BO124" i="13"/>
  <c r="BO125" i="13"/>
  <c r="BO126" i="13"/>
  <c r="BO127" i="13"/>
  <c r="BO128" i="13"/>
  <c r="BO129" i="13"/>
  <c r="BO130" i="13"/>
  <c r="BO131" i="13"/>
  <c r="BO132" i="13"/>
  <c r="BO133" i="13"/>
  <c r="BO134" i="13"/>
  <c r="BO135" i="13"/>
  <c r="BO136" i="13"/>
  <c r="BO137" i="13"/>
  <c r="BO138" i="13"/>
  <c r="BO139" i="13"/>
  <c r="BO140" i="13"/>
  <c r="BO141" i="13"/>
  <c r="BO142" i="13"/>
  <c r="BO143" i="13"/>
  <c r="BO144" i="13"/>
  <c r="BO145" i="13"/>
  <c r="BO146" i="13"/>
  <c r="BO6" i="13"/>
  <c r="Q5" i="7"/>
  <c r="R5" i="7" s="1"/>
  <c r="U5" i="7" s="1"/>
  <c r="Q6" i="7"/>
  <c r="R6" i="7" s="1"/>
  <c r="U6" i="7" s="1"/>
  <c r="Q7" i="7"/>
  <c r="R7" i="7" s="1"/>
  <c r="U7" i="7" s="1"/>
  <c r="Q8" i="7"/>
  <c r="R8" i="7" s="1"/>
  <c r="U8" i="7" s="1"/>
  <c r="Q9" i="7"/>
  <c r="R9" i="7" s="1"/>
  <c r="U9" i="7" s="1"/>
  <c r="Q10" i="7"/>
  <c r="R10" i="7" s="1"/>
  <c r="U10" i="7" s="1"/>
  <c r="Q11" i="7"/>
  <c r="R11" i="7" s="1"/>
  <c r="U11" i="7" s="1"/>
  <c r="Q12" i="7"/>
  <c r="R12" i="7" s="1"/>
  <c r="U12" i="7" s="1"/>
  <c r="Q13" i="7"/>
  <c r="R13" i="7" s="1"/>
  <c r="U13" i="7" s="1"/>
  <c r="Q14" i="7"/>
  <c r="R14" i="7" s="1"/>
  <c r="U14" i="7" s="1"/>
  <c r="Q15" i="7"/>
  <c r="R15" i="7" s="1"/>
  <c r="U15" i="7" s="1"/>
  <c r="Q16" i="7"/>
  <c r="R16" i="7" s="1"/>
  <c r="U16" i="7" s="1"/>
  <c r="Q17" i="7"/>
  <c r="R17" i="7" s="1"/>
  <c r="U17" i="7" s="1"/>
  <c r="Q4" i="7"/>
  <c r="R4" i="7" s="1"/>
  <c r="U4" i="7" s="1"/>
  <c r="B25" i="15" l="1"/>
  <c r="EL25" i="15"/>
  <c r="B13" i="15"/>
  <c r="EL13" i="15"/>
  <c r="B5" i="15"/>
  <c r="EL5" i="15"/>
  <c r="B24" i="15"/>
  <c r="EL24" i="15"/>
  <c r="B20" i="15"/>
  <c r="EL20" i="15"/>
  <c r="B16" i="15"/>
  <c r="EL16" i="15"/>
  <c r="B12" i="15"/>
  <c r="EL12" i="15"/>
  <c r="B8" i="15"/>
  <c r="EL8" i="15"/>
  <c r="B21" i="15"/>
  <c r="EL21" i="15"/>
  <c r="B17" i="15"/>
  <c r="EL17" i="15"/>
  <c r="B9" i="15"/>
  <c r="EL9" i="15"/>
  <c r="B23" i="15"/>
  <c r="EL23" i="15"/>
  <c r="B19" i="15"/>
  <c r="EL19" i="15"/>
  <c r="B15" i="15"/>
  <c r="EL15" i="15"/>
  <c r="B11" i="15"/>
  <c r="EL11" i="15"/>
  <c r="B7" i="15"/>
  <c r="EL7" i="15"/>
  <c r="B4" i="15"/>
  <c r="EL4" i="15"/>
  <c r="B22" i="15"/>
  <c r="EL22" i="15"/>
  <c r="B18" i="15"/>
  <c r="EL18" i="15"/>
  <c r="B14" i="15"/>
  <c r="EL14" i="15"/>
  <c r="B10" i="15"/>
  <c r="EL10" i="15"/>
  <c r="B6" i="15"/>
  <c r="EL6" i="15"/>
  <c r="AL11" i="15"/>
  <c r="AK4" i="15"/>
  <c r="AL4" i="15" s="1"/>
  <c r="AK22" i="15"/>
  <c r="AL22" i="15" s="1"/>
  <c r="AK18" i="15"/>
  <c r="AL18" i="15" s="1"/>
  <c r="AK14" i="15"/>
  <c r="AL14" i="15" s="1"/>
  <c r="AK10" i="15"/>
  <c r="AL10" i="15" s="1"/>
  <c r="AK6" i="15"/>
  <c r="AL6" i="15" s="1"/>
  <c r="AK17" i="15"/>
  <c r="AL17" i="15" s="1"/>
  <c r="AK13" i="15"/>
  <c r="AL13" i="15" s="1"/>
  <c r="AK9" i="15"/>
  <c r="AL9" i="15" s="1"/>
  <c r="AK5" i="15"/>
  <c r="AL5" i="15" s="1"/>
  <c r="AO24" i="15"/>
  <c r="AM20" i="15"/>
  <c r="AM16" i="15"/>
  <c r="AK12" i="15"/>
  <c r="AL12" i="15" s="1"/>
  <c r="AQ8" i="15"/>
  <c r="AR8" i="15" s="1"/>
  <c r="AO23" i="15"/>
  <c r="AK19" i="15"/>
  <c r="AL19" i="15" s="1"/>
  <c r="AQ15" i="15"/>
  <c r="AM11" i="15"/>
  <c r="AQ7" i="15"/>
  <c r="AR7" i="15" s="1"/>
  <c r="AK25" i="15"/>
  <c r="AL25" i="15" s="1"/>
  <c r="AK21" i="15"/>
  <c r="AL21" i="15" s="1"/>
  <c r="AI20" i="15"/>
  <c r="AJ20" i="15" s="1"/>
  <c r="E22" i="15"/>
  <c r="BW28" i="15"/>
  <c r="E10" i="15"/>
  <c r="E6" i="15"/>
  <c r="E4" i="15"/>
  <c r="E17" i="15"/>
  <c r="CG28" i="15"/>
  <c r="CJ28" i="15" s="1"/>
  <c r="CQ28" i="15" s="1"/>
  <c r="CR28" i="15" s="1"/>
  <c r="E25" i="15"/>
  <c r="E14" i="15"/>
  <c r="E18" i="15"/>
  <c r="E9" i="15"/>
  <c r="AO15" i="15"/>
  <c r="AQ19" i="15"/>
  <c r="E21" i="15"/>
  <c r="E13" i="15"/>
  <c r="E5" i="15"/>
  <c r="AK16" i="15"/>
  <c r="AL16" i="15" s="1"/>
  <c r="BX13" i="13"/>
  <c r="BX10" i="13"/>
  <c r="BX11" i="13"/>
  <c r="BX12" i="13"/>
  <c r="BX14" i="13"/>
  <c r="AV5" i="15"/>
  <c r="AV6" i="15" s="1"/>
  <c r="AV7" i="15" s="1"/>
  <c r="AV8" i="15" s="1"/>
  <c r="AV9" i="15" s="1"/>
  <c r="AV10" i="15" s="1"/>
  <c r="AV11" i="15" s="1"/>
  <c r="AV12" i="15" s="1"/>
  <c r="AV13" i="15" s="1"/>
  <c r="AV14" i="15" s="1"/>
  <c r="AV15" i="15" s="1"/>
  <c r="AV16" i="15" s="1"/>
  <c r="AV17" i="15" s="1"/>
  <c r="AV18" i="15" s="1"/>
  <c r="AV19" i="15" s="1"/>
  <c r="AV20" i="15" s="1"/>
  <c r="AV21" i="15" s="1"/>
  <c r="AV22" i="15" s="1"/>
  <c r="AV23" i="15" s="1"/>
  <c r="AV24" i="15" s="1"/>
  <c r="AV25" i="15" s="1"/>
  <c r="AT6" i="15"/>
  <c r="AX7" i="15"/>
  <c r="AO21" i="15"/>
  <c r="AK20" i="15"/>
  <c r="AL20" i="15" s="1"/>
  <c r="E24" i="15"/>
  <c r="E20" i="15"/>
  <c r="E16" i="15"/>
  <c r="E12" i="15"/>
  <c r="E8" i="15"/>
  <c r="E23" i="15"/>
  <c r="E19" i="15"/>
  <c r="E15" i="15"/>
  <c r="E11" i="15"/>
  <c r="AQ25" i="15"/>
  <c r="AR25" i="15" s="1"/>
  <c r="AO25" i="15"/>
  <c r="AP25" i="15" s="1"/>
  <c r="AO13" i="15"/>
  <c r="AP13" i="15" s="1"/>
  <c r="AO8" i="15"/>
  <c r="AP8" i="15" s="1"/>
  <c r="AO9" i="15"/>
  <c r="AM24" i="15"/>
  <c r="AO17" i="15"/>
  <c r="AQ12" i="15"/>
  <c r="AQ5" i="15"/>
  <c r="AR5" i="15" s="1"/>
  <c r="AQ21" i="15"/>
  <c r="AQ17" i="15"/>
  <c r="AQ13" i="15"/>
  <c r="AR13" i="15" s="1"/>
  <c r="AQ9" i="15"/>
  <c r="AR9" i="15" s="1"/>
  <c r="AO5" i="15"/>
  <c r="AP5" i="15" s="1"/>
  <c r="AQ18" i="15"/>
  <c r="AI16" i="15"/>
  <c r="AJ16" i="15" s="1"/>
  <c r="AK24" i="15"/>
  <c r="AL24" i="15" s="1"/>
  <c r="AQ20" i="15"/>
  <c r="AQ16" i="15"/>
  <c r="AO12" i="15"/>
  <c r="AM8" i="15"/>
  <c r="AN8" i="15" s="1"/>
  <c r="AI12" i="15"/>
  <c r="AJ12" i="15" s="1"/>
  <c r="AQ24" i="15"/>
  <c r="AM23" i="15"/>
  <c r="AO20" i="15"/>
  <c r="AO16" i="15"/>
  <c r="AM12" i="15"/>
  <c r="AK8" i="15"/>
  <c r="AL8" i="15" s="1"/>
  <c r="AI24" i="15"/>
  <c r="AI8" i="15"/>
  <c r="AJ8" i="15" s="1"/>
  <c r="AO7" i="15"/>
  <c r="AP7" i="15" s="1"/>
  <c r="AI19" i="15"/>
  <c r="AJ19" i="15" s="1"/>
  <c r="AI11" i="15"/>
  <c r="AJ11" i="15" s="1"/>
  <c r="AK23" i="15"/>
  <c r="AL23" i="15" s="1"/>
  <c r="AO19" i="15"/>
  <c r="AM15" i="15"/>
  <c r="AQ11" i="15"/>
  <c r="AM7" i="15"/>
  <c r="AN7" i="15" s="1"/>
  <c r="AQ23" i="15"/>
  <c r="AR23" i="15" s="1"/>
  <c r="AM19" i="15"/>
  <c r="AK15" i="15"/>
  <c r="AL15" i="15" s="1"/>
  <c r="AO11" i="15"/>
  <c r="AK7" i="15"/>
  <c r="AL7" i="15" s="1"/>
  <c r="AI23" i="15"/>
  <c r="AJ23" i="15" s="1"/>
  <c r="AI15" i="15"/>
  <c r="AJ15" i="15" s="1"/>
  <c r="AI7" i="15"/>
  <c r="AJ7" i="15" s="1"/>
  <c r="AQ22" i="15"/>
  <c r="AR22" i="15" s="1"/>
  <c r="AQ6" i="15"/>
  <c r="AQ10" i="15"/>
  <c r="AQ14" i="15"/>
  <c r="AO22" i="15"/>
  <c r="AP22" i="15" s="1"/>
  <c r="AO18" i="15"/>
  <c r="AO14" i="15"/>
  <c r="AO10" i="15"/>
  <c r="AO6" i="15"/>
  <c r="AI22" i="15"/>
  <c r="AJ22" i="15" s="1"/>
  <c r="AI18" i="15"/>
  <c r="AJ18" i="15" s="1"/>
  <c r="AI14" i="15"/>
  <c r="AJ14" i="15" s="1"/>
  <c r="AI10" i="15"/>
  <c r="AJ10" i="15" s="1"/>
  <c r="AI6" i="15"/>
  <c r="AJ6" i="15" s="1"/>
  <c r="AM25" i="15"/>
  <c r="AN25" i="15" s="1"/>
  <c r="AM22" i="15"/>
  <c r="AN22" i="15" s="1"/>
  <c r="AM21" i="15"/>
  <c r="AM18" i="15"/>
  <c r="AM17" i="15"/>
  <c r="AM14" i="15"/>
  <c r="AM13" i="15"/>
  <c r="AN13" i="15" s="1"/>
  <c r="AM10" i="15"/>
  <c r="AM9" i="15"/>
  <c r="AN9" i="15" s="1"/>
  <c r="AM6" i="15"/>
  <c r="AM5" i="15"/>
  <c r="AN5" i="15" s="1"/>
  <c r="AI25" i="15"/>
  <c r="AJ25" i="15" s="1"/>
  <c r="AI21" i="15"/>
  <c r="AI17" i="15"/>
  <c r="AJ17" i="15" s="1"/>
  <c r="AI13" i="15"/>
  <c r="AJ13" i="15" s="1"/>
  <c r="AI9" i="15"/>
  <c r="AJ9" i="15" s="1"/>
  <c r="AI5" i="15"/>
  <c r="AJ5" i="15" s="1"/>
  <c r="AQ4" i="15"/>
  <c r="AO4" i="15"/>
  <c r="AP4" i="15" s="1"/>
  <c r="AI4" i="15"/>
  <c r="AJ4" i="15" s="1"/>
  <c r="AM4" i="15"/>
  <c r="AN4" i="15" s="1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D5" i="2"/>
  <c r="AD6" i="2"/>
  <c r="AD7" i="2"/>
  <c r="AD9" i="2"/>
  <c r="AD10" i="2"/>
  <c r="AD12" i="2"/>
  <c r="AD13" i="2"/>
  <c r="AD14" i="2"/>
  <c r="AD15" i="2"/>
  <c r="AD16" i="2"/>
  <c r="AD17" i="2"/>
  <c r="AD20" i="2"/>
  <c r="AD23" i="2"/>
  <c r="AD24" i="2"/>
  <c r="AD25" i="2"/>
  <c r="AD27" i="2"/>
  <c r="AD31" i="2"/>
  <c r="AK4" i="2"/>
  <c r="AD4" i="2"/>
  <c r="S5" i="13"/>
  <c r="U5" i="13"/>
  <c r="S6" i="13"/>
  <c r="U6" i="13"/>
  <c r="S7" i="13"/>
  <c r="U7" i="13"/>
  <c r="S8" i="13"/>
  <c r="U8" i="13"/>
  <c r="S9" i="13"/>
  <c r="U9" i="13"/>
  <c r="S10" i="13"/>
  <c r="U10" i="13"/>
  <c r="S11" i="13"/>
  <c r="U11" i="13"/>
  <c r="S12" i="13"/>
  <c r="U12" i="13"/>
  <c r="S13" i="13"/>
  <c r="U13" i="13"/>
  <c r="S14" i="13"/>
  <c r="U14" i="13"/>
  <c r="S15" i="13"/>
  <c r="U15" i="13"/>
  <c r="S16" i="13"/>
  <c r="U16" i="13"/>
  <c r="S17" i="13"/>
  <c r="U17" i="13"/>
  <c r="S18" i="13"/>
  <c r="U18" i="13"/>
  <c r="S19" i="13"/>
  <c r="U19" i="13"/>
  <c r="S20" i="13"/>
  <c r="U20" i="13"/>
  <c r="S21" i="13"/>
  <c r="U21" i="13"/>
  <c r="S22" i="13"/>
  <c r="U22" i="13"/>
  <c r="S23" i="13"/>
  <c r="U23" i="13"/>
  <c r="S24" i="13"/>
  <c r="U24" i="13"/>
  <c r="S25" i="13"/>
  <c r="U25" i="13"/>
  <c r="S26" i="13"/>
  <c r="U26" i="13"/>
  <c r="S27" i="13"/>
  <c r="U27" i="13"/>
  <c r="S28" i="13"/>
  <c r="U28" i="13"/>
  <c r="S29" i="13"/>
  <c r="U29" i="13"/>
  <c r="S30" i="13"/>
  <c r="U30" i="13"/>
  <c r="S31" i="13"/>
  <c r="U31" i="13"/>
  <c r="S32" i="13"/>
  <c r="U32" i="13"/>
  <c r="S33" i="13"/>
  <c r="U33" i="13"/>
  <c r="S34" i="13"/>
  <c r="U34" i="13"/>
  <c r="S35" i="13"/>
  <c r="U35" i="13"/>
  <c r="S36" i="13"/>
  <c r="U36" i="13"/>
  <c r="S37" i="13"/>
  <c r="U37" i="13"/>
  <c r="S38" i="13"/>
  <c r="U38" i="13"/>
  <c r="S39" i="13"/>
  <c r="U39" i="13"/>
  <c r="X4" i="13"/>
  <c r="U4" i="13"/>
  <c r="S4" i="13"/>
  <c r="X5" i="13" s="1"/>
  <c r="AU5" i="11"/>
  <c r="AU6" i="11"/>
  <c r="AU7" i="11"/>
  <c r="AU8" i="11"/>
  <c r="AU9" i="11"/>
  <c r="AU10" i="11"/>
  <c r="AU11" i="11"/>
  <c r="AU12" i="11"/>
  <c r="AU13" i="11"/>
  <c r="AU14" i="11"/>
  <c r="AU15" i="11"/>
  <c r="AU16" i="11"/>
  <c r="AU17" i="11"/>
  <c r="AU18" i="11"/>
  <c r="AU19" i="11"/>
  <c r="AU20" i="11"/>
  <c r="AU21" i="11"/>
  <c r="AU22" i="11"/>
  <c r="AU23" i="11"/>
  <c r="AU24" i="11"/>
  <c r="AU25" i="11"/>
  <c r="AU26" i="11"/>
  <c r="AU27" i="11"/>
  <c r="AU28" i="11"/>
  <c r="AU29" i="11"/>
  <c r="AU30" i="11"/>
  <c r="AU31" i="11"/>
  <c r="AU32" i="11"/>
  <c r="AU33" i="11"/>
  <c r="AU4" i="11"/>
  <c r="I4" i="2"/>
  <c r="L18" i="2"/>
  <c r="K18" i="2"/>
  <c r="H18" i="2"/>
  <c r="O18" i="2" s="1"/>
  <c r="H10" i="2"/>
  <c r="H6" i="2"/>
  <c r="H4" i="2"/>
  <c r="O4" i="2" s="1"/>
  <c r="P14" i="5" s="1"/>
  <c r="L21" i="2"/>
  <c r="K21" i="2"/>
  <c r="N21" i="2" s="1"/>
  <c r="Q33" i="11" s="1"/>
  <c r="S33" i="11" s="1"/>
  <c r="H21" i="2"/>
  <c r="V6" i="11"/>
  <c r="W6" i="11" s="1"/>
  <c r="AM6" i="11"/>
  <c r="V33" i="11"/>
  <c r="W33" i="11" s="1"/>
  <c r="AM33" i="11"/>
  <c r="N18" i="2"/>
  <c r="G20" i="2"/>
  <c r="N20" i="2" s="1"/>
  <c r="U41" i="11"/>
  <c r="X41" i="11" s="1"/>
  <c r="T41" i="11"/>
  <c r="W41" i="11" s="1"/>
  <c r="K41" i="11"/>
  <c r="O41" i="11" s="1"/>
  <c r="J41" i="11"/>
  <c r="N41" i="11" s="1"/>
  <c r="Z40" i="11"/>
  <c r="AM32" i="11"/>
  <c r="V32" i="11"/>
  <c r="W32" i="11" s="1"/>
  <c r="AM31" i="11"/>
  <c r="V31" i="11"/>
  <c r="W31" i="11" s="1"/>
  <c r="AM30" i="11"/>
  <c r="V30" i="11"/>
  <c r="W30" i="11" s="1"/>
  <c r="AM29" i="11"/>
  <c r="V29" i="11"/>
  <c r="W29" i="11" s="1"/>
  <c r="I29" i="11"/>
  <c r="H29" i="11"/>
  <c r="AM28" i="11"/>
  <c r="V28" i="11"/>
  <c r="W28" i="11" s="1"/>
  <c r="AM27" i="11"/>
  <c r="V27" i="11"/>
  <c r="W27" i="11" s="1"/>
  <c r="AM26" i="11"/>
  <c r="V26" i="11"/>
  <c r="W26" i="11" s="1"/>
  <c r="AM25" i="11"/>
  <c r="V25" i="11"/>
  <c r="W25" i="11" s="1"/>
  <c r="AM24" i="11"/>
  <c r="V24" i="11"/>
  <c r="W24" i="11" s="1"/>
  <c r="AM23" i="11"/>
  <c r="V23" i="11"/>
  <c r="W23" i="11" s="1"/>
  <c r="AM22" i="11"/>
  <c r="V22" i="11"/>
  <c r="W22" i="11" s="1"/>
  <c r="AM21" i="11"/>
  <c r="V21" i="11"/>
  <c r="W21" i="11" s="1"/>
  <c r="AM20" i="11"/>
  <c r="V20" i="11"/>
  <c r="W20" i="11" s="1"/>
  <c r="AM19" i="11"/>
  <c r="V19" i="11"/>
  <c r="W19" i="11" s="1"/>
  <c r="AM18" i="11"/>
  <c r="V18" i="11"/>
  <c r="W18" i="11" s="1"/>
  <c r="AM17" i="11"/>
  <c r="V17" i="11"/>
  <c r="W17" i="11" s="1"/>
  <c r="AM16" i="11"/>
  <c r="V16" i="11"/>
  <c r="W16" i="11" s="1"/>
  <c r="AM15" i="11"/>
  <c r="V15" i="11"/>
  <c r="W15" i="11" s="1"/>
  <c r="AM14" i="11"/>
  <c r="V14" i="11"/>
  <c r="W14" i="11" s="1"/>
  <c r="AM13" i="11"/>
  <c r="V13" i="11"/>
  <c r="W13" i="11" s="1"/>
  <c r="AM12" i="11"/>
  <c r="V12" i="11"/>
  <c r="W12" i="11" s="1"/>
  <c r="AM11" i="11"/>
  <c r="V11" i="11"/>
  <c r="W11" i="11" s="1"/>
  <c r="I11" i="11"/>
  <c r="H11" i="11"/>
  <c r="AM10" i="11"/>
  <c r="V10" i="11"/>
  <c r="W10" i="11" s="1"/>
  <c r="AM9" i="11"/>
  <c r="V9" i="11"/>
  <c r="W9" i="11" s="1"/>
  <c r="AM8" i="11"/>
  <c r="V8" i="11"/>
  <c r="W8" i="11" s="1"/>
  <c r="AM7" i="11"/>
  <c r="V7" i="11"/>
  <c r="W7" i="11" s="1"/>
  <c r="AM5" i="11"/>
  <c r="V5" i="11"/>
  <c r="W5" i="11" s="1"/>
  <c r="AM4" i="11"/>
  <c r="V4" i="11"/>
  <c r="W4" i="11" s="1"/>
  <c r="I4" i="11"/>
  <c r="H4" i="11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4" i="2"/>
  <c r="T12" i="5"/>
  <c r="U12" i="5" s="1"/>
  <c r="T13" i="5"/>
  <c r="U13" i="5" s="1"/>
  <c r="H11" i="2"/>
  <c r="N16" i="2"/>
  <c r="H16" i="2"/>
  <c r="J16" i="2"/>
  <c r="J12" i="2" s="1"/>
  <c r="O12" i="2" s="1"/>
  <c r="H33" i="5"/>
  <c r="G33" i="5"/>
  <c r="T33" i="5"/>
  <c r="U33" i="5" s="1"/>
  <c r="AK33" i="5"/>
  <c r="T34" i="5"/>
  <c r="U34" i="5" s="1"/>
  <c r="AK34" i="5"/>
  <c r="T35" i="5"/>
  <c r="U35" i="5" s="1"/>
  <c r="AK35" i="5"/>
  <c r="T36" i="5"/>
  <c r="U36" i="5" s="1"/>
  <c r="AK36" i="5"/>
  <c r="N11" i="2"/>
  <c r="O5" i="5" s="1"/>
  <c r="Q5" i="5" s="1"/>
  <c r="Y4" i="10" a="1"/>
  <c r="Z4" i="10" s="1"/>
  <c r="T4" i="10" a="1"/>
  <c r="T4" i="10" s="1"/>
  <c r="F6" i="10"/>
  <c r="E6" i="10"/>
  <c r="N12" i="2"/>
  <c r="Q31" i="11" s="1"/>
  <c r="S31" i="11" s="1"/>
  <c r="H4" i="5"/>
  <c r="G4" i="5"/>
  <c r="H10" i="5"/>
  <c r="H11" i="5"/>
  <c r="G11" i="5"/>
  <c r="G10" i="5"/>
  <c r="T4" i="5"/>
  <c r="U4" i="5" s="1"/>
  <c r="AK27" i="5"/>
  <c r="T5" i="5"/>
  <c r="AK28" i="5"/>
  <c r="T6" i="5"/>
  <c r="U6" i="5" s="1"/>
  <c r="AK29" i="5"/>
  <c r="T7" i="5"/>
  <c r="U7" i="5" s="1"/>
  <c r="AK30" i="5"/>
  <c r="T8" i="5"/>
  <c r="U8" i="5" s="1"/>
  <c r="AK31" i="5"/>
  <c r="T9" i="5"/>
  <c r="U9" i="5" s="1"/>
  <c r="AK32" i="5"/>
  <c r="M17" i="7"/>
  <c r="M16" i="7"/>
  <c r="M15" i="7"/>
  <c r="M10" i="7"/>
  <c r="M6" i="7"/>
  <c r="M5" i="7"/>
  <c r="M4" i="7"/>
  <c r="L5" i="8"/>
  <c r="L6" i="8"/>
  <c r="L7" i="8"/>
  <c r="L8" i="8"/>
  <c r="L9" i="8"/>
  <c r="L10" i="8"/>
  <c r="L11" i="8"/>
  <c r="L4" i="8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4" i="7"/>
  <c r="H7" i="8"/>
  <c r="H8" i="8"/>
  <c r="H9" i="8"/>
  <c r="H10" i="8"/>
  <c r="H11" i="8"/>
  <c r="H5" i="8"/>
  <c r="H6" i="8"/>
  <c r="H4" i="8"/>
  <c r="H14" i="7"/>
  <c r="H15" i="7"/>
  <c r="H16" i="7"/>
  <c r="H17" i="7"/>
  <c r="H5" i="7"/>
  <c r="H6" i="7"/>
  <c r="H7" i="7"/>
  <c r="H8" i="7"/>
  <c r="H9" i="7"/>
  <c r="H10" i="7"/>
  <c r="H11" i="7"/>
  <c r="H12" i="7"/>
  <c r="H13" i="7"/>
  <c r="H4" i="7"/>
  <c r="X43" i="5"/>
  <c r="AK5" i="5"/>
  <c r="T11" i="5"/>
  <c r="U11" i="5" s="1"/>
  <c r="S44" i="5"/>
  <c r="V44" i="5" s="1"/>
  <c r="R44" i="5"/>
  <c r="U44" i="5" s="1"/>
  <c r="J44" i="5"/>
  <c r="M44" i="5" s="1"/>
  <c r="I44" i="5"/>
  <c r="L44" i="5" s="1"/>
  <c r="AK4" i="5"/>
  <c r="T10" i="5"/>
  <c r="U10" i="5" s="1"/>
  <c r="O5" i="2"/>
  <c r="P19" i="5" s="1"/>
  <c r="O10" i="2"/>
  <c r="P31" i="5" s="1"/>
  <c r="L6" i="2"/>
  <c r="L17" i="2" s="1"/>
  <c r="AK6" i="5"/>
  <c r="AK7" i="5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N10" i="2"/>
  <c r="Q27" i="11" s="1"/>
  <c r="S27" i="11" s="1"/>
  <c r="T32" i="5"/>
  <c r="U32" i="5" s="1"/>
  <c r="T14" i="5"/>
  <c r="U14" i="5" s="1"/>
  <c r="T15" i="5"/>
  <c r="U15" i="5" s="1"/>
  <c r="T16" i="5"/>
  <c r="U16" i="5" s="1"/>
  <c r="T17" i="5"/>
  <c r="U17" i="5" s="1"/>
  <c r="T18" i="5"/>
  <c r="U18" i="5" s="1"/>
  <c r="T19" i="5"/>
  <c r="U19" i="5" s="1"/>
  <c r="T20" i="5"/>
  <c r="U20" i="5" s="1"/>
  <c r="T21" i="5"/>
  <c r="U21" i="5" s="1"/>
  <c r="T22" i="5"/>
  <c r="U22" i="5" s="1"/>
  <c r="T23" i="5"/>
  <c r="U23" i="5" s="1"/>
  <c r="T24" i="5"/>
  <c r="U24" i="5" s="1"/>
  <c r="T25" i="5"/>
  <c r="U25" i="5" s="1"/>
  <c r="T26" i="5"/>
  <c r="U26" i="5" s="1"/>
  <c r="T27" i="5"/>
  <c r="U27" i="5" s="1"/>
  <c r="T28" i="5"/>
  <c r="U28" i="5" s="1"/>
  <c r="T29" i="5"/>
  <c r="U29" i="5" s="1"/>
  <c r="T30" i="5"/>
  <c r="U30" i="5" s="1"/>
  <c r="T31" i="5"/>
  <c r="U31" i="5" s="1"/>
  <c r="K6" i="2"/>
  <c r="K17" i="2" s="1"/>
  <c r="N5" i="2"/>
  <c r="O19" i="5" s="1"/>
  <c r="N4" i="2"/>
  <c r="Q14" i="11" s="1"/>
  <c r="S14" i="1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4" i="1"/>
  <c r="X4" i="1" a="1"/>
  <c r="X4" i="1" s="1"/>
  <c r="S4" i="1" a="1"/>
  <c r="S4" i="1" s="1"/>
  <c r="F6" i="1"/>
  <c r="E6" i="1"/>
  <c r="BF6" i="15" l="1"/>
  <c r="BO6" i="15" s="1"/>
  <c r="BH6" i="15"/>
  <c r="BQ6" i="15" s="1"/>
  <c r="BA4" i="15"/>
  <c r="BJ4" i="15" s="1"/>
  <c r="AR4" i="15"/>
  <c r="BF5" i="15"/>
  <c r="BO5" i="15" s="1"/>
  <c r="BB5" i="15"/>
  <c r="BK5" i="15" s="1"/>
  <c r="BH5" i="15"/>
  <c r="BQ5" i="15" s="1"/>
  <c r="BD5" i="15"/>
  <c r="BM5" i="15" s="1"/>
  <c r="BH7" i="15"/>
  <c r="BQ7" i="15" s="1"/>
  <c r="BF7" i="15"/>
  <c r="BO7" i="15" s="1"/>
  <c r="BB6" i="15"/>
  <c r="BK6" i="15" s="1"/>
  <c r="BD6" i="15"/>
  <c r="BM6" i="15" s="1"/>
  <c r="X39" i="13"/>
  <c r="BE5" i="15"/>
  <c r="BN5" i="15" s="1"/>
  <c r="BE6" i="15"/>
  <c r="BN6" i="15" s="1"/>
  <c r="BG5" i="15"/>
  <c r="BP5" i="15" s="1"/>
  <c r="BX5" i="15" s="1"/>
  <c r="BG6" i="15"/>
  <c r="BP6" i="15" s="1"/>
  <c r="BX6" i="15" s="1"/>
  <c r="BC5" i="15"/>
  <c r="BL5" i="15" s="1"/>
  <c r="BW5" i="15" s="1"/>
  <c r="BG4" i="15"/>
  <c r="BP4" i="15" s="1"/>
  <c r="BX4" i="15" s="1"/>
  <c r="BC4" i="15"/>
  <c r="BE4" i="15"/>
  <c r="BN4" i="15" s="1"/>
  <c r="AT7" i="15"/>
  <c r="BB7" i="15" s="1"/>
  <c r="BK7" i="15" s="1"/>
  <c r="BA6" i="15"/>
  <c r="BJ6" i="15" s="1"/>
  <c r="BC6" i="15"/>
  <c r="BL6" i="15" s="1"/>
  <c r="BW6" i="15" s="1"/>
  <c r="BA5" i="15"/>
  <c r="BJ5" i="15" s="1"/>
  <c r="BE7" i="15"/>
  <c r="BN7" i="15" s="1"/>
  <c r="AX8" i="15"/>
  <c r="BF8" i="15" s="1"/>
  <c r="BO8" i="15" s="1"/>
  <c r="BG7" i="15"/>
  <c r="BP7" i="15" s="1"/>
  <c r="BX7" i="15" s="1"/>
  <c r="X17" i="13"/>
  <c r="Z13" i="13"/>
  <c r="Z5" i="13"/>
  <c r="Z28" i="13"/>
  <c r="AA28" i="13" s="1"/>
  <c r="Z19" i="13"/>
  <c r="Z14" i="13"/>
  <c r="X13" i="13"/>
  <c r="Y13" i="13" s="1"/>
  <c r="Z4" i="13"/>
  <c r="Z36" i="13"/>
  <c r="X22" i="13"/>
  <c r="Y22" i="13" s="1"/>
  <c r="Z16" i="13"/>
  <c r="AA16" i="13" s="1"/>
  <c r="X15" i="13"/>
  <c r="Y15" i="13" s="1"/>
  <c r="AA19" i="13"/>
  <c r="AC5" i="13"/>
  <c r="AI5" i="13" s="1"/>
  <c r="Y39" i="13"/>
  <c r="Y5" i="13"/>
  <c r="Y4" i="13"/>
  <c r="X37" i="13"/>
  <c r="X36" i="13"/>
  <c r="Z35" i="13"/>
  <c r="AA35" i="13" s="1"/>
  <c r="X29" i="13"/>
  <c r="X28" i="13"/>
  <c r="Z27" i="13"/>
  <c r="AA27" i="13" s="1"/>
  <c r="Z21" i="13"/>
  <c r="AA21" i="13" s="1"/>
  <c r="X19" i="13"/>
  <c r="Y17" i="13"/>
  <c r="Z37" i="13"/>
  <c r="X34" i="13"/>
  <c r="Z32" i="13"/>
  <c r="AA32" i="13" s="1"/>
  <c r="Z29" i="13"/>
  <c r="X26" i="13"/>
  <c r="Z24" i="13"/>
  <c r="AA24" i="13" s="1"/>
  <c r="X21" i="13"/>
  <c r="X18" i="13"/>
  <c r="X16" i="13"/>
  <c r="X14" i="13"/>
  <c r="AA36" i="13"/>
  <c r="Z39" i="13"/>
  <c r="AC39" i="13" s="1"/>
  <c r="AN9" i="13" s="1"/>
  <c r="X33" i="13"/>
  <c r="X32" i="13"/>
  <c r="Z31" i="13"/>
  <c r="AA31" i="13" s="1"/>
  <c r="X25" i="13"/>
  <c r="X24" i="13"/>
  <c r="AC24" i="13" s="1"/>
  <c r="AL6" i="13" s="1"/>
  <c r="Z23" i="13"/>
  <c r="AA23" i="13" s="1"/>
  <c r="X20" i="13"/>
  <c r="Z17" i="13"/>
  <c r="AA17" i="13" s="1"/>
  <c r="Z15" i="13"/>
  <c r="AA15" i="13" s="1"/>
  <c r="Z7" i="13"/>
  <c r="Z12" i="13"/>
  <c r="AA12" i="13" s="1"/>
  <c r="X12" i="13"/>
  <c r="Y12" i="13" s="1"/>
  <c r="Z11" i="13"/>
  <c r="AA11" i="13" s="1"/>
  <c r="X11" i="13"/>
  <c r="Y11" i="13" s="1"/>
  <c r="Z10" i="13"/>
  <c r="AC10" i="13" s="1"/>
  <c r="AJ4" i="13" s="1"/>
  <c r="X10" i="13"/>
  <c r="Y10" i="13"/>
  <c r="Z9" i="13"/>
  <c r="AA9" i="13" s="1"/>
  <c r="X9" i="13"/>
  <c r="O16" i="2"/>
  <c r="O31" i="5"/>
  <c r="O21" i="2"/>
  <c r="R33" i="11" s="1"/>
  <c r="T33" i="11" s="1"/>
  <c r="R30" i="11"/>
  <c r="R31" i="11"/>
  <c r="T31" i="11" s="1"/>
  <c r="N17" i="2"/>
  <c r="O17" i="2"/>
  <c r="N6" i="2"/>
  <c r="O13" i="5" s="1"/>
  <c r="Q13" i="5" s="1"/>
  <c r="O32" i="5"/>
  <c r="O18" i="5"/>
  <c r="P10" i="5"/>
  <c r="P11" i="5"/>
  <c r="P36" i="5"/>
  <c r="P35" i="5"/>
  <c r="P34" i="5"/>
  <c r="P33" i="5"/>
  <c r="Q28" i="11"/>
  <c r="S28" i="11" s="1"/>
  <c r="Y28" i="11" s="1"/>
  <c r="Q29" i="11"/>
  <c r="S29" i="11" s="1"/>
  <c r="Y29" i="11" s="1"/>
  <c r="AL29" i="11" s="1"/>
  <c r="Q30" i="11"/>
  <c r="S30" i="11" s="1"/>
  <c r="Y30" i="11" s="1"/>
  <c r="Q9" i="11"/>
  <c r="S9" i="11" s="1"/>
  <c r="Y9" i="11" s="1"/>
  <c r="Q7" i="11"/>
  <c r="Q5" i="11"/>
  <c r="S5" i="11" s="1"/>
  <c r="Y5" i="11" s="1"/>
  <c r="O30" i="5"/>
  <c r="O6" i="2"/>
  <c r="P12" i="5" s="1"/>
  <c r="O10" i="5"/>
  <c r="O11" i="5"/>
  <c r="O36" i="5"/>
  <c r="Q36" i="5" s="1"/>
  <c r="W36" i="5" s="1"/>
  <c r="O35" i="5"/>
  <c r="Q35" i="5" s="1"/>
  <c r="W35" i="5" s="1"/>
  <c r="O34" i="5"/>
  <c r="Q34" i="5" s="1"/>
  <c r="O33" i="5"/>
  <c r="Q15" i="11"/>
  <c r="S15" i="11" s="1"/>
  <c r="Q16" i="11"/>
  <c r="S16" i="11" s="1"/>
  <c r="Y16" i="11" s="1"/>
  <c r="AL16" i="11" s="1"/>
  <c r="Q17" i="11"/>
  <c r="S17" i="11" s="1"/>
  <c r="Y17" i="11" s="1"/>
  <c r="AL17" i="11" s="1"/>
  <c r="Q18" i="11"/>
  <c r="S18" i="11" s="1"/>
  <c r="Q19" i="11"/>
  <c r="S19" i="11" s="1"/>
  <c r="Q20" i="11"/>
  <c r="S20" i="11" s="1"/>
  <c r="Q21" i="11"/>
  <c r="S21" i="11" s="1"/>
  <c r="Q22" i="11"/>
  <c r="S22" i="11" s="1"/>
  <c r="Q23" i="11"/>
  <c r="S23" i="11" s="1"/>
  <c r="Q24" i="11"/>
  <c r="S24" i="11" s="1"/>
  <c r="Q25" i="11"/>
  <c r="S25" i="11" s="1"/>
  <c r="Y25" i="11" s="1"/>
  <c r="Q26" i="11"/>
  <c r="S26" i="11" s="1"/>
  <c r="Y26" i="11" s="1"/>
  <c r="AL26" i="11" s="1"/>
  <c r="H20" i="2"/>
  <c r="O20" i="2" s="1"/>
  <c r="Q32" i="11"/>
  <c r="S32" i="11" s="1"/>
  <c r="O26" i="5"/>
  <c r="Q11" i="11"/>
  <c r="S11" i="11" s="1"/>
  <c r="R15" i="11"/>
  <c r="R16" i="11"/>
  <c r="T16" i="11" s="1"/>
  <c r="R17" i="11"/>
  <c r="R18" i="11"/>
  <c r="R19" i="11"/>
  <c r="R20" i="11"/>
  <c r="R21" i="11"/>
  <c r="R22" i="11"/>
  <c r="R23" i="11"/>
  <c r="R24" i="11"/>
  <c r="R25" i="11"/>
  <c r="R26" i="11"/>
  <c r="Q10" i="11"/>
  <c r="S10" i="11" s="1"/>
  <c r="Q8" i="11"/>
  <c r="S8" i="11" s="1"/>
  <c r="Q6" i="11"/>
  <c r="O22" i="5"/>
  <c r="R11" i="11"/>
  <c r="Q4" i="11"/>
  <c r="S4" i="11" s="1"/>
  <c r="Y4" i="11" s="1"/>
  <c r="Z8" i="13"/>
  <c r="X8" i="13"/>
  <c r="AA7" i="13"/>
  <c r="X7" i="13"/>
  <c r="AC7" i="13" s="1"/>
  <c r="AI7" i="13" s="1"/>
  <c r="Z6" i="13"/>
  <c r="X6" i="13"/>
  <c r="AA5" i="13"/>
  <c r="X38" i="13"/>
  <c r="Z34" i="13"/>
  <c r="AA34" i="13" s="1"/>
  <c r="Y34" i="13"/>
  <c r="Z33" i="13"/>
  <c r="AA33" i="13" s="1"/>
  <c r="Y32" i="13"/>
  <c r="X31" i="13"/>
  <c r="AC31" i="13" s="1"/>
  <c r="AM7" i="13" s="1"/>
  <c r="X30" i="13"/>
  <c r="Z26" i="13"/>
  <c r="AA26" i="13" s="1"/>
  <c r="Z25" i="13"/>
  <c r="AA25" i="13" s="1"/>
  <c r="X23" i="13"/>
  <c r="AC23" i="13" s="1"/>
  <c r="AL5" i="13" s="1"/>
  <c r="Z20" i="13"/>
  <c r="AA8" i="13"/>
  <c r="Z38" i="13"/>
  <c r="AA38" i="13" s="1"/>
  <c r="X35" i="13"/>
  <c r="AC35" i="13" s="1"/>
  <c r="AN5" i="13" s="1"/>
  <c r="Z30" i="13"/>
  <c r="AA30" i="13" s="1"/>
  <c r="X27" i="13"/>
  <c r="AC27" i="13" s="1"/>
  <c r="AL9" i="13" s="1"/>
  <c r="Z22" i="13"/>
  <c r="Z18" i="13"/>
  <c r="AA14" i="13"/>
  <c r="AA6" i="13"/>
  <c r="O14" i="5"/>
  <c r="Q14" i="5" s="1"/>
  <c r="R14" i="5" s="1"/>
  <c r="R29" i="11"/>
  <c r="R32" i="11"/>
  <c r="R27" i="11"/>
  <c r="T27" i="11" s="1"/>
  <c r="R28" i="11"/>
  <c r="R14" i="11"/>
  <c r="T14" i="11" s="1"/>
  <c r="S6" i="11"/>
  <c r="Y6" i="11" s="1"/>
  <c r="S7" i="11"/>
  <c r="Y33" i="11"/>
  <c r="Y31" i="11"/>
  <c r="AL31" i="11" s="1"/>
  <c r="Y27" i="11"/>
  <c r="AL27" i="11" s="1"/>
  <c r="Z41" i="11"/>
  <c r="Y14" i="11"/>
  <c r="Q33" i="5"/>
  <c r="W5" i="5"/>
  <c r="W34" i="5"/>
  <c r="O4" i="5"/>
  <c r="Q4" i="5" s="1"/>
  <c r="W4" i="5" s="1"/>
  <c r="O8" i="5"/>
  <c r="Q8" i="5" s="1"/>
  <c r="W8" i="5" s="1"/>
  <c r="O6" i="5"/>
  <c r="Q6" i="5" s="1"/>
  <c r="W6" i="5" s="1"/>
  <c r="O9" i="5"/>
  <c r="Q9" i="5" s="1"/>
  <c r="W9" i="5" s="1"/>
  <c r="O7" i="5"/>
  <c r="Q7" i="5" s="1"/>
  <c r="W7" i="5" s="1"/>
  <c r="Y7" i="10"/>
  <c r="Y5" i="10"/>
  <c r="Y8" i="10"/>
  <c r="Y6" i="10"/>
  <c r="Y4" i="10"/>
  <c r="Z7" i="10"/>
  <c r="Z5" i="10"/>
  <c r="Z8" i="10"/>
  <c r="Z6" i="10"/>
  <c r="T5" i="10"/>
  <c r="U7" i="10"/>
  <c r="T7" i="10"/>
  <c r="U8" i="10"/>
  <c r="U6" i="10"/>
  <c r="U4" i="10"/>
  <c r="U5" i="10"/>
  <c r="T8" i="10"/>
  <c r="T6" i="10"/>
  <c r="U5" i="5"/>
  <c r="O11" i="2"/>
  <c r="X44" i="5"/>
  <c r="Q11" i="5"/>
  <c r="Q10" i="5"/>
  <c r="R10" i="5" s="1"/>
  <c r="P30" i="5"/>
  <c r="P26" i="5"/>
  <c r="P22" i="5"/>
  <c r="P18" i="5"/>
  <c r="P29" i="5"/>
  <c r="P25" i="5"/>
  <c r="P21" i="5"/>
  <c r="P17" i="5"/>
  <c r="P28" i="5"/>
  <c r="P24" i="5"/>
  <c r="P20" i="5"/>
  <c r="P16" i="5"/>
  <c r="P32" i="5"/>
  <c r="P15" i="5"/>
  <c r="P27" i="5"/>
  <c r="P23" i="5"/>
  <c r="O29" i="5"/>
  <c r="O25" i="5"/>
  <c r="O21" i="5"/>
  <c r="O17" i="5"/>
  <c r="O28" i="5"/>
  <c r="O24" i="5"/>
  <c r="O20" i="5"/>
  <c r="O16" i="5"/>
  <c r="Q16" i="5" s="1"/>
  <c r="O15" i="5"/>
  <c r="Q15" i="5" s="1"/>
  <c r="W15" i="5" s="1"/>
  <c r="O27" i="5"/>
  <c r="O23" i="5"/>
  <c r="Q31" i="5"/>
  <c r="X8" i="1"/>
  <c r="X6" i="1"/>
  <c r="Y7" i="1"/>
  <c r="Y5" i="1"/>
  <c r="X7" i="1"/>
  <c r="X5" i="1"/>
  <c r="Y8" i="1"/>
  <c r="Y6" i="1"/>
  <c r="Y4" i="1"/>
  <c r="T7" i="1"/>
  <c r="T5" i="1"/>
  <c r="S7" i="1"/>
  <c r="S5" i="1"/>
  <c r="T4" i="1"/>
  <c r="T8" i="1"/>
  <c r="T6" i="1"/>
  <c r="S8" i="1"/>
  <c r="S6" i="1"/>
  <c r="O12" i="1"/>
  <c r="O14" i="1"/>
  <c r="O17" i="1"/>
  <c r="O19" i="1"/>
  <c r="O21" i="1"/>
  <c r="O24" i="1"/>
  <c r="O10" i="1"/>
  <c r="O11" i="1"/>
  <c r="O13" i="1"/>
  <c r="O15" i="1"/>
  <c r="O16" i="1"/>
  <c r="O18" i="1"/>
  <c r="O20" i="1"/>
  <c r="O22" i="1"/>
  <c r="O23" i="1"/>
  <c r="O25" i="1"/>
  <c r="O8" i="1"/>
  <c r="O5" i="1"/>
  <c r="O6" i="1"/>
  <c r="O4" i="1"/>
  <c r="O7" i="1"/>
  <c r="O9" i="1"/>
  <c r="CK6" i="15" l="1"/>
  <c r="BY5" i="15"/>
  <c r="BY6" i="15"/>
  <c r="CH6" i="15"/>
  <c r="CK7" i="15"/>
  <c r="CK5" i="15"/>
  <c r="CH5" i="15"/>
  <c r="CK4" i="15"/>
  <c r="BD7" i="15"/>
  <c r="BM7" i="15" s="1"/>
  <c r="BF4" i="15"/>
  <c r="BO4" i="15" s="1"/>
  <c r="BB4" i="15"/>
  <c r="BK4" i="15" s="1"/>
  <c r="BH4" i="15"/>
  <c r="BQ4" i="15" s="1"/>
  <c r="BZ4" i="15" s="1"/>
  <c r="BD4" i="15"/>
  <c r="BM4" i="15" s="1"/>
  <c r="BH8" i="15"/>
  <c r="BQ8" i="15" s="1"/>
  <c r="DH5" i="15"/>
  <c r="EN5" i="15" s="1"/>
  <c r="CI5" i="15"/>
  <c r="CJ5" i="15" s="1"/>
  <c r="CR5" i="15" s="1"/>
  <c r="CT5" i="15" s="1"/>
  <c r="CI4" i="15"/>
  <c r="CJ4" i="15" s="1"/>
  <c r="CR4" i="15" s="1"/>
  <c r="CF5" i="15"/>
  <c r="CG5" i="15" s="1"/>
  <c r="CQ5" i="15" s="1"/>
  <c r="CI7" i="15"/>
  <c r="CJ7" i="15" s="1"/>
  <c r="CR7" i="15" s="1"/>
  <c r="CT7" i="15" s="1"/>
  <c r="CI6" i="15"/>
  <c r="CJ6" i="15" s="1"/>
  <c r="CR6" i="15" s="1"/>
  <c r="BL4" i="15"/>
  <c r="BW4" i="15" s="1"/>
  <c r="BY4" i="15" s="1"/>
  <c r="CF6" i="15"/>
  <c r="CG6" i="15" s="1"/>
  <c r="CQ6" i="15" s="1"/>
  <c r="AC38" i="13"/>
  <c r="AN8" i="13" s="1"/>
  <c r="BA7" i="15"/>
  <c r="BJ7" i="15" s="1"/>
  <c r="BC7" i="15"/>
  <c r="BL7" i="15" s="1"/>
  <c r="BW7" i="15" s="1"/>
  <c r="AT8" i="15"/>
  <c r="BE8" i="15"/>
  <c r="BN8" i="15" s="1"/>
  <c r="BG8" i="15"/>
  <c r="BP8" i="15" s="1"/>
  <c r="BX8" i="15" s="1"/>
  <c r="AX9" i="15"/>
  <c r="AA29" i="13"/>
  <c r="T17" i="11"/>
  <c r="T22" i="11"/>
  <c r="Y22" i="11"/>
  <c r="AL22" i="11" s="1"/>
  <c r="T21" i="11"/>
  <c r="Y21" i="11"/>
  <c r="AL21" i="11" s="1"/>
  <c r="T25" i="11"/>
  <c r="T28" i="11"/>
  <c r="Z28" i="11" s="1"/>
  <c r="Y24" i="13"/>
  <c r="AD24" i="13" s="1"/>
  <c r="AC22" i="13"/>
  <c r="AD15" i="13"/>
  <c r="AA13" i="13"/>
  <c r="AD13" i="13" s="1"/>
  <c r="AC30" i="13"/>
  <c r="AM6" i="13" s="1"/>
  <c r="AD34" i="13"/>
  <c r="AD11" i="13"/>
  <c r="AC13" i="13"/>
  <c r="AJ7" i="13" s="1"/>
  <c r="AC32" i="13"/>
  <c r="AM8" i="13" s="1"/>
  <c r="AC26" i="13"/>
  <c r="AL8" i="13" s="1"/>
  <c r="AD5" i="13"/>
  <c r="AA10" i="13"/>
  <c r="AD32" i="13"/>
  <c r="AA4" i="13"/>
  <c r="AD4" i="13" s="1"/>
  <c r="AC4" i="13"/>
  <c r="AI4" i="13" s="1"/>
  <c r="AD12" i="13"/>
  <c r="Y8" i="13"/>
  <c r="AC8" i="13"/>
  <c r="AI8" i="13" s="1"/>
  <c r="Y20" i="13"/>
  <c r="AC20" i="13"/>
  <c r="AK8" i="13" s="1"/>
  <c r="Y29" i="13"/>
  <c r="AD29" i="13" s="1"/>
  <c r="AC29" i="13"/>
  <c r="AM5" i="13" s="1"/>
  <c r="Y26" i="13"/>
  <c r="AD26" i="13" s="1"/>
  <c r="AC15" i="13"/>
  <c r="AJ9" i="13" s="1"/>
  <c r="AC18" i="13"/>
  <c r="AK6" i="13" s="1"/>
  <c r="Y18" i="13"/>
  <c r="AC17" i="13"/>
  <c r="AK5" i="13" s="1"/>
  <c r="Y6" i="13"/>
  <c r="AD6" i="13" s="1"/>
  <c r="AC6" i="13"/>
  <c r="AI6" i="13" s="1"/>
  <c r="Y25" i="13"/>
  <c r="AD25" i="13" s="1"/>
  <c r="AC25" i="13"/>
  <c r="AL7" i="13" s="1"/>
  <c r="AC16" i="13"/>
  <c r="AK4" i="13" s="1"/>
  <c r="Y16" i="13"/>
  <c r="AD16" i="13" s="1"/>
  <c r="Y19" i="13"/>
  <c r="AD19" i="13" s="1"/>
  <c r="AC19" i="13"/>
  <c r="AK7" i="13" s="1"/>
  <c r="AD10" i="13"/>
  <c r="AD8" i="13"/>
  <c r="AA37" i="13"/>
  <c r="AA39" i="13"/>
  <c r="AD39" i="13" s="1"/>
  <c r="Y21" i="13"/>
  <c r="AD21" i="13" s="1"/>
  <c r="AC21" i="13"/>
  <c r="AK9" i="13" s="1"/>
  <c r="Y36" i="13"/>
  <c r="AD36" i="13" s="1"/>
  <c r="AC36" i="13"/>
  <c r="AN6" i="13" s="1"/>
  <c r="AC11" i="13"/>
  <c r="AJ5" i="13" s="1"/>
  <c r="AC12" i="13"/>
  <c r="AJ6" i="13" s="1"/>
  <c r="Y33" i="13"/>
  <c r="AD33" i="13" s="1"/>
  <c r="AC33" i="13"/>
  <c r="AM9" i="13" s="1"/>
  <c r="AC14" i="13"/>
  <c r="AJ8" i="13" s="1"/>
  <c r="Y14" i="13"/>
  <c r="AD14" i="13" s="1"/>
  <c r="AC34" i="13"/>
  <c r="AD17" i="13"/>
  <c r="Y28" i="13"/>
  <c r="AD28" i="13" s="1"/>
  <c r="AC28" i="13"/>
  <c r="Y37" i="13"/>
  <c r="AC37" i="13"/>
  <c r="AN7" i="13" s="1"/>
  <c r="Y9" i="13"/>
  <c r="AD9" i="13" s="1"/>
  <c r="AC9" i="13"/>
  <c r="AI9" i="13" s="1"/>
  <c r="T30" i="11"/>
  <c r="Z30" i="11" s="1"/>
  <c r="R34" i="5"/>
  <c r="R35" i="5"/>
  <c r="R36" i="5"/>
  <c r="T15" i="11"/>
  <c r="Y15" i="11"/>
  <c r="AL15" i="11" s="1"/>
  <c r="T11" i="11"/>
  <c r="T32" i="11"/>
  <c r="T24" i="11"/>
  <c r="R12" i="11"/>
  <c r="T23" i="11"/>
  <c r="T19" i="11"/>
  <c r="Y23" i="11"/>
  <c r="AL23" i="11" s="1"/>
  <c r="T26" i="11"/>
  <c r="Z26" i="11" s="1"/>
  <c r="T18" i="11"/>
  <c r="T20" i="11"/>
  <c r="R33" i="5"/>
  <c r="Y24" i="11"/>
  <c r="Y32" i="11"/>
  <c r="AL32" i="11" s="1"/>
  <c r="Y19" i="11"/>
  <c r="AL19" i="11" s="1"/>
  <c r="R11" i="5"/>
  <c r="W14" i="5"/>
  <c r="X14" i="5" s="1"/>
  <c r="P13" i="5"/>
  <c r="R13" i="5" s="1"/>
  <c r="Y18" i="11"/>
  <c r="AL18" i="11" s="1"/>
  <c r="Y20" i="11"/>
  <c r="AL20" i="11" s="1"/>
  <c r="R13" i="11"/>
  <c r="R5" i="11"/>
  <c r="T5" i="11" s="1"/>
  <c r="Z5" i="11" s="1"/>
  <c r="R7" i="11"/>
  <c r="T7" i="11" s="1"/>
  <c r="R9" i="11"/>
  <c r="T9" i="11" s="1"/>
  <c r="Z9" i="11" s="1"/>
  <c r="R6" i="11"/>
  <c r="R8" i="11"/>
  <c r="T8" i="11" s="1"/>
  <c r="R10" i="11"/>
  <c r="T10" i="11" s="1"/>
  <c r="R4" i="11"/>
  <c r="T4" i="11" s="1"/>
  <c r="Z4" i="11" s="1"/>
  <c r="O12" i="5"/>
  <c r="Q12" i="5" s="1"/>
  <c r="R12" i="5" s="1"/>
  <c r="Q13" i="11"/>
  <c r="S13" i="11" s="1"/>
  <c r="Y13" i="11" s="1"/>
  <c r="AL13" i="11" s="1"/>
  <c r="Q12" i="11"/>
  <c r="S12" i="11" s="1"/>
  <c r="Y12" i="11" s="1"/>
  <c r="AL12" i="11" s="1"/>
  <c r="Y8" i="11"/>
  <c r="AL8" i="11" s="1"/>
  <c r="Y7" i="13"/>
  <c r="AD7" i="13" s="1"/>
  <c r="Y31" i="13"/>
  <c r="AD31" i="13" s="1"/>
  <c r="Y38" i="13"/>
  <c r="AD38" i="13" s="1"/>
  <c r="AA20" i="13"/>
  <c r="AA22" i="13"/>
  <c r="AD22" i="13" s="1"/>
  <c r="Y35" i="13"/>
  <c r="AD35" i="13" s="1"/>
  <c r="AA18" i="13"/>
  <c r="Y27" i="13"/>
  <c r="AD27" i="13" s="1"/>
  <c r="Y23" i="13"/>
  <c r="AD23" i="13" s="1"/>
  <c r="Y30" i="13"/>
  <c r="AD30" i="13" s="1"/>
  <c r="Y7" i="11"/>
  <c r="Y10" i="11"/>
  <c r="AL10" i="11" s="1"/>
  <c r="T6" i="11"/>
  <c r="Z6" i="11" s="1"/>
  <c r="AL6" i="11"/>
  <c r="AW6" i="11" s="1"/>
  <c r="Z16" i="11"/>
  <c r="Z17" i="11"/>
  <c r="T29" i="11"/>
  <c r="Z29" i="11" s="1"/>
  <c r="Y11" i="11"/>
  <c r="AL11" i="11" s="1"/>
  <c r="AL33" i="11"/>
  <c r="AW33" i="11" s="1"/>
  <c r="Z33" i="11"/>
  <c r="W33" i="5"/>
  <c r="AJ33" i="5" s="1"/>
  <c r="Z31" i="11"/>
  <c r="Z27" i="11"/>
  <c r="AL5" i="11"/>
  <c r="Z25" i="11"/>
  <c r="AL25" i="11"/>
  <c r="AL30" i="11"/>
  <c r="AL4" i="11"/>
  <c r="AL9" i="11"/>
  <c r="AL28" i="11"/>
  <c r="Z22" i="11"/>
  <c r="AL14" i="11"/>
  <c r="Z14" i="11"/>
  <c r="W13" i="5"/>
  <c r="P5" i="5"/>
  <c r="R5" i="5" s="1"/>
  <c r="X5" i="5" s="1"/>
  <c r="P9" i="5"/>
  <c r="R9" i="5" s="1"/>
  <c r="P4" i="5"/>
  <c r="R4" i="5" s="1"/>
  <c r="X4" i="5" s="1"/>
  <c r="P7" i="5"/>
  <c r="R7" i="5" s="1"/>
  <c r="X7" i="5" s="1"/>
  <c r="P8" i="5"/>
  <c r="R8" i="5" s="1"/>
  <c r="X8" i="5" s="1"/>
  <c r="P6" i="5"/>
  <c r="R6" i="5" s="1"/>
  <c r="X6" i="5" s="1"/>
  <c r="AJ34" i="5"/>
  <c r="X34" i="5"/>
  <c r="AJ35" i="5"/>
  <c r="X35" i="5"/>
  <c r="AJ36" i="5"/>
  <c r="X36" i="5"/>
  <c r="O31" i="10"/>
  <c r="P31" i="10" s="1"/>
  <c r="O27" i="10"/>
  <c r="P27" i="10" s="1"/>
  <c r="O29" i="10"/>
  <c r="P29" i="10" s="1"/>
  <c r="O33" i="10"/>
  <c r="P33" i="10" s="1"/>
  <c r="O32" i="10"/>
  <c r="P32" i="10" s="1"/>
  <c r="O26" i="10"/>
  <c r="P26" i="10" s="1"/>
  <c r="O28" i="10"/>
  <c r="P28" i="10" s="1"/>
  <c r="O30" i="10"/>
  <c r="P30" i="10" s="1"/>
  <c r="O24" i="10"/>
  <c r="P24" i="10" s="1"/>
  <c r="O22" i="10"/>
  <c r="P22" i="10" s="1"/>
  <c r="O20" i="10"/>
  <c r="P20" i="10" s="1"/>
  <c r="O18" i="10"/>
  <c r="P18" i="10" s="1"/>
  <c r="O16" i="10"/>
  <c r="P16" i="10" s="1"/>
  <c r="O14" i="10"/>
  <c r="P14" i="10" s="1"/>
  <c r="O12" i="10"/>
  <c r="P12" i="10" s="1"/>
  <c r="O10" i="10"/>
  <c r="P10" i="10" s="1"/>
  <c r="O8" i="10"/>
  <c r="P8" i="10" s="1"/>
  <c r="O6" i="10"/>
  <c r="P6" i="10" s="1"/>
  <c r="O5" i="10"/>
  <c r="P5" i="10" s="1"/>
  <c r="O4" i="10"/>
  <c r="P4" i="10" s="1"/>
  <c r="O25" i="10"/>
  <c r="P25" i="10" s="1"/>
  <c r="O23" i="10"/>
  <c r="P23" i="10" s="1"/>
  <c r="O21" i="10"/>
  <c r="P21" i="10" s="1"/>
  <c r="O19" i="10"/>
  <c r="P19" i="10" s="1"/>
  <c r="O17" i="10"/>
  <c r="P17" i="10" s="1"/>
  <c r="O15" i="10"/>
  <c r="P15" i="10" s="1"/>
  <c r="O13" i="10"/>
  <c r="P13" i="10" s="1"/>
  <c r="O11" i="10"/>
  <c r="P11" i="10" s="1"/>
  <c r="O9" i="10"/>
  <c r="P9" i="10" s="1"/>
  <c r="O7" i="10"/>
  <c r="P7" i="10" s="1"/>
  <c r="W11" i="5"/>
  <c r="W10" i="5"/>
  <c r="X10" i="5" s="1"/>
  <c r="R16" i="5"/>
  <c r="R15" i="5"/>
  <c r="X15" i="5" s="1"/>
  <c r="W31" i="5"/>
  <c r="AJ31" i="5" s="1"/>
  <c r="R31" i="5"/>
  <c r="W16" i="5"/>
  <c r="AJ7" i="5" s="1"/>
  <c r="Q17" i="5"/>
  <c r="R17" i="5" s="1"/>
  <c r="BY7" i="15" l="1"/>
  <c r="EB5" i="15"/>
  <c r="EP5" i="15" s="1"/>
  <c r="CS6" i="15"/>
  <c r="CS5" i="15"/>
  <c r="CH7" i="15"/>
  <c r="CH4" i="15"/>
  <c r="CK8" i="15"/>
  <c r="BB8" i="15"/>
  <c r="BK8" i="15" s="1"/>
  <c r="BD8" i="15"/>
  <c r="BM8" i="15" s="1"/>
  <c r="BH9" i="15"/>
  <c r="BQ9" i="15" s="1"/>
  <c r="BF9" i="15"/>
  <c r="BO9" i="15" s="1"/>
  <c r="DH6" i="15"/>
  <c r="EN6" i="15" s="1"/>
  <c r="Z24" i="11"/>
  <c r="CF4" i="15"/>
  <c r="CG4" i="15" s="1"/>
  <c r="CQ4" i="15" s="1"/>
  <c r="DH4" i="15"/>
  <c r="CI8" i="15"/>
  <c r="CJ8" i="15" s="1"/>
  <c r="CR8" i="15" s="1"/>
  <c r="CF7" i="15"/>
  <c r="CG7" i="15" s="1"/>
  <c r="CQ7" i="15" s="1"/>
  <c r="BA8" i="15"/>
  <c r="BJ8" i="15" s="1"/>
  <c r="BC8" i="15"/>
  <c r="BL8" i="15" s="1"/>
  <c r="BW8" i="15" s="1"/>
  <c r="AT9" i="15"/>
  <c r="AX10" i="15"/>
  <c r="BE9" i="15"/>
  <c r="BN9" i="15" s="1"/>
  <c r="BG9" i="15"/>
  <c r="BP9" i="15" s="1"/>
  <c r="BX9" i="15" s="1"/>
  <c r="AN4" i="13"/>
  <c r="AM4" i="13"/>
  <c r="Z21" i="11"/>
  <c r="AL4" i="13"/>
  <c r="AD18" i="13"/>
  <c r="AD20" i="13"/>
  <c r="AD37" i="13"/>
  <c r="AL24" i="11"/>
  <c r="X33" i="5"/>
  <c r="Z15" i="11"/>
  <c r="Z23" i="11"/>
  <c r="Z18" i="11"/>
  <c r="Z19" i="11"/>
  <c r="X11" i="5"/>
  <c r="W12" i="5"/>
  <c r="X12" i="5" s="1"/>
  <c r="Z32" i="11"/>
  <c r="Z20" i="11"/>
  <c r="Z8" i="11"/>
  <c r="T13" i="11"/>
  <c r="Z13" i="11" s="1"/>
  <c r="Z7" i="11"/>
  <c r="T12" i="11"/>
  <c r="Z12" i="11" s="1"/>
  <c r="AL7" i="11"/>
  <c r="X13" i="5"/>
  <c r="Z10" i="11"/>
  <c r="Z11" i="11"/>
  <c r="X9" i="5"/>
  <c r="AJ13" i="5"/>
  <c r="AJ6" i="5"/>
  <c r="AJ4" i="5"/>
  <c r="AJ5" i="5"/>
  <c r="X31" i="5"/>
  <c r="X16" i="5"/>
  <c r="Q18" i="5"/>
  <c r="R18" i="5" s="1"/>
  <c r="W17" i="5"/>
  <c r="AJ8" i="5" s="1"/>
  <c r="DK8" i="15" l="1"/>
  <c r="EV8" i="15" s="1"/>
  <c r="DG4" i="15"/>
  <c r="EO4" i="15" s="1"/>
  <c r="EN4" i="15"/>
  <c r="EB4" i="15"/>
  <c r="CS4" i="15"/>
  <c r="EB6" i="15"/>
  <c r="EP6" i="15" s="1"/>
  <c r="CS7" i="15"/>
  <c r="BY8" i="15"/>
  <c r="CK9" i="15"/>
  <c r="CH8" i="15"/>
  <c r="BH10" i="15"/>
  <c r="BQ10" i="15" s="1"/>
  <c r="BF10" i="15"/>
  <c r="BO10" i="15" s="1"/>
  <c r="BB9" i="15"/>
  <c r="BK9" i="15" s="1"/>
  <c r="BD9" i="15"/>
  <c r="BM9" i="15" s="1"/>
  <c r="DH8" i="15"/>
  <c r="DH7" i="15"/>
  <c r="CI9" i="15"/>
  <c r="CJ9" i="15" s="1"/>
  <c r="CR9" i="15" s="1"/>
  <c r="CT9" i="15" s="1"/>
  <c r="CF8" i="15"/>
  <c r="CG8" i="15" s="1"/>
  <c r="CQ8" i="15" s="1"/>
  <c r="CS8" i="15" s="1"/>
  <c r="AT10" i="15"/>
  <c r="BA9" i="15"/>
  <c r="BJ9" i="15" s="1"/>
  <c r="BC9" i="15"/>
  <c r="BL9" i="15" s="1"/>
  <c r="BW9" i="15" s="1"/>
  <c r="AX11" i="15"/>
  <c r="BE10" i="15"/>
  <c r="BN10" i="15" s="1"/>
  <c r="BG10" i="15"/>
  <c r="BP10" i="15" s="1"/>
  <c r="BX10" i="15" s="1"/>
  <c r="AW31" i="11"/>
  <c r="AW30" i="11"/>
  <c r="AW29" i="11"/>
  <c r="AW27" i="11"/>
  <c r="AW28" i="11"/>
  <c r="AW26" i="11"/>
  <c r="AW23" i="11"/>
  <c r="AW20" i="11"/>
  <c r="AW16" i="11"/>
  <c r="AW12" i="11"/>
  <c r="AW11" i="11"/>
  <c r="AW9" i="11"/>
  <c r="AW25" i="11"/>
  <c r="AW22" i="11"/>
  <c r="AW19" i="11"/>
  <c r="AW15" i="11"/>
  <c r="AW8" i="11"/>
  <c r="AW32" i="11"/>
  <c r="AW24" i="11"/>
  <c r="AW21" i="11"/>
  <c r="AW18" i="11"/>
  <c r="AW14" i="11"/>
  <c r="AW7" i="11"/>
  <c r="AW5" i="11"/>
  <c r="AW17" i="11"/>
  <c r="AW13" i="11"/>
  <c r="AW10" i="11"/>
  <c r="AW4" i="11"/>
  <c r="AJ12" i="5"/>
  <c r="X17" i="5"/>
  <c r="Q19" i="5"/>
  <c r="R19" i="5" s="1"/>
  <c r="W18" i="5"/>
  <c r="AJ9" i="5" s="1"/>
  <c r="EE8" i="15" l="1"/>
  <c r="EW8" i="15" s="1"/>
  <c r="EP4" i="15"/>
  <c r="EA4" i="15"/>
  <c r="EQ4" i="15" s="1"/>
  <c r="DK5" i="15"/>
  <c r="EV5" i="15" s="1"/>
  <c r="EN8" i="15"/>
  <c r="DG8" i="15"/>
  <c r="EO8" i="15" s="1"/>
  <c r="DK4" i="15"/>
  <c r="EV4" i="15" s="1"/>
  <c r="EN7" i="15"/>
  <c r="BY9" i="15"/>
  <c r="CK10" i="15"/>
  <c r="CH9" i="15"/>
  <c r="BH11" i="15"/>
  <c r="BQ11" i="15" s="1"/>
  <c r="BF11" i="15"/>
  <c r="BO11" i="15" s="1"/>
  <c r="DH9" i="15"/>
  <c r="EN9" i="15" s="1"/>
  <c r="BB10" i="15"/>
  <c r="BK10" i="15" s="1"/>
  <c r="BD10" i="15"/>
  <c r="BM10" i="15" s="1"/>
  <c r="DK12" i="15"/>
  <c r="EV10" i="15" s="1"/>
  <c r="EB8" i="15"/>
  <c r="EB7" i="15"/>
  <c r="CI10" i="15"/>
  <c r="CJ10" i="15" s="1"/>
  <c r="CR10" i="15" s="1"/>
  <c r="CF9" i="15"/>
  <c r="CG9" i="15" s="1"/>
  <c r="CQ9" i="15" s="1"/>
  <c r="BA10" i="15"/>
  <c r="BJ10" i="15" s="1"/>
  <c r="BC10" i="15"/>
  <c r="BL10" i="15" s="1"/>
  <c r="BW10" i="15" s="1"/>
  <c r="AT11" i="15"/>
  <c r="AX12" i="15"/>
  <c r="BE11" i="15"/>
  <c r="BN11" i="15" s="1"/>
  <c r="BG11" i="15"/>
  <c r="BP11" i="15" s="1"/>
  <c r="BX11" i="15" s="1"/>
  <c r="X18" i="5"/>
  <c r="Q20" i="5"/>
  <c r="R20" i="5" s="1"/>
  <c r="W19" i="5"/>
  <c r="AJ10" i="5" s="1"/>
  <c r="EE5" i="15" l="1"/>
  <c r="EW5" i="15" s="1"/>
  <c r="EP8" i="15"/>
  <c r="EA8" i="15"/>
  <c r="EQ8" i="15" s="1"/>
  <c r="EE4" i="15"/>
  <c r="EW4" i="15" s="1"/>
  <c r="EP7" i="15"/>
  <c r="BY10" i="15"/>
  <c r="EB9" i="15"/>
  <c r="EP9" i="15" s="1"/>
  <c r="CS9" i="15"/>
  <c r="CK11" i="15"/>
  <c r="CH10" i="15"/>
  <c r="BH12" i="15"/>
  <c r="BQ12" i="15" s="1"/>
  <c r="BF12" i="15"/>
  <c r="BO12" i="15" s="1"/>
  <c r="BD11" i="15"/>
  <c r="BM11" i="15" s="1"/>
  <c r="BB11" i="15"/>
  <c r="BK11" i="15" s="1"/>
  <c r="DH10" i="15"/>
  <c r="EE12" i="15"/>
  <c r="EW10" i="15" s="1"/>
  <c r="CI11" i="15"/>
  <c r="CJ11" i="15" s="1"/>
  <c r="CR11" i="15" s="1"/>
  <c r="CF10" i="15"/>
  <c r="CG10" i="15" s="1"/>
  <c r="CQ10" i="15" s="1"/>
  <c r="BA11" i="15"/>
  <c r="BJ11" i="15" s="1"/>
  <c r="BC11" i="15"/>
  <c r="BL11" i="15" s="1"/>
  <c r="BW11" i="15" s="1"/>
  <c r="AT12" i="15"/>
  <c r="AX13" i="15"/>
  <c r="BE12" i="15"/>
  <c r="BN12" i="15" s="1"/>
  <c r="BG12" i="15"/>
  <c r="BP12" i="15" s="1"/>
  <c r="BX12" i="15" s="1"/>
  <c r="X19" i="5"/>
  <c r="Q21" i="5"/>
  <c r="R21" i="5" s="1"/>
  <c r="W20" i="5"/>
  <c r="AJ11" i="5" s="1"/>
  <c r="EN10" i="15" l="1"/>
  <c r="DG10" i="15"/>
  <c r="EO10" i="15" s="1"/>
  <c r="EB10" i="15"/>
  <c r="CS10" i="15"/>
  <c r="BY11" i="15"/>
  <c r="CK12" i="15"/>
  <c r="CH11" i="15"/>
  <c r="DH11" i="15"/>
  <c r="BD12" i="15"/>
  <c r="BM12" i="15" s="1"/>
  <c r="BB12" i="15"/>
  <c r="BK12" i="15" s="1"/>
  <c r="BH13" i="15"/>
  <c r="BQ13" i="15" s="1"/>
  <c r="BF13" i="15"/>
  <c r="BO13" i="15" s="1"/>
  <c r="CI12" i="15"/>
  <c r="CJ12" i="15" s="1"/>
  <c r="CR12" i="15" s="1"/>
  <c r="CF11" i="15"/>
  <c r="CG11" i="15" s="1"/>
  <c r="CQ11" i="15" s="1"/>
  <c r="BA12" i="15"/>
  <c r="BJ12" i="15" s="1"/>
  <c r="BC12" i="15"/>
  <c r="BL12" i="15" s="1"/>
  <c r="BW12" i="15" s="1"/>
  <c r="AT13" i="15"/>
  <c r="AX14" i="15"/>
  <c r="BE13" i="15"/>
  <c r="BN13" i="15" s="1"/>
  <c r="BG13" i="15"/>
  <c r="BP13" i="15" s="1"/>
  <c r="BX13" i="15" s="1"/>
  <c r="X20" i="5"/>
  <c r="Q22" i="5"/>
  <c r="R22" i="5" s="1"/>
  <c r="W21" i="5"/>
  <c r="AJ14" i="5" s="1"/>
  <c r="EN11" i="15" l="1"/>
  <c r="DG11" i="15"/>
  <c r="EO11" i="15" s="1"/>
  <c r="EP10" i="15"/>
  <c r="EA10" i="15"/>
  <c r="EQ10" i="15" s="1"/>
  <c r="EB11" i="15"/>
  <c r="CS11" i="15"/>
  <c r="BZ13" i="15"/>
  <c r="BY12" i="15"/>
  <c r="CK13" i="15"/>
  <c r="CH12" i="15"/>
  <c r="BH14" i="15"/>
  <c r="BQ14" i="15" s="1"/>
  <c r="BF14" i="15"/>
  <c r="BO14" i="15" s="1"/>
  <c r="BD13" i="15"/>
  <c r="BM13" i="15" s="1"/>
  <c r="BB13" i="15"/>
  <c r="BK13" i="15" s="1"/>
  <c r="DH12" i="15"/>
  <c r="CI13" i="15"/>
  <c r="CJ13" i="15" s="1"/>
  <c r="CR13" i="15" s="1"/>
  <c r="CT13" i="15" s="1"/>
  <c r="CF12" i="15"/>
  <c r="CG12" i="15" s="1"/>
  <c r="CQ12" i="15" s="1"/>
  <c r="BA13" i="15"/>
  <c r="BJ13" i="15" s="1"/>
  <c r="BC13" i="15"/>
  <c r="BL13" i="15" s="1"/>
  <c r="BW13" i="15" s="1"/>
  <c r="BY13" i="15" s="1"/>
  <c r="AT14" i="15"/>
  <c r="AX15" i="15"/>
  <c r="BE14" i="15"/>
  <c r="BN14" i="15" s="1"/>
  <c r="BG14" i="15"/>
  <c r="BP14" i="15" s="1"/>
  <c r="BX14" i="15" s="1"/>
  <c r="X21" i="5"/>
  <c r="Q23" i="5"/>
  <c r="R23" i="5" s="1"/>
  <c r="W22" i="5"/>
  <c r="DK6" i="15" l="1"/>
  <c r="EN12" i="15"/>
  <c r="DG12" i="15"/>
  <c r="EO12" i="15" s="1"/>
  <c r="EA11" i="15"/>
  <c r="EQ11" i="15" s="1"/>
  <c r="EP11" i="15"/>
  <c r="EB12" i="15"/>
  <c r="CS12" i="15"/>
  <c r="CK14" i="15"/>
  <c r="CH13" i="15"/>
  <c r="BB14" i="15"/>
  <c r="BK14" i="15" s="1"/>
  <c r="BD14" i="15"/>
  <c r="BM14" i="15" s="1"/>
  <c r="BH15" i="15"/>
  <c r="BQ15" i="15" s="1"/>
  <c r="BF15" i="15"/>
  <c r="BO15" i="15" s="1"/>
  <c r="CI14" i="15"/>
  <c r="CJ14" i="15" s="1"/>
  <c r="CR14" i="15" s="1"/>
  <c r="CF13" i="15"/>
  <c r="CG13" i="15" s="1"/>
  <c r="CQ13" i="15" s="1"/>
  <c r="BA14" i="15"/>
  <c r="BJ14" i="15" s="1"/>
  <c r="BC14" i="15"/>
  <c r="BL14" i="15" s="1"/>
  <c r="BW14" i="15" s="1"/>
  <c r="AT15" i="15"/>
  <c r="AX16" i="15"/>
  <c r="BE15" i="15"/>
  <c r="BN15" i="15" s="1"/>
  <c r="BG15" i="15"/>
  <c r="BP15" i="15" s="1"/>
  <c r="BX15" i="15" s="1"/>
  <c r="AJ15" i="5"/>
  <c r="AJ21" i="5"/>
  <c r="X22" i="5"/>
  <c r="Q24" i="5"/>
  <c r="R24" i="5" s="1"/>
  <c r="W23" i="5"/>
  <c r="AJ16" i="5" s="1"/>
  <c r="EE6" i="15" l="1"/>
  <c r="EA12" i="15"/>
  <c r="EQ12" i="15" s="1"/>
  <c r="EP12" i="15"/>
  <c r="DK15" i="15"/>
  <c r="EV6" i="15"/>
  <c r="CS13" i="15"/>
  <c r="BY14" i="15"/>
  <c r="CK15" i="15"/>
  <c r="CH14" i="15"/>
  <c r="BH16" i="15"/>
  <c r="BQ16" i="15" s="1"/>
  <c r="BF16" i="15"/>
  <c r="BO16" i="15" s="1"/>
  <c r="BD15" i="15"/>
  <c r="BM15" i="15" s="1"/>
  <c r="BB15" i="15"/>
  <c r="BK15" i="15" s="1"/>
  <c r="DH14" i="15"/>
  <c r="CI15" i="15"/>
  <c r="CJ15" i="15" s="1"/>
  <c r="CR15" i="15" s="1"/>
  <c r="CF14" i="15"/>
  <c r="CG14" i="15" s="1"/>
  <c r="CQ14" i="15" s="1"/>
  <c r="BA15" i="15"/>
  <c r="BJ15" i="15" s="1"/>
  <c r="BC15" i="15"/>
  <c r="BL15" i="15" s="1"/>
  <c r="BW15" i="15" s="1"/>
  <c r="AT16" i="15"/>
  <c r="AX17" i="15"/>
  <c r="BE16" i="15"/>
  <c r="BN16" i="15" s="1"/>
  <c r="BG16" i="15"/>
  <c r="BP16" i="15" s="1"/>
  <c r="BX16" i="15" s="1"/>
  <c r="X23" i="5"/>
  <c r="Q25" i="5"/>
  <c r="R25" i="5" s="1"/>
  <c r="W24" i="5"/>
  <c r="AJ17" i="5" s="1"/>
  <c r="EW6" i="15" l="1"/>
  <c r="EE15" i="15"/>
  <c r="DK14" i="15"/>
  <c r="EV12" i="15" s="1"/>
  <c r="EV13" i="15"/>
  <c r="EN14" i="15"/>
  <c r="DG14" i="15"/>
  <c r="EO14" i="15" s="1"/>
  <c r="BY15" i="15"/>
  <c r="EB14" i="15"/>
  <c r="CS14" i="15"/>
  <c r="CK16" i="15"/>
  <c r="CH15" i="15"/>
  <c r="BD16" i="15"/>
  <c r="BM16" i="15" s="1"/>
  <c r="BB16" i="15"/>
  <c r="BK16" i="15" s="1"/>
  <c r="DH15" i="15"/>
  <c r="BF17" i="15"/>
  <c r="BO17" i="15" s="1"/>
  <c r="BH17" i="15"/>
  <c r="BQ17" i="15" s="1"/>
  <c r="CI16" i="15"/>
  <c r="CJ16" i="15" s="1"/>
  <c r="CR16" i="15" s="1"/>
  <c r="CF15" i="15"/>
  <c r="CG15" i="15" s="1"/>
  <c r="CQ15" i="15" s="1"/>
  <c r="BA16" i="15"/>
  <c r="BJ16" i="15" s="1"/>
  <c r="BC16" i="15"/>
  <c r="BL16" i="15" s="1"/>
  <c r="BW16" i="15" s="1"/>
  <c r="AT17" i="15"/>
  <c r="AX18" i="15"/>
  <c r="BE17" i="15"/>
  <c r="BN17" i="15" s="1"/>
  <c r="BG17" i="15"/>
  <c r="BP17" i="15" s="1"/>
  <c r="BX17" i="15" s="1"/>
  <c r="X24" i="5"/>
  <c r="Q26" i="5"/>
  <c r="R26" i="5" s="1"/>
  <c r="W25" i="5"/>
  <c r="AJ18" i="5" s="1"/>
  <c r="BY16" i="15" l="1"/>
  <c r="EP14" i="15"/>
  <c r="EA14" i="15"/>
  <c r="EQ14" i="15" s="1"/>
  <c r="EN15" i="15"/>
  <c r="DG15" i="15"/>
  <c r="EO15" i="15" s="1"/>
  <c r="EE14" i="15"/>
  <c r="EW12" i="15" s="1"/>
  <c r="EW13" i="15"/>
  <c r="EB15" i="15"/>
  <c r="CS15" i="15"/>
  <c r="CK17" i="15"/>
  <c r="CH16" i="15"/>
  <c r="BH18" i="15"/>
  <c r="BQ18" i="15" s="1"/>
  <c r="BF18" i="15"/>
  <c r="BO18" i="15" s="1"/>
  <c r="BB17" i="15"/>
  <c r="BK17" i="15" s="1"/>
  <c r="BD17" i="15"/>
  <c r="BM17" i="15" s="1"/>
  <c r="DH16" i="15"/>
  <c r="CI17" i="15"/>
  <c r="CJ17" i="15" s="1"/>
  <c r="CR17" i="15" s="1"/>
  <c r="CF16" i="15"/>
  <c r="CG16" i="15" s="1"/>
  <c r="CQ16" i="15" s="1"/>
  <c r="BA17" i="15"/>
  <c r="BJ17" i="15" s="1"/>
  <c r="BC17" i="15"/>
  <c r="BL17" i="15" s="1"/>
  <c r="BW17" i="15" s="1"/>
  <c r="AT18" i="15"/>
  <c r="AX19" i="15"/>
  <c r="BE18" i="15"/>
  <c r="BN18" i="15" s="1"/>
  <c r="BG18" i="15"/>
  <c r="BP18" i="15" s="1"/>
  <c r="BX18" i="15" s="1"/>
  <c r="X25" i="5"/>
  <c r="Q27" i="5"/>
  <c r="R27" i="5" s="1"/>
  <c r="W26" i="5"/>
  <c r="EE7" i="15" l="1"/>
  <c r="EW7" i="15" s="1"/>
  <c r="EP15" i="15"/>
  <c r="EA15" i="15"/>
  <c r="EQ15" i="15" s="1"/>
  <c r="DK16" i="15"/>
  <c r="DG16" i="15"/>
  <c r="EO16" i="15" s="1"/>
  <c r="EN16" i="15"/>
  <c r="EB16" i="15"/>
  <c r="CS16" i="15"/>
  <c r="BY17" i="15"/>
  <c r="CH17" i="15"/>
  <c r="CK18" i="15"/>
  <c r="BD18" i="15"/>
  <c r="BM18" i="15" s="1"/>
  <c r="BB18" i="15"/>
  <c r="BK18" i="15" s="1"/>
  <c r="DH17" i="15"/>
  <c r="BH19" i="15"/>
  <c r="BQ19" i="15" s="1"/>
  <c r="BF19" i="15"/>
  <c r="BO19" i="15" s="1"/>
  <c r="CI18" i="15"/>
  <c r="CJ18" i="15" s="1"/>
  <c r="CR18" i="15" s="1"/>
  <c r="CF17" i="15"/>
  <c r="CG17" i="15" s="1"/>
  <c r="CQ17" i="15" s="1"/>
  <c r="EB17" i="15" s="1"/>
  <c r="BA18" i="15"/>
  <c r="BJ18" i="15" s="1"/>
  <c r="BC18" i="15"/>
  <c r="BL18" i="15" s="1"/>
  <c r="BW18" i="15" s="1"/>
  <c r="BY18" i="15" s="1"/>
  <c r="AT19" i="15"/>
  <c r="AX20" i="15"/>
  <c r="BE19" i="15"/>
  <c r="BN19" i="15" s="1"/>
  <c r="BG19" i="15"/>
  <c r="BP19" i="15" s="1"/>
  <c r="BX19" i="15" s="1"/>
  <c r="AJ19" i="5"/>
  <c r="AJ25" i="5"/>
  <c r="X26" i="5"/>
  <c r="W27" i="5"/>
  <c r="EE16" i="15" l="1"/>
  <c r="EP16" i="15"/>
  <c r="EA16" i="15"/>
  <c r="EQ16" i="15" s="1"/>
  <c r="DG17" i="15"/>
  <c r="EO17" i="15" s="1"/>
  <c r="EN17" i="15"/>
  <c r="DM17" i="15"/>
  <c r="EV14" i="15"/>
  <c r="CK19" i="15"/>
  <c r="CH18" i="15"/>
  <c r="BF20" i="15"/>
  <c r="BO20" i="15" s="1"/>
  <c r="BH20" i="15"/>
  <c r="BQ20" i="15" s="1"/>
  <c r="BD19" i="15"/>
  <c r="BM19" i="15" s="1"/>
  <c r="BB19" i="15"/>
  <c r="BK19" i="15" s="1"/>
  <c r="DH18" i="15"/>
  <c r="CI19" i="15"/>
  <c r="CJ19" i="15" s="1"/>
  <c r="CR19" i="15" s="1"/>
  <c r="CF18" i="15"/>
  <c r="CG18" i="15" s="1"/>
  <c r="CQ18" i="15" s="1"/>
  <c r="BA19" i="15"/>
  <c r="BJ19" i="15" s="1"/>
  <c r="BC19" i="15"/>
  <c r="BL19" i="15" s="1"/>
  <c r="BW19" i="15" s="1"/>
  <c r="AT20" i="15"/>
  <c r="AX21" i="15"/>
  <c r="BE20" i="15"/>
  <c r="BN20" i="15" s="1"/>
  <c r="BG20" i="15"/>
  <c r="BP20" i="15" s="1"/>
  <c r="BX20" i="15" s="1"/>
  <c r="AJ20" i="5"/>
  <c r="AJ27" i="5"/>
  <c r="X27" i="5"/>
  <c r="Q28" i="5"/>
  <c r="Q32" i="5"/>
  <c r="BY19" i="15" l="1"/>
  <c r="EN18" i="15"/>
  <c r="DG18" i="15"/>
  <c r="EO18" i="15" s="1"/>
  <c r="EG17" i="15"/>
  <c r="EW14" i="15"/>
  <c r="EB18" i="15"/>
  <c r="CS18" i="15"/>
  <c r="CK20" i="15"/>
  <c r="CH19" i="15"/>
  <c r="BB20" i="15"/>
  <c r="BK20" i="15" s="1"/>
  <c r="BD20" i="15"/>
  <c r="BM20" i="15" s="1"/>
  <c r="BF21" i="15"/>
  <c r="BO21" i="15" s="1"/>
  <c r="BH21" i="15"/>
  <c r="BQ21" i="15" s="1"/>
  <c r="DH19" i="15"/>
  <c r="CI20" i="15"/>
  <c r="CJ20" i="15" s="1"/>
  <c r="CR20" i="15" s="1"/>
  <c r="CF19" i="15"/>
  <c r="CG19" i="15" s="1"/>
  <c r="CQ19" i="15" s="1"/>
  <c r="BA20" i="15"/>
  <c r="BJ20" i="15" s="1"/>
  <c r="BC20" i="15"/>
  <c r="BL20" i="15" s="1"/>
  <c r="BW20" i="15" s="1"/>
  <c r="AT21" i="15"/>
  <c r="AX22" i="15"/>
  <c r="BE21" i="15"/>
  <c r="BN21" i="15" s="1"/>
  <c r="BG21" i="15"/>
  <c r="BP21" i="15" s="1"/>
  <c r="BX21" i="15" s="1"/>
  <c r="W32" i="5"/>
  <c r="R32" i="5"/>
  <c r="W28" i="5"/>
  <c r="R28" i="5"/>
  <c r="Q29" i="5"/>
  <c r="EN19" i="15" l="1"/>
  <c r="DG19" i="15"/>
  <c r="EO19" i="15" s="1"/>
  <c r="EA18" i="15"/>
  <c r="EQ18" i="15" s="1"/>
  <c r="EP18" i="15"/>
  <c r="EB19" i="15"/>
  <c r="CS19" i="15"/>
  <c r="BY20" i="15"/>
  <c r="CK21" i="15"/>
  <c r="CH20" i="15"/>
  <c r="BH22" i="15"/>
  <c r="BQ22" i="15" s="1"/>
  <c r="BF22" i="15"/>
  <c r="BO22" i="15" s="1"/>
  <c r="DH20" i="15"/>
  <c r="BB21" i="15"/>
  <c r="BK21" i="15" s="1"/>
  <c r="BD21" i="15"/>
  <c r="BM21" i="15" s="1"/>
  <c r="CI21" i="15"/>
  <c r="CJ21" i="15" s="1"/>
  <c r="CR21" i="15" s="1"/>
  <c r="CF20" i="15"/>
  <c r="CG20" i="15" s="1"/>
  <c r="CQ20" i="15" s="1"/>
  <c r="EB20" i="15" s="1"/>
  <c r="BA21" i="15"/>
  <c r="BJ21" i="15" s="1"/>
  <c r="BC21" i="15"/>
  <c r="BL21" i="15" s="1"/>
  <c r="BW21" i="15" s="1"/>
  <c r="AT22" i="15"/>
  <c r="AX23" i="15"/>
  <c r="BE22" i="15"/>
  <c r="BN22" i="15" s="1"/>
  <c r="BG22" i="15"/>
  <c r="BP22" i="15" s="1"/>
  <c r="BX22" i="15" s="1"/>
  <c r="BZ22" i="15" s="1"/>
  <c r="X28" i="5"/>
  <c r="X32" i="5"/>
  <c r="AJ22" i="5"/>
  <c r="AJ28" i="5"/>
  <c r="AJ23" i="5"/>
  <c r="W29" i="5"/>
  <c r="AJ29" i="5" s="1"/>
  <c r="R29" i="5"/>
  <c r="Q30" i="5"/>
  <c r="EN20" i="15" l="1"/>
  <c r="DG20" i="15"/>
  <c r="EO20" i="15" s="1"/>
  <c r="EP19" i="15"/>
  <c r="EA19" i="15"/>
  <c r="EQ19" i="15" s="1"/>
  <c r="BY21" i="15"/>
  <c r="CK22" i="15"/>
  <c r="CH21" i="15"/>
  <c r="BH23" i="15"/>
  <c r="BQ23" i="15" s="1"/>
  <c r="BF23" i="15"/>
  <c r="BO23" i="15" s="1"/>
  <c r="BB22" i="15"/>
  <c r="BK22" i="15" s="1"/>
  <c r="BD22" i="15"/>
  <c r="BM22" i="15" s="1"/>
  <c r="DH21" i="15"/>
  <c r="CI22" i="15"/>
  <c r="CJ22" i="15" s="1"/>
  <c r="CR22" i="15" s="1"/>
  <c r="CF21" i="15"/>
  <c r="CG21" i="15" s="1"/>
  <c r="CQ21" i="15" s="1"/>
  <c r="EB21" i="15" s="1"/>
  <c r="BA22" i="15"/>
  <c r="BJ22" i="15" s="1"/>
  <c r="BC22" i="15"/>
  <c r="BL22" i="15" s="1"/>
  <c r="BW22" i="15" s="1"/>
  <c r="AT23" i="15"/>
  <c r="AX24" i="15"/>
  <c r="BE23" i="15"/>
  <c r="BN23" i="15" s="1"/>
  <c r="BG23" i="15"/>
  <c r="BP23" i="15" s="1"/>
  <c r="BX23" i="15" s="1"/>
  <c r="AJ24" i="5"/>
  <c r="X29" i="5"/>
  <c r="W30" i="5"/>
  <c r="AJ30" i="5" s="1"/>
  <c r="R30" i="5"/>
  <c r="DG21" i="15" l="1"/>
  <c r="EO21" i="15" s="1"/>
  <c r="EN21" i="15"/>
  <c r="CT22" i="15"/>
  <c r="CT27" i="15" s="1"/>
  <c r="BY22" i="15"/>
  <c r="CK23" i="15"/>
  <c r="CH22" i="15"/>
  <c r="BH24" i="15"/>
  <c r="BQ24" i="15" s="1"/>
  <c r="BF24" i="15"/>
  <c r="BO24" i="15" s="1"/>
  <c r="BB23" i="15"/>
  <c r="BK23" i="15" s="1"/>
  <c r="BD23" i="15"/>
  <c r="BM23" i="15" s="1"/>
  <c r="DH22" i="15"/>
  <c r="CI23" i="15"/>
  <c r="CJ23" i="15" s="1"/>
  <c r="CR23" i="15" s="1"/>
  <c r="CF22" i="15"/>
  <c r="CG22" i="15" s="1"/>
  <c r="CQ22" i="15" s="1"/>
  <c r="BA23" i="15"/>
  <c r="BJ23" i="15" s="1"/>
  <c r="BC23" i="15"/>
  <c r="BL23" i="15" s="1"/>
  <c r="BW23" i="15" s="1"/>
  <c r="AT24" i="15"/>
  <c r="AX25" i="15"/>
  <c r="BE24" i="15"/>
  <c r="BN24" i="15" s="1"/>
  <c r="BG24" i="15"/>
  <c r="BP24" i="15" s="1"/>
  <c r="BX24" i="15" s="1"/>
  <c r="AJ26" i="5"/>
  <c r="AJ32" i="5"/>
  <c r="AN6" i="5" s="1" a="1"/>
  <c r="X30" i="5"/>
  <c r="DK10" i="15" l="1"/>
  <c r="EV9" i="15" s="1"/>
  <c r="EN22" i="15"/>
  <c r="DG22" i="15"/>
  <c r="EO22" i="15" s="1"/>
  <c r="EB22" i="15"/>
  <c r="CS22" i="15"/>
  <c r="BY23" i="15"/>
  <c r="CK24" i="15"/>
  <c r="CH23" i="15"/>
  <c r="BH25" i="15"/>
  <c r="BQ25" i="15" s="1"/>
  <c r="BF25" i="15"/>
  <c r="BO25" i="15" s="1"/>
  <c r="BD24" i="15"/>
  <c r="BM24" i="15" s="1"/>
  <c r="BB24" i="15"/>
  <c r="BK24" i="15" s="1"/>
  <c r="DH23" i="15"/>
  <c r="CI24" i="15"/>
  <c r="CJ24" i="15" s="1"/>
  <c r="CR24" i="15" s="1"/>
  <c r="CF23" i="15"/>
  <c r="CG23" i="15" s="1"/>
  <c r="CQ23" i="15" s="1"/>
  <c r="EB23" i="15" s="1"/>
  <c r="BA24" i="15"/>
  <c r="BJ24" i="15" s="1"/>
  <c r="BC24" i="15"/>
  <c r="BL24" i="15" s="1"/>
  <c r="BW24" i="15" s="1"/>
  <c r="AT25" i="15"/>
  <c r="BE25" i="15"/>
  <c r="BN25" i="15" s="1"/>
  <c r="BG25" i="15"/>
  <c r="BP25" i="15" s="1"/>
  <c r="BX25" i="15" s="1"/>
  <c r="AO6" i="5"/>
  <c r="AN9" i="5"/>
  <c r="AN6" i="5"/>
  <c r="AR26" i="5" s="1"/>
  <c r="AT26" i="5" s="1"/>
  <c r="AO8" i="5"/>
  <c r="AN7" i="5"/>
  <c r="AO9" i="5"/>
  <c r="AN10" i="5"/>
  <c r="AO7" i="5"/>
  <c r="AN8" i="5"/>
  <c r="AO10" i="5"/>
  <c r="AR7" i="5"/>
  <c r="AT7" i="5" s="1"/>
  <c r="EN23" i="15" l="1"/>
  <c r="DG23" i="15"/>
  <c r="EO23" i="15" s="1"/>
  <c r="EE10" i="15"/>
  <c r="EW9" i="15" s="1"/>
  <c r="EP22" i="15"/>
  <c r="EA22" i="15"/>
  <c r="EQ22" i="15" s="1"/>
  <c r="BY24" i="15"/>
  <c r="BX27" i="15"/>
  <c r="BX30" i="15" s="1"/>
  <c r="BZ25" i="15"/>
  <c r="CH24" i="15"/>
  <c r="CK25" i="15"/>
  <c r="BB25" i="15"/>
  <c r="BK25" i="15" s="1"/>
  <c r="BD25" i="15"/>
  <c r="BM25" i="15" s="1"/>
  <c r="DH24" i="15"/>
  <c r="CI25" i="15"/>
  <c r="CJ25" i="15" s="1"/>
  <c r="CF24" i="15"/>
  <c r="CG24" i="15" s="1"/>
  <c r="CQ24" i="15" s="1"/>
  <c r="EB24" i="15" s="1"/>
  <c r="BA25" i="15"/>
  <c r="BJ25" i="15" s="1"/>
  <c r="BC25" i="15"/>
  <c r="BL25" i="15" s="1"/>
  <c r="BW25" i="15" s="1"/>
  <c r="AR30" i="5"/>
  <c r="AT30" i="5" s="1"/>
  <c r="AR15" i="5"/>
  <c r="AT15" i="5" s="1"/>
  <c r="AR17" i="5"/>
  <c r="AT17" i="5" s="1"/>
  <c r="AR14" i="5"/>
  <c r="AT14" i="5" s="1"/>
  <c r="AR6" i="5"/>
  <c r="AT6" i="5" s="1"/>
  <c r="AR4" i="5"/>
  <c r="AT4" i="5" s="1"/>
  <c r="AR8" i="5"/>
  <c r="AT8" i="5" s="1"/>
  <c r="AR20" i="5"/>
  <c r="AT20" i="5" s="1"/>
  <c r="AR24" i="5"/>
  <c r="AT24" i="5" s="1"/>
  <c r="AR11" i="5"/>
  <c r="AT11" i="5" s="1"/>
  <c r="AR32" i="5"/>
  <c r="AT32" i="5" s="1"/>
  <c r="AR35" i="5"/>
  <c r="AT35" i="5" s="1"/>
  <c r="AR34" i="5"/>
  <c r="AT34" i="5" s="1"/>
  <c r="AR36" i="5"/>
  <c r="AT36" i="5" s="1"/>
  <c r="AR33" i="5"/>
  <c r="AT33" i="5" s="1"/>
  <c r="AR12" i="5"/>
  <c r="AT12" i="5" s="1"/>
  <c r="AR22" i="5"/>
  <c r="AT22" i="5" s="1"/>
  <c r="AR27" i="5"/>
  <c r="AT27" i="5" s="1"/>
  <c r="AR13" i="5"/>
  <c r="AT13" i="5" s="1"/>
  <c r="AR18" i="5"/>
  <c r="AT18" i="5" s="1"/>
  <c r="AR19" i="5"/>
  <c r="AT19" i="5" s="1"/>
  <c r="AR5" i="5"/>
  <c r="AT5" i="5" s="1"/>
  <c r="AR16" i="5"/>
  <c r="AT16" i="5" s="1"/>
  <c r="AR28" i="5"/>
  <c r="AT28" i="5" s="1"/>
  <c r="AR9" i="5"/>
  <c r="AT9" i="5" s="1"/>
  <c r="AR21" i="5"/>
  <c r="AT21" i="5" s="1"/>
  <c r="AR31" i="5"/>
  <c r="AT31" i="5" s="1"/>
  <c r="AR10" i="5"/>
  <c r="AT10" i="5" s="1"/>
  <c r="AR25" i="5"/>
  <c r="AT25" i="5" s="1"/>
  <c r="AR29" i="5"/>
  <c r="AT29" i="5" s="1"/>
  <c r="AR23" i="5"/>
  <c r="AT23" i="5" s="1"/>
  <c r="DK7" i="15" l="1"/>
  <c r="EV7" i="15" s="1"/>
  <c r="DG24" i="15"/>
  <c r="EO24" i="15" s="1"/>
  <c r="EN24" i="15"/>
  <c r="BY25" i="15"/>
  <c r="BY27" i="15" s="1"/>
  <c r="BZ27" i="15"/>
  <c r="BZ30" i="15" s="1"/>
  <c r="CH25" i="15"/>
  <c r="BW27" i="15"/>
  <c r="BW30" i="15" s="1"/>
  <c r="DH25" i="15"/>
  <c r="CJ27" i="15"/>
  <c r="CJ30" i="15" s="1"/>
  <c r="CR25" i="15"/>
  <c r="CR27" i="15" s="1"/>
  <c r="CR30" i="15" s="1"/>
  <c r="CT30" i="15" s="1"/>
  <c r="CF25" i="15"/>
  <c r="CG25" i="15" s="1"/>
  <c r="DK17" i="15" l="1"/>
  <c r="EV15" i="15" s="1"/>
  <c r="EN25" i="15"/>
  <c r="DG25" i="15"/>
  <c r="EO25" i="15" s="1"/>
  <c r="BY30" i="15"/>
  <c r="DH13" i="15"/>
  <c r="DK22" i="15"/>
  <c r="CG27" i="15"/>
  <c r="CG30" i="15" s="1"/>
  <c r="CQ25" i="15"/>
  <c r="CS25" i="15" s="1"/>
  <c r="CS27" i="15" s="1"/>
  <c r="DK19" i="15" l="1"/>
  <c r="EV16" i="15" s="1"/>
  <c r="CQ27" i="15"/>
  <c r="CQ30" i="15" s="1"/>
  <c r="CS30" i="15" s="1"/>
  <c r="EB25" i="15"/>
  <c r="EE17" i="15" l="1"/>
  <c r="EW15" i="15" s="1"/>
  <c r="EA25" i="15"/>
  <c r="EQ25" i="15" s="1"/>
  <c r="EP25" i="15"/>
  <c r="EB13" i="15" l="1"/>
  <c r="EE19" i="15"/>
  <c r="EE22" i="15" l="1"/>
  <c r="EW16" i="15"/>
</calcChain>
</file>

<file path=xl/sharedStrings.xml><?xml version="1.0" encoding="utf-8"?>
<sst xmlns="http://schemas.openxmlformats.org/spreadsheetml/2006/main" count="883" uniqueCount="306">
  <si>
    <t>isotope</t>
  </si>
  <si>
    <t>literature energy /keV</t>
  </si>
  <si>
    <t>uncertainty</t>
  </si>
  <si>
    <t>mean /keV</t>
  </si>
  <si>
    <t>standard deviation</t>
  </si>
  <si>
    <t>amplitude</t>
  </si>
  <si>
    <t>Na22</t>
  </si>
  <si>
    <t>Co60</t>
  </si>
  <si>
    <t>Cs137</t>
  </si>
  <si>
    <t>photons per 100 disintegrations</t>
  </si>
  <si>
    <t>m</t>
  </si>
  <si>
    <t>c</t>
  </si>
  <si>
    <t>mx + c</t>
  </si>
  <si>
    <t>residual</t>
  </si>
  <si>
    <t>Eu152</t>
  </si>
  <si>
    <t>peak</t>
  </si>
  <si>
    <t>Energy Calibration =</t>
  </si>
  <si>
    <t>unc</t>
  </si>
  <si>
    <t>r^2</t>
  </si>
  <si>
    <t>0.99916(12) x - 0.45(12)</t>
  </si>
  <si>
    <t>Isotope Energy (keV)    Branching ratio (%)</t>
  </si>
  <si>
    <t>212Pb   238.63  43.60</t>
  </si>
  <si>
    <t>212Pb   300.09  3.30</t>
  </si>
  <si>
    <t>214Pb   242.00  7.25</t>
  </si>
  <si>
    <t>214Pb   295.22  18.42</t>
  </si>
  <si>
    <t>214Pb   351.93  35.60</t>
  </si>
  <si>
    <t>212Bi   727.33  6.67</t>
  </si>
  <si>
    <t>212Bi   785.37  1.10</t>
  </si>
  <si>
    <t>212Bi   1620.50 1.47</t>
  </si>
  <si>
    <t>214Bi   609.32  45.49</t>
  </si>
  <si>
    <t>214Bi   1120.29 14.92</t>
  </si>
  <si>
    <t>214Bi   1764.49 15.30</t>
  </si>
  <si>
    <t>234Th   63.29   3.70</t>
  </si>
  <si>
    <t>234Th   92.38   2.13</t>
  </si>
  <si>
    <t>234Th   92.80   2.10</t>
  </si>
  <si>
    <t>208Tl   583.19  85.00</t>
  </si>
  <si>
    <t>208Tl   860.56  12.50</t>
  </si>
  <si>
    <t>208Tl   2614.51 99.75</t>
  </si>
  <si>
    <t>228Ac   338.32  11.27</t>
  </si>
  <si>
    <t>228Ac   911.20  25.80</t>
  </si>
  <si>
    <t>228Ac   968.97  15.80</t>
  </si>
  <si>
    <t>Bq</t>
  </si>
  <si>
    <t>Year</t>
  </si>
  <si>
    <t>kBq</t>
  </si>
  <si>
    <t>Current Activity/kBq</t>
  </si>
  <si>
    <t>Half Life/y</t>
  </si>
  <si>
    <t>mean</t>
  </si>
  <si>
    <t>Th234</t>
  </si>
  <si>
    <t>Bi214</t>
  </si>
  <si>
    <t>Tl208</t>
  </si>
  <si>
    <t>Pb-212</t>
  </si>
  <si>
    <t>Pb-214</t>
  </si>
  <si>
    <t>Bi-214</t>
  </si>
  <si>
    <t>current activity /kBq</t>
  </si>
  <si>
    <t>expected area</t>
  </si>
  <si>
    <t>measured area</t>
  </si>
  <si>
    <t>ratio</t>
  </si>
  <si>
    <t>a</t>
  </si>
  <si>
    <t>b</t>
  </si>
  <si>
    <t>x</t>
  </si>
  <si>
    <t>fit</t>
  </si>
  <si>
    <t>y</t>
  </si>
  <si>
    <t>1/x</t>
  </si>
  <si>
    <t>https://www.nndc.bnl.gov/nudat2/</t>
  </si>
  <si>
    <t>unc (in all 3 (min dp calc'd to))</t>
  </si>
  <si>
    <t>days</t>
  </si>
  <si>
    <t>X-Rays</t>
  </si>
  <si>
    <t>energy/keV</t>
  </si>
  <si>
    <t>branching</t>
  </si>
  <si>
    <t>weighted average energy</t>
  </si>
  <si>
    <t>std dev</t>
  </si>
  <si>
    <t>amp</t>
  </si>
  <si>
    <t>energy corrected</t>
  </si>
  <si>
    <t>Pb214</t>
  </si>
  <si>
    <t>Pb212</t>
  </si>
  <si>
    <t>K40</t>
  </si>
  <si>
    <t>seen? (glenkinchie)</t>
  </si>
  <si>
    <t>e-p</t>
  </si>
  <si>
    <t>Ac228</t>
  </si>
  <si>
    <t>area</t>
  </si>
  <si>
    <t>background area</t>
  </si>
  <si>
    <t>difference</t>
  </si>
  <si>
    <t>https://en.wikipedia.org/wiki/File:Decay_Chain_Thorium.svg</t>
  </si>
  <si>
    <t>https://en.wikipedia.org/wiki/File:Decay_chain(4n%2B2,_Uranium_series).svg</t>
  </si>
  <si>
    <t>Uranium Series</t>
  </si>
  <si>
    <t>Th-234</t>
  </si>
  <si>
    <t>Ra-226</t>
  </si>
  <si>
    <t>Tl-210</t>
  </si>
  <si>
    <t>isotopes with gamma emissions of note</t>
  </si>
  <si>
    <t>Pb-210</t>
  </si>
  <si>
    <t>single very low energy</t>
  </si>
  <si>
    <t>Hg-206</t>
  </si>
  <si>
    <t>Thorium Series</t>
  </si>
  <si>
    <t>Ac-228</t>
  </si>
  <si>
    <t>Ra-224</t>
  </si>
  <si>
    <t>(&gt;40keV)</t>
  </si>
  <si>
    <t>(&gt;P/100=1)</t>
  </si>
  <si>
    <t>Bi-212</t>
  </si>
  <si>
    <t>(just)</t>
  </si>
  <si>
    <t>Tl-208</t>
  </si>
  <si>
    <t>Ra226</t>
  </si>
  <si>
    <t>fit line x</t>
  </si>
  <si>
    <t>fit line y</t>
  </si>
  <si>
    <t>Ba133</t>
  </si>
  <si>
    <t>Ba-133</t>
  </si>
  <si>
    <t>missing?</t>
  </si>
  <si>
    <t>~160</t>
  </si>
  <si>
    <t>~220</t>
  </si>
  <si>
    <t>there are others that aren't relevant to this</t>
  </si>
  <si>
    <t>Bi207</t>
  </si>
  <si>
    <t>MORE</t>
  </si>
  <si>
    <t>PEAKS</t>
  </si>
  <si>
    <t>ARE</t>
  </si>
  <si>
    <t>IN</t>
  </si>
  <si>
    <t>OUTPUT</t>
  </si>
  <si>
    <t>FILE</t>
  </si>
  <si>
    <t>Ba133-1</t>
  </si>
  <si>
    <t>Co60-1</t>
  </si>
  <si>
    <t>Bi207-2</t>
  </si>
  <si>
    <t>foil</t>
  </si>
  <si>
    <t>approx by eye</t>
  </si>
  <si>
    <t>tiny</t>
  </si>
  <si>
    <t>maybe???</t>
  </si>
  <si>
    <t>Pb210</t>
  </si>
  <si>
    <t>?</t>
  </si>
  <si>
    <t>Ti44</t>
  </si>
  <si>
    <t>Sc44</t>
  </si>
  <si>
    <t>Ti44/additon of Ti44</t>
  </si>
  <si>
    <t>Sc44 + e-p</t>
  </si>
  <si>
    <t>Sc44 + Sc44?</t>
  </si>
  <si>
    <t>Tl208 - e-p?</t>
  </si>
  <si>
    <t>Am241</t>
  </si>
  <si>
    <t>Am241-2</t>
  </si>
  <si>
    <t>z</t>
  </si>
  <si>
    <t>r</t>
  </si>
  <si>
    <t>z/mm</t>
  </si>
  <si>
    <t>r/mm</t>
  </si>
  <si>
    <t>1x1</t>
  </si>
  <si>
    <t>2x2</t>
  </si>
  <si>
    <t>3x3</t>
  </si>
  <si>
    <t>4x4</t>
  </si>
  <si>
    <t>5x5</t>
  </si>
  <si>
    <t>6x6</t>
  </si>
  <si>
    <t>2x1</t>
  </si>
  <si>
    <t>3x1</t>
  </si>
  <si>
    <t>4x1</t>
  </si>
  <si>
    <t>5x1</t>
  </si>
  <si>
    <t>6x1</t>
  </si>
  <si>
    <t>area 1</t>
  </si>
  <si>
    <t>area 2</t>
  </si>
  <si>
    <t>norm 1</t>
  </si>
  <si>
    <t>norm 2</t>
  </si>
  <si>
    <t>1x2</t>
  </si>
  <si>
    <t>3x2</t>
  </si>
  <si>
    <t>4x2</t>
  </si>
  <si>
    <t>5x2</t>
  </si>
  <si>
    <t>6x2</t>
  </si>
  <si>
    <t>1x3</t>
  </si>
  <si>
    <t>2x3</t>
  </si>
  <si>
    <t>4x3</t>
  </si>
  <si>
    <t>5x3</t>
  </si>
  <si>
    <t>6x3</t>
  </si>
  <si>
    <t>1x4</t>
  </si>
  <si>
    <t>2x4</t>
  </si>
  <si>
    <t>3x4</t>
  </si>
  <si>
    <t>5x4</t>
  </si>
  <si>
    <t>6x4</t>
  </si>
  <si>
    <t>1x5</t>
  </si>
  <si>
    <t>2x5</t>
  </si>
  <si>
    <t>3x5</t>
  </si>
  <si>
    <t>4x5</t>
  </si>
  <si>
    <t>6x5</t>
  </si>
  <si>
    <t>1x6</t>
  </si>
  <si>
    <t>2x6</t>
  </si>
  <si>
    <t>3x6</t>
  </si>
  <si>
    <t>4x6</t>
  </si>
  <si>
    <t>5x6</t>
  </si>
  <si>
    <t>norm av</t>
  </si>
  <si>
    <t>glenkinchie</t>
  </si>
  <si>
    <t>???</t>
  </si>
  <si>
    <t>highland park</t>
  </si>
  <si>
    <t>70cl</t>
  </si>
  <si>
    <t>both</t>
  </si>
  <si>
    <t>Bi212???</t>
  </si>
  <si>
    <t>fits</t>
  </si>
  <si>
    <t>y0</t>
  </si>
  <si>
    <t>y1</t>
  </si>
  <si>
    <t>y2</t>
  </si>
  <si>
    <t>y3</t>
  </si>
  <si>
    <t>y4</t>
  </si>
  <si>
    <t>y5</t>
  </si>
  <si>
    <t>energy efficiency</t>
  </si>
  <si>
    <t>en_eff_corrected</t>
  </si>
  <si>
    <t>geometrical efficiency</t>
  </si>
  <si>
    <t>Bq/cm^3</t>
  </si>
  <si>
    <t>Bq/kg</t>
  </si>
  <si>
    <t>y15</t>
  </si>
  <si>
    <t>y25</t>
  </si>
  <si>
    <t>y35</t>
  </si>
  <si>
    <t>y45</t>
  </si>
  <si>
    <t>y55</t>
  </si>
  <si>
    <t>y65</t>
  </si>
  <si>
    <t>detector r/mm</t>
  </si>
  <si>
    <t>param</t>
  </si>
  <si>
    <t>Isotope</t>
  </si>
  <si>
    <t>HighlandPark</t>
  </si>
  <si>
    <t>HighlandParkBottle</t>
  </si>
  <si>
    <t>HighlandParkWhisky</t>
  </si>
  <si>
    <t>PolyethyleneBottle</t>
  </si>
  <si>
    <t>Whisky</t>
  </si>
  <si>
    <t>Bi212</t>
  </si>
  <si>
    <t>Th-228</t>
  </si>
  <si>
    <t>Background</t>
  </si>
  <si>
    <t>Th232</t>
  </si>
  <si>
    <t>Ra224</t>
  </si>
  <si>
    <t>Energy Efficiency</t>
  </si>
  <si>
    <t>Peak Max</t>
  </si>
  <si>
    <t>y = a/(x^d) - c/(x^b)</t>
  </si>
  <si>
    <t>d</t>
  </si>
  <si>
    <t>time/s</t>
  </si>
  <si>
    <t>corrected energy</t>
  </si>
  <si>
    <t>cm^-1</t>
  </si>
  <si>
    <t>CH5OH</t>
  </si>
  <si>
    <t>H2O</t>
  </si>
  <si>
    <t>%</t>
  </si>
  <si>
    <t>Density</t>
  </si>
  <si>
    <t>HP whisky attenuation</t>
  </si>
  <si>
    <t>HP bottle attenuation</t>
  </si>
  <si>
    <t>Polyethylene bottle attenuation</t>
  </si>
  <si>
    <t>SiO2</t>
  </si>
  <si>
    <t>Na2O</t>
  </si>
  <si>
    <t>CaO</t>
  </si>
  <si>
    <t>Al2O3</t>
  </si>
  <si>
    <t>K2O</t>
  </si>
  <si>
    <t>MgO</t>
  </si>
  <si>
    <t>Fe2O3</t>
  </si>
  <si>
    <t>TiO2</t>
  </si>
  <si>
    <t>SO3</t>
  </si>
  <si>
    <t>https://en.wikipedia.org/wiki/Soda%E2%80%93lime_glass</t>
  </si>
  <si>
    <t>density</t>
  </si>
  <si>
    <t>g/cm^3</t>
  </si>
  <si>
    <t>cm^2 g^-1</t>
  </si>
  <si>
    <t>HP Bottle thickness</t>
  </si>
  <si>
    <t>Whisky thickness</t>
  </si>
  <si>
    <t>LDPE tickness</t>
  </si>
  <si>
    <t>cm</t>
  </si>
  <si>
    <t>Attenuated Background</t>
  </si>
  <si>
    <t>Background Subtracted</t>
  </si>
  <si>
    <t>h1</t>
  </si>
  <si>
    <t>h2</t>
  </si>
  <si>
    <t>disk</t>
  </si>
  <si>
    <t>rho/inch</t>
  </si>
  <si>
    <t>h</t>
  </si>
  <si>
    <t>mm</t>
  </si>
  <si>
    <t>inch</t>
  </si>
  <si>
    <t>cylinder h1</t>
  </si>
  <si>
    <t>cylinder h2</t>
  </si>
  <si>
    <t>r_corr</t>
  </si>
  <si>
    <t>z_corr</t>
  </si>
  <si>
    <t>h1_corr</t>
  </si>
  <si>
    <t>h2_corr</t>
  </si>
  <si>
    <t>h_corr</t>
  </si>
  <si>
    <t>total</t>
  </si>
  <si>
    <t>z = 0.7</t>
  </si>
  <si>
    <t>h2 = 0.7</t>
  </si>
  <si>
    <t>h1 = 1.8</t>
  </si>
  <si>
    <t>GeoEff and Attenuation</t>
  </si>
  <si>
    <t>kg</t>
  </si>
  <si>
    <t>Final Values of Bottles (Bq)</t>
  </si>
  <si>
    <t>Uncorrected Values of Whisky (Bq)</t>
  </si>
  <si>
    <t>Final Values of Whisky(Bq)</t>
  </si>
  <si>
    <t>Branching Ratio</t>
  </si>
  <si>
    <t>Total Activity of Each peak corrected for branching ratio</t>
  </si>
  <si>
    <t>in bottle/Bq</t>
  </si>
  <si>
    <t>hmm…</t>
  </si>
  <si>
    <t>K-40</t>
  </si>
  <si>
    <t>35.93(7)%</t>
  </si>
  <si>
    <t>B.R.</t>
  </si>
  <si>
    <t>expected</t>
  </si>
  <si>
    <t>Th-232</t>
  </si>
  <si>
    <t>not very much</t>
  </si>
  <si>
    <t>WHISKY BOTTLE</t>
  </si>
  <si>
    <t>WHISKY</t>
  </si>
  <si>
    <t>much more</t>
  </si>
  <si>
    <t>oddly high</t>
  </si>
  <si>
    <t>next to nothing</t>
  </si>
  <si>
    <t>https://www.osti.gov/servlets/purl/4331753</t>
  </si>
  <si>
    <t>The nuclear weapons archive</t>
  </si>
  <si>
    <t>https://www.nndc.bnl.gov/nudat2/reCenter.jsp?z=81&amp;n=119</t>
  </si>
  <si>
    <t>http://www.nucleide.org/Laraweb/index.php</t>
  </si>
  <si>
    <t>http://www.nucleide.org/DDEP_WG/DDEPdata.htm</t>
  </si>
  <si>
    <t>max</t>
  </si>
  <si>
    <t>min</t>
  </si>
  <si>
    <t>Peak Energy/keV</t>
  </si>
  <si>
    <t>Isotopes Present</t>
  </si>
  <si>
    <t>Th234, Th232</t>
  </si>
  <si>
    <t>Pb214, Pb212</t>
  </si>
  <si>
    <t>Pb212, Ra224, Pb214</t>
  </si>
  <si>
    <t>e-p, Tl208</t>
  </si>
  <si>
    <t>Peak Activity/Bq</t>
  </si>
  <si>
    <t>Uncertainty</t>
  </si>
  <si>
    <t>Glass Bottle</t>
  </si>
  <si>
    <t>Total Activity/Bq</t>
  </si>
  <si>
    <t>Decay Chain</t>
  </si>
  <si>
    <t>No outright result as e-p has no branching ratio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</si>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</sst>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0" fontId="2" fillId="0" borderId="0" xfId="1"/>
    <xf numFmtId="0" fontId="0" fillId="0" borderId="0" xfId="0" applyFont="1"/>
    <xf numFmtId="0" fontId="0" fillId="0" borderId="1" xfId="0" applyBorder="1"/>
    <xf numFmtId="0" fontId="0" fillId="0" borderId="0" xfId="0" applyAlignment="1"/>
    <xf numFmtId="0" fontId="0" fillId="0" borderId="0" xfId="0" applyNumberFormat="1"/>
    <xf numFmtId="165" fontId="0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quotePrefix="1"/>
    <xf numFmtId="0" fontId="0" fillId="0" borderId="2" xfId="0" applyFont="1" applyBorder="1"/>
    <xf numFmtId="164" fontId="0" fillId="0" borderId="0" xfId="0" applyNumberFormat="1" applyFont="1"/>
    <xf numFmtId="0" fontId="4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" fontId="0" fillId="0" borderId="1" xfId="0" applyNumberFormat="1" applyBorder="1"/>
    <xf numFmtId="0" fontId="0" fillId="0" borderId="7" xfId="0" applyBorder="1"/>
    <xf numFmtId="0" fontId="4" fillId="0" borderId="6" xfId="0" applyFont="1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2" fontId="4" fillId="0" borderId="9" xfId="0" applyNumberFormat="1" applyFont="1" applyBorder="1"/>
    <xf numFmtId="2" fontId="4" fillId="2" borderId="9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2" fontId="5" fillId="0" borderId="9" xfId="0" applyNumberFormat="1" applyFont="1" applyBorder="1"/>
    <xf numFmtId="2" fontId="5" fillId="0" borderId="1" xfId="0" applyNumberFormat="1" applyFont="1" applyBorder="1"/>
    <xf numFmtId="2" fontId="5" fillId="0" borderId="0" xfId="0" applyNumberFormat="1" applyFont="1"/>
    <xf numFmtId="2" fontId="0" fillId="0" borderId="2" xfId="0" applyNumberFormat="1" applyBorder="1"/>
    <xf numFmtId="2" fontId="0" fillId="0" borderId="10" xfId="0" applyNumberFormat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Measured</a:t>
            </a:r>
            <a:r>
              <a:rPr lang="en-GB" baseline="0"/>
              <a:t> Energy vs Literature Energy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'Energy Calibration'!$F$4:$F$25</c:f>
                <c:numCache>
                  <c:formatCode>General</c:formatCode>
                  <c:ptCount val="22"/>
                  <c:pt idx="0">
                    <c:v>0</c:v>
                  </c:pt>
                  <c:pt idx="1">
                    <c:v>7.0000000000000001E-3</c:v>
                  </c:pt>
                  <c:pt idx="2">
                    <c:v>7.0000000000000001E-3</c:v>
                  </c:pt>
                  <c:pt idx="3">
                    <c:v>3.0000000000000001E-3</c:v>
                  </c:pt>
                  <c:pt idx="4">
                    <c:v>4.0000000000000001E-3</c:v>
                  </c:pt>
                  <c:pt idx="5">
                    <c:v>3.0000000000000001E-3</c:v>
                  </c:pt>
                  <c:pt idx="6">
                    <c:v>2.9999999999999997E-4</c:v>
                  </c:pt>
                  <c:pt idx="7">
                    <c:v>8.0000000000000004E-4</c:v>
                  </c:pt>
                  <c:pt idx="8">
                    <c:v>1.1999999999999999E-3</c:v>
                  </c:pt>
                  <c:pt idx="9">
                    <c:v>2E-3</c:v>
                  </c:pt>
                  <c:pt idx="10">
                    <c:v>1.1999999999999999E-3</c:v>
                  </c:pt>
                  <c:pt idx="11">
                    <c:v>3.0000000000000001E-3</c:v>
                  </c:pt>
                  <c:pt idx="12">
                    <c:v>5.0000000000000001E-3</c:v>
                  </c:pt>
                  <c:pt idx="13">
                    <c:v>2.3999999999999998E-3</c:v>
                  </c:pt>
                  <c:pt idx="14">
                    <c:v>3.0000000000000001E-3</c:v>
                  </c:pt>
                  <c:pt idx="15">
                    <c:v>1.7999999999999999E-2</c:v>
                  </c:pt>
                  <c:pt idx="16">
                    <c:v>1.7000000000000001E-2</c:v>
                  </c:pt>
                  <c:pt idx="17">
                    <c:v>0.01</c:v>
                  </c:pt>
                  <c:pt idx="18">
                    <c:v>3.0000000000000001E-3</c:v>
                  </c:pt>
                  <c:pt idx="19">
                    <c:v>1.0999999999999999E-2</c:v>
                  </c:pt>
                  <c:pt idx="20">
                    <c:v>8.0000000000000002E-3</c:v>
                  </c:pt>
                  <c:pt idx="21">
                    <c:v>3.0000000000000001E-3</c:v>
                  </c:pt>
                </c:numCache>
              </c:numRef>
            </c:plus>
            <c:minus>
              <c:numRef>
                <c:f>'Energy Calibration'!$F$4:$F$25</c:f>
                <c:numCache>
                  <c:formatCode>General</c:formatCode>
                  <c:ptCount val="22"/>
                  <c:pt idx="0">
                    <c:v>0</c:v>
                  </c:pt>
                  <c:pt idx="1">
                    <c:v>7.0000000000000001E-3</c:v>
                  </c:pt>
                  <c:pt idx="2">
                    <c:v>7.0000000000000001E-3</c:v>
                  </c:pt>
                  <c:pt idx="3">
                    <c:v>3.0000000000000001E-3</c:v>
                  </c:pt>
                  <c:pt idx="4">
                    <c:v>4.0000000000000001E-3</c:v>
                  </c:pt>
                  <c:pt idx="5">
                    <c:v>3.0000000000000001E-3</c:v>
                  </c:pt>
                  <c:pt idx="6">
                    <c:v>2.9999999999999997E-4</c:v>
                  </c:pt>
                  <c:pt idx="7">
                    <c:v>8.0000000000000004E-4</c:v>
                  </c:pt>
                  <c:pt idx="8">
                    <c:v>1.1999999999999999E-3</c:v>
                  </c:pt>
                  <c:pt idx="9">
                    <c:v>2E-3</c:v>
                  </c:pt>
                  <c:pt idx="10">
                    <c:v>1.1999999999999999E-3</c:v>
                  </c:pt>
                  <c:pt idx="11">
                    <c:v>3.0000000000000001E-3</c:v>
                  </c:pt>
                  <c:pt idx="12">
                    <c:v>5.0000000000000001E-3</c:v>
                  </c:pt>
                  <c:pt idx="13">
                    <c:v>2.3999999999999998E-3</c:v>
                  </c:pt>
                  <c:pt idx="14">
                    <c:v>3.0000000000000001E-3</c:v>
                  </c:pt>
                  <c:pt idx="15">
                    <c:v>1.7999999999999999E-2</c:v>
                  </c:pt>
                  <c:pt idx="16">
                    <c:v>1.7000000000000001E-2</c:v>
                  </c:pt>
                  <c:pt idx="17">
                    <c:v>0.01</c:v>
                  </c:pt>
                  <c:pt idx="18">
                    <c:v>3.0000000000000001E-3</c:v>
                  </c:pt>
                  <c:pt idx="19">
                    <c:v>1.0999999999999999E-2</c:v>
                  </c:pt>
                  <c:pt idx="20">
                    <c:v>8.0000000000000002E-3</c:v>
                  </c:pt>
                  <c:pt idx="21">
                    <c:v>3.0000000000000001E-3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'Energy Calibration'!$K$4:$K$25</c:f>
                <c:numCache>
                  <c:formatCode>General</c:formatCode>
                  <c:ptCount val="22"/>
                  <c:pt idx="0">
                    <c:v>1.7150000000000001</c:v>
                  </c:pt>
                  <c:pt idx="1">
                    <c:v>1.5209999999999999</c:v>
                  </c:pt>
                  <c:pt idx="2">
                    <c:v>2.09</c:v>
                  </c:pt>
                  <c:pt idx="3">
                    <c:v>1.43</c:v>
                  </c:pt>
                  <c:pt idx="4">
                    <c:v>1.47</c:v>
                  </c:pt>
                  <c:pt idx="5">
                    <c:v>1.2649999999999999</c:v>
                  </c:pt>
                  <c:pt idx="6">
                    <c:v>1.131</c:v>
                  </c:pt>
                  <c:pt idx="7">
                    <c:v>1.163</c:v>
                  </c:pt>
                  <c:pt idx="8">
                    <c:v>1.1859999999999999</c:v>
                  </c:pt>
                  <c:pt idx="9">
                    <c:v>1.4319999999999999</c:v>
                  </c:pt>
                  <c:pt idx="10">
                    <c:v>1.232</c:v>
                  </c:pt>
                  <c:pt idx="11">
                    <c:v>1.23</c:v>
                  </c:pt>
                  <c:pt idx="12">
                    <c:v>1.1000000000000001</c:v>
                  </c:pt>
                  <c:pt idx="13">
                    <c:v>1.306</c:v>
                  </c:pt>
                  <c:pt idx="14">
                    <c:v>1.353</c:v>
                  </c:pt>
                  <c:pt idx="15">
                    <c:v>1.4239999999999999</c:v>
                  </c:pt>
                  <c:pt idx="16">
                    <c:v>1.41</c:v>
                  </c:pt>
                  <c:pt idx="17">
                    <c:v>1.653</c:v>
                  </c:pt>
                  <c:pt idx="18">
                    <c:v>1.4450000000000001</c:v>
                  </c:pt>
                  <c:pt idx="19">
                    <c:v>1.31</c:v>
                  </c:pt>
                  <c:pt idx="20">
                    <c:v>1.54</c:v>
                  </c:pt>
                  <c:pt idx="21">
                    <c:v>1.5940000000000001</c:v>
                  </c:pt>
                </c:numCache>
              </c:numRef>
            </c:plus>
            <c:minus>
              <c:numRef>
                <c:f>'Energy Calibration'!$K$4:$K$25</c:f>
                <c:numCache>
                  <c:formatCode>General</c:formatCode>
                  <c:ptCount val="22"/>
                  <c:pt idx="0">
                    <c:v>1.7150000000000001</c:v>
                  </c:pt>
                  <c:pt idx="1">
                    <c:v>1.5209999999999999</c:v>
                  </c:pt>
                  <c:pt idx="2">
                    <c:v>2.09</c:v>
                  </c:pt>
                  <c:pt idx="3">
                    <c:v>1.43</c:v>
                  </c:pt>
                  <c:pt idx="4">
                    <c:v>1.47</c:v>
                  </c:pt>
                  <c:pt idx="5">
                    <c:v>1.2649999999999999</c:v>
                  </c:pt>
                  <c:pt idx="6">
                    <c:v>1.131</c:v>
                  </c:pt>
                  <c:pt idx="7">
                    <c:v>1.163</c:v>
                  </c:pt>
                  <c:pt idx="8">
                    <c:v>1.1859999999999999</c:v>
                  </c:pt>
                  <c:pt idx="9">
                    <c:v>1.4319999999999999</c:v>
                  </c:pt>
                  <c:pt idx="10">
                    <c:v>1.232</c:v>
                  </c:pt>
                  <c:pt idx="11">
                    <c:v>1.23</c:v>
                  </c:pt>
                  <c:pt idx="12">
                    <c:v>1.1000000000000001</c:v>
                  </c:pt>
                  <c:pt idx="13">
                    <c:v>1.306</c:v>
                  </c:pt>
                  <c:pt idx="14">
                    <c:v>1.353</c:v>
                  </c:pt>
                  <c:pt idx="15">
                    <c:v>1.4239999999999999</c:v>
                  </c:pt>
                  <c:pt idx="16">
                    <c:v>1.41</c:v>
                  </c:pt>
                  <c:pt idx="17">
                    <c:v>1.653</c:v>
                  </c:pt>
                  <c:pt idx="18">
                    <c:v>1.4450000000000001</c:v>
                  </c:pt>
                  <c:pt idx="19">
                    <c:v>1.31</c:v>
                  </c:pt>
                  <c:pt idx="20">
                    <c:v>1.54</c:v>
                  </c:pt>
                  <c:pt idx="21">
                    <c:v>1.5940000000000001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'Energy Calibration'!$E$4:$E$25</c:f>
              <c:numCache>
                <c:formatCode>General</c:formatCode>
                <c:ptCount val="22"/>
                <c:pt idx="0">
                  <c:v>511</c:v>
                </c:pt>
                <c:pt idx="1">
                  <c:v>1274.537</c:v>
                </c:pt>
                <c:pt idx="2">
                  <c:v>1785.537</c:v>
                </c:pt>
                <c:pt idx="3">
                  <c:v>1173.2280000000001</c:v>
                </c:pt>
                <c:pt idx="4">
                  <c:v>1332.492</c:v>
                </c:pt>
                <c:pt idx="5">
                  <c:v>661.65700000000004</c:v>
                </c:pt>
                <c:pt idx="6">
                  <c:v>121.7817</c:v>
                </c:pt>
                <c:pt idx="7">
                  <c:v>244.69739999999999</c:v>
                </c:pt>
                <c:pt idx="8">
                  <c:v>344.27850000000001</c:v>
                </c:pt>
                <c:pt idx="9">
                  <c:v>367.78910000000002</c:v>
                </c:pt>
                <c:pt idx="10">
                  <c:v>411.11649999999997</c:v>
                </c:pt>
                <c:pt idx="11">
                  <c:v>443.96499999999997</c:v>
                </c:pt>
                <c:pt idx="12" formatCode="0.000">
                  <c:v>688.67</c:v>
                </c:pt>
                <c:pt idx="13">
                  <c:v>778.90449999999998</c:v>
                </c:pt>
                <c:pt idx="14" formatCode="0.000">
                  <c:v>867.38</c:v>
                </c:pt>
                <c:pt idx="15">
                  <c:v>964.07899999999995</c:v>
                </c:pt>
                <c:pt idx="16" formatCode="0.000">
                  <c:v>1005.272</c:v>
                </c:pt>
                <c:pt idx="17">
                  <c:v>1085.837</c:v>
                </c:pt>
                <c:pt idx="18" formatCode="0.000">
                  <c:v>1112.076</c:v>
                </c:pt>
                <c:pt idx="19" formatCode="0.000">
                  <c:v>1212.9480000000001</c:v>
                </c:pt>
                <c:pt idx="20">
                  <c:v>1299.1420000000001</c:v>
                </c:pt>
                <c:pt idx="21" formatCode="0.000">
                  <c:v>1408.0129999999999</c:v>
                </c:pt>
              </c:numCache>
            </c:numRef>
          </c:xVal>
          <c:yVal>
            <c:numRef>
              <c:f>'Energy Calibration'!$J$4:$J$25</c:f>
              <c:numCache>
                <c:formatCode>0.000</c:formatCode>
                <c:ptCount val="22"/>
                <c:pt idx="0">
                  <c:v>511.86500000000001</c:v>
                </c:pt>
                <c:pt idx="1">
                  <c:v>1276.0160000000001</c:v>
                </c:pt>
                <c:pt idx="2">
                  <c:v>1787.192</c:v>
                </c:pt>
                <c:pt idx="3">
                  <c:v>1174.989</c:v>
                </c:pt>
                <c:pt idx="4">
                  <c:v>1334.42</c:v>
                </c:pt>
                <c:pt idx="5">
                  <c:v>662.74400000000003</c:v>
                </c:pt>
                <c:pt idx="6">
                  <c:v>122.20399999999999</c:v>
                </c:pt>
                <c:pt idx="7">
                  <c:v>245.386</c:v>
                </c:pt>
                <c:pt idx="8">
                  <c:v>345.09300000000002</c:v>
                </c:pt>
                <c:pt idx="9">
                  <c:v>368.27300000000002</c:v>
                </c:pt>
                <c:pt idx="10">
                  <c:v>412.01100000000002</c:v>
                </c:pt>
                <c:pt idx="11">
                  <c:v>444.875</c:v>
                </c:pt>
                <c:pt idx="12">
                  <c:v>689.81299999999999</c:v>
                </c:pt>
                <c:pt idx="13">
                  <c:v>780.07399999999996</c:v>
                </c:pt>
                <c:pt idx="14">
                  <c:v>868.64599999999996</c:v>
                </c:pt>
                <c:pt idx="15">
                  <c:v>965.35</c:v>
                </c:pt>
                <c:pt idx="16">
                  <c:v>1005.753</c:v>
                </c:pt>
                <c:pt idx="17">
                  <c:v>1087.3820000000001</c:v>
                </c:pt>
                <c:pt idx="18">
                  <c:v>1113.482</c:v>
                </c:pt>
                <c:pt idx="19">
                  <c:v>1214.423</c:v>
                </c:pt>
                <c:pt idx="20">
                  <c:v>1300.652</c:v>
                </c:pt>
                <c:pt idx="21">
                  <c:v>1409.7159999999999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D8-47C3-9E7D-873000759757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'Energy Calibration'!$E$4:$E$25</c:f>
              <c:numCache>
                <c:formatCode>General</c:formatCode>
                <c:ptCount val="22"/>
                <c:pt idx="0">
                  <c:v>511</c:v>
                </c:pt>
                <c:pt idx="1">
                  <c:v>1274.537</c:v>
                </c:pt>
                <c:pt idx="2">
                  <c:v>1785.537</c:v>
                </c:pt>
                <c:pt idx="3">
                  <c:v>1173.2280000000001</c:v>
                </c:pt>
                <c:pt idx="4">
                  <c:v>1332.492</c:v>
                </c:pt>
                <c:pt idx="5">
                  <c:v>661.65700000000004</c:v>
                </c:pt>
                <c:pt idx="6">
                  <c:v>121.7817</c:v>
                </c:pt>
                <c:pt idx="7">
                  <c:v>244.69739999999999</c:v>
                </c:pt>
                <c:pt idx="8">
                  <c:v>344.27850000000001</c:v>
                </c:pt>
                <c:pt idx="9">
                  <c:v>367.78910000000002</c:v>
                </c:pt>
                <c:pt idx="10">
                  <c:v>411.11649999999997</c:v>
                </c:pt>
                <c:pt idx="11">
                  <c:v>443.96499999999997</c:v>
                </c:pt>
                <c:pt idx="12" formatCode="0.000">
                  <c:v>688.67</c:v>
                </c:pt>
                <c:pt idx="13">
                  <c:v>778.90449999999998</c:v>
                </c:pt>
                <c:pt idx="14" formatCode="0.000">
                  <c:v>867.38</c:v>
                </c:pt>
                <c:pt idx="15">
                  <c:v>964.07899999999995</c:v>
                </c:pt>
                <c:pt idx="16" formatCode="0.000">
                  <c:v>1005.272</c:v>
                </c:pt>
                <c:pt idx="17">
                  <c:v>1085.837</c:v>
                </c:pt>
                <c:pt idx="18" formatCode="0.000">
                  <c:v>1112.076</c:v>
                </c:pt>
                <c:pt idx="19" formatCode="0.000">
                  <c:v>1212.9480000000001</c:v>
                </c:pt>
                <c:pt idx="20">
                  <c:v>1299.1420000000001</c:v>
                </c:pt>
                <c:pt idx="21" formatCode="0.000">
                  <c:v>1408.0129999999999</c:v>
                </c:pt>
              </c:numCache>
            </c:numRef>
          </c:xVal>
          <c:yVal>
            <c:numRef>
              <c:f>'Energy Calibration'!$N$4:$N$25</c:f>
              <c:numCache>
                <c:formatCode>General</c:formatCode>
                <c:ptCount val="22"/>
                <c:pt idx="0">
                  <c:v>511.880631263395</c:v>
                </c:pt>
                <c:pt idx="1">
                  <c:v>1276.0578739782134</c:v>
                </c:pt>
                <c:pt idx="2">
                  <c:v>1787.4863588155847</c:v>
                </c:pt>
                <c:pt idx="3">
                  <c:v>1174.6639241340074</c:v>
                </c:pt>
                <c:pt idx="4">
                  <c:v>1334.0614705315397</c:v>
                </c:pt>
                <c:pt idx="5">
                  <c:v>662.66396050046717</c:v>
                </c:pt>
                <c:pt idx="6">
                  <c:v>122.3359630833999</c:v>
                </c:pt>
                <c:pt idx="7">
                  <c:v>245.35473062493591</c:v>
                </c:pt>
                <c:pt idx="8">
                  <c:v>345.01933158665565</c:v>
                </c:pt>
                <c:pt idx="9">
                  <c:v>368.54964574637677</c:v>
                </c:pt>
                <c:pt idx="10">
                  <c:v>411.91337673256606</c:v>
                </c:pt>
                <c:pt idx="11">
                  <c:v>444.78942092861377</c:v>
                </c:pt>
                <c:pt idx="12">
                  <c:v>689.69961150029474</c:v>
                </c:pt>
                <c:pt idx="13">
                  <c:v>780.00977513054488</c:v>
                </c:pt>
                <c:pt idx="14">
                  <c:v>868.55946380026865</c:v>
                </c:pt>
                <c:pt idx="15">
                  <c:v>965.33954805719429</c:v>
                </c:pt>
                <c:pt idx="16">
                  <c:v>1006.5670893016285</c:v>
                </c:pt>
                <c:pt idx="17">
                  <c:v>1087.1996448415948</c:v>
                </c:pt>
                <c:pt idx="18">
                  <c:v>1113.46064682525</c:v>
                </c:pt>
                <c:pt idx="19">
                  <c:v>1214.4172302352606</c:v>
                </c:pt>
                <c:pt idx="20">
                  <c:v>1300.6835058166155</c:v>
                </c:pt>
                <c:pt idx="21">
                  <c:v>1409.6457965655968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D8-47C3-9E7D-873000759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54640"/>
        <c:axId val="435055624"/>
      </c:scatterChart>
      <c:valAx>
        <c:axId val="43505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Literature</a:t>
                </a:r>
                <a:r>
                  <a:rPr lang="en-GB" baseline="0"/>
                  <a:t> Energy/keV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55624"/>
        <c:crosses val="autoZero"/>
        <c:crossBetween val="midCat"/>
      </c:valAx>
      <c:valAx>
        <c:axId val="435055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Measured</a:t>
                </a:r>
                <a:r>
                  <a:rPr lang="en-GB" baseline="0"/>
                  <a:t> Energy/keV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5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Residuals</a:t>
            </a:r>
            <a:r>
              <a:rPr lang="en-GB" baseline="0"/>
              <a:t> against Literature Energy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'Energy Calibration'!$K$4:$K$25</c:f>
                <c:numCache>
                  <c:formatCode>General</c:formatCode>
                  <c:ptCount val="22"/>
                  <c:pt idx="0">
                    <c:v>1.7150000000000001</c:v>
                  </c:pt>
                  <c:pt idx="1">
                    <c:v>1.5209999999999999</c:v>
                  </c:pt>
                  <c:pt idx="2">
                    <c:v>2.09</c:v>
                  </c:pt>
                  <c:pt idx="3">
                    <c:v>1.43</c:v>
                  </c:pt>
                  <c:pt idx="4">
                    <c:v>1.47</c:v>
                  </c:pt>
                  <c:pt idx="5">
                    <c:v>1.2649999999999999</c:v>
                  </c:pt>
                  <c:pt idx="6">
                    <c:v>1.131</c:v>
                  </c:pt>
                  <c:pt idx="7">
                    <c:v>1.163</c:v>
                  </c:pt>
                  <c:pt idx="8">
                    <c:v>1.1859999999999999</c:v>
                  </c:pt>
                  <c:pt idx="9">
                    <c:v>1.4319999999999999</c:v>
                  </c:pt>
                  <c:pt idx="10">
                    <c:v>1.232</c:v>
                  </c:pt>
                  <c:pt idx="11">
                    <c:v>1.23</c:v>
                  </c:pt>
                  <c:pt idx="12">
                    <c:v>1.1000000000000001</c:v>
                  </c:pt>
                  <c:pt idx="13">
                    <c:v>1.306</c:v>
                  </c:pt>
                  <c:pt idx="14">
                    <c:v>1.353</c:v>
                  </c:pt>
                  <c:pt idx="15">
                    <c:v>1.4239999999999999</c:v>
                  </c:pt>
                  <c:pt idx="16">
                    <c:v>1.41</c:v>
                  </c:pt>
                  <c:pt idx="17">
                    <c:v>1.653</c:v>
                  </c:pt>
                  <c:pt idx="18">
                    <c:v>1.4450000000000001</c:v>
                  </c:pt>
                  <c:pt idx="19">
                    <c:v>1.31</c:v>
                  </c:pt>
                  <c:pt idx="20">
                    <c:v>1.54</c:v>
                  </c:pt>
                  <c:pt idx="21">
                    <c:v>1.5940000000000001</c:v>
                  </c:pt>
                </c:numCache>
              </c:numRef>
            </c:plus>
            <c:minus>
              <c:numRef>
                <c:f>'Energy Calibration'!$K$4:$K$25</c:f>
                <c:numCache>
                  <c:formatCode>General</c:formatCode>
                  <c:ptCount val="22"/>
                  <c:pt idx="0">
                    <c:v>1.7150000000000001</c:v>
                  </c:pt>
                  <c:pt idx="1">
                    <c:v>1.5209999999999999</c:v>
                  </c:pt>
                  <c:pt idx="2">
                    <c:v>2.09</c:v>
                  </c:pt>
                  <c:pt idx="3">
                    <c:v>1.43</c:v>
                  </c:pt>
                  <c:pt idx="4">
                    <c:v>1.47</c:v>
                  </c:pt>
                  <c:pt idx="5">
                    <c:v>1.2649999999999999</c:v>
                  </c:pt>
                  <c:pt idx="6">
                    <c:v>1.131</c:v>
                  </c:pt>
                  <c:pt idx="7">
                    <c:v>1.163</c:v>
                  </c:pt>
                  <c:pt idx="8">
                    <c:v>1.1859999999999999</c:v>
                  </c:pt>
                  <c:pt idx="9">
                    <c:v>1.4319999999999999</c:v>
                  </c:pt>
                  <c:pt idx="10">
                    <c:v>1.232</c:v>
                  </c:pt>
                  <c:pt idx="11">
                    <c:v>1.23</c:v>
                  </c:pt>
                  <c:pt idx="12">
                    <c:v>1.1000000000000001</c:v>
                  </c:pt>
                  <c:pt idx="13">
                    <c:v>1.306</c:v>
                  </c:pt>
                  <c:pt idx="14">
                    <c:v>1.353</c:v>
                  </c:pt>
                  <c:pt idx="15">
                    <c:v>1.4239999999999999</c:v>
                  </c:pt>
                  <c:pt idx="16">
                    <c:v>1.41</c:v>
                  </c:pt>
                  <c:pt idx="17">
                    <c:v>1.653</c:v>
                  </c:pt>
                  <c:pt idx="18">
                    <c:v>1.4450000000000001</c:v>
                  </c:pt>
                  <c:pt idx="19">
                    <c:v>1.31</c:v>
                  </c:pt>
                  <c:pt idx="20">
                    <c:v>1.54</c:v>
                  </c:pt>
                  <c:pt idx="21">
                    <c:v>1.5940000000000001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'Energy Calibration'!$E$4:$E$25</c:f>
              <c:numCache>
                <c:formatCode>General</c:formatCode>
                <c:ptCount val="22"/>
                <c:pt idx="0">
                  <c:v>511</c:v>
                </c:pt>
                <c:pt idx="1">
                  <c:v>1274.537</c:v>
                </c:pt>
                <c:pt idx="2">
                  <c:v>1785.537</c:v>
                </c:pt>
                <c:pt idx="3">
                  <c:v>1173.2280000000001</c:v>
                </c:pt>
                <c:pt idx="4">
                  <c:v>1332.492</c:v>
                </c:pt>
                <c:pt idx="5">
                  <c:v>661.65700000000004</c:v>
                </c:pt>
                <c:pt idx="6">
                  <c:v>121.7817</c:v>
                </c:pt>
                <c:pt idx="7">
                  <c:v>244.69739999999999</c:v>
                </c:pt>
                <c:pt idx="8">
                  <c:v>344.27850000000001</c:v>
                </c:pt>
                <c:pt idx="9">
                  <c:v>367.78910000000002</c:v>
                </c:pt>
                <c:pt idx="10">
                  <c:v>411.11649999999997</c:v>
                </c:pt>
                <c:pt idx="11">
                  <c:v>443.96499999999997</c:v>
                </c:pt>
                <c:pt idx="12" formatCode="0.000">
                  <c:v>688.67</c:v>
                </c:pt>
                <c:pt idx="13">
                  <c:v>778.90449999999998</c:v>
                </c:pt>
                <c:pt idx="14" formatCode="0.000">
                  <c:v>867.38</c:v>
                </c:pt>
                <c:pt idx="15">
                  <c:v>964.07899999999995</c:v>
                </c:pt>
                <c:pt idx="16" formatCode="0.000">
                  <c:v>1005.272</c:v>
                </c:pt>
                <c:pt idx="17">
                  <c:v>1085.837</c:v>
                </c:pt>
                <c:pt idx="18" formatCode="0.000">
                  <c:v>1112.076</c:v>
                </c:pt>
                <c:pt idx="19" formatCode="0.000">
                  <c:v>1212.9480000000001</c:v>
                </c:pt>
                <c:pt idx="20">
                  <c:v>1299.1420000000001</c:v>
                </c:pt>
                <c:pt idx="21" formatCode="0.000">
                  <c:v>1408.0129999999999</c:v>
                </c:pt>
              </c:numCache>
            </c:numRef>
          </c:xVal>
          <c:yVal>
            <c:numRef>
              <c:f>'Energy Calibration'!$O$4:$O$25</c:f>
              <c:numCache>
                <c:formatCode>0.000</c:formatCode>
                <c:ptCount val="22"/>
                <c:pt idx="0">
                  <c:v>-1.5631263394993766E-2</c:v>
                </c:pt>
                <c:pt idx="1">
                  <c:v>-4.1873978213288865E-2</c:v>
                </c:pt>
                <c:pt idx="2">
                  <c:v>-0.29435881558470101</c:v>
                </c:pt>
                <c:pt idx="3">
                  <c:v>0.3250758659926305</c:v>
                </c:pt>
                <c:pt idx="4">
                  <c:v>0.35852946846034683</c:v>
                </c:pt>
                <c:pt idx="5">
                  <c:v>8.0039499532858827E-2</c:v>
                </c:pt>
                <c:pt idx="6">
                  <c:v>-0.13196308339990992</c:v>
                </c:pt>
                <c:pt idx="7">
                  <c:v>3.126937506408467E-2</c:v>
                </c:pt>
                <c:pt idx="8">
                  <c:v>7.3668413344364581E-2</c:v>
                </c:pt>
                <c:pt idx="9">
                  <c:v>-0.27664574637674377</c:v>
                </c:pt>
                <c:pt idx="10">
                  <c:v>9.7623267433959882E-2</c:v>
                </c:pt>
                <c:pt idx="11">
                  <c:v>8.5579071386234773E-2</c:v>
                </c:pt>
                <c:pt idx="12">
                  <c:v>0.11338849970525189</c:v>
                </c:pt>
                <c:pt idx="13">
                  <c:v>6.422486945507444E-2</c:v>
                </c:pt>
                <c:pt idx="14">
                  <c:v>8.653619973131299E-2</c:v>
                </c:pt>
                <c:pt idx="15">
                  <c:v>1.0451942805730141E-2</c:v>
                </c:pt>
                <c:pt idx="16">
                  <c:v>-0.81408930162842807</c:v>
                </c:pt>
                <c:pt idx="17">
                  <c:v>0.18235515840524386</c:v>
                </c:pt>
                <c:pt idx="18">
                  <c:v>2.1353174749947357E-2</c:v>
                </c:pt>
                <c:pt idx="19">
                  <c:v>5.7697647393979423E-3</c:v>
                </c:pt>
                <c:pt idx="20">
                  <c:v>-3.1505816615435833E-2</c:v>
                </c:pt>
                <c:pt idx="21">
                  <c:v>7.020343440308352E-2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F7-424E-B617-EB11CF723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53912"/>
        <c:axId val="298431504"/>
      </c:scatterChart>
      <c:valAx>
        <c:axId val="541153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Literature</a:t>
                </a:r>
                <a:r>
                  <a:rPr lang="en-GB" baseline="0"/>
                  <a:t> Energy/keV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31504"/>
        <c:crosses val="autoZero"/>
        <c:crossBetween val="midCat"/>
      </c:valAx>
      <c:valAx>
        <c:axId val="298431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Residuals/keV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3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Measured</a:t>
            </a:r>
            <a:r>
              <a:rPr lang="en-GB" baseline="0"/>
              <a:t> Energy vs Literature Energy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'Energy Calibration (2)'!$F$4:$F$33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7.0000000000000001E-3</c:v>
                  </c:pt>
                  <c:pt idx="2">
                    <c:v>7.0000000000000001E-3</c:v>
                  </c:pt>
                  <c:pt idx="3">
                    <c:v>3.0000000000000001E-3</c:v>
                  </c:pt>
                  <c:pt idx="4">
                    <c:v>4.0000000000000001E-3</c:v>
                  </c:pt>
                  <c:pt idx="5">
                    <c:v>3.0000000000000001E-3</c:v>
                  </c:pt>
                  <c:pt idx="6">
                    <c:v>2.9999999999999997E-4</c:v>
                  </c:pt>
                  <c:pt idx="7">
                    <c:v>8.0000000000000004E-4</c:v>
                  </c:pt>
                  <c:pt idx="8">
                    <c:v>1.1999999999999999E-3</c:v>
                  </c:pt>
                  <c:pt idx="9">
                    <c:v>2E-3</c:v>
                  </c:pt>
                  <c:pt idx="10">
                    <c:v>1.1999999999999999E-3</c:v>
                  </c:pt>
                  <c:pt idx="11">
                    <c:v>3.0000000000000001E-3</c:v>
                  </c:pt>
                  <c:pt idx="12">
                    <c:v>5.0000000000000001E-3</c:v>
                  </c:pt>
                  <c:pt idx="13">
                    <c:v>2.3999999999999998E-3</c:v>
                  </c:pt>
                  <c:pt idx="14">
                    <c:v>3.0000000000000001E-3</c:v>
                  </c:pt>
                  <c:pt idx="15">
                    <c:v>1.7999999999999999E-2</c:v>
                  </c:pt>
                  <c:pt idx="16">
                    <c:v>1.7000000000000001E-2</c:v>
                  </c:pt>
                  <c:pt idx="17">
                    <c:v>0.01</c:v>
                  </c:pt>
                  <c:pt idx="18">
                    <c:v>3.0000000000000001E-3</c:v>
                  </c:pt>
                  <c:pt idx="19">
                    <c:v>1.0999999999999999E-2</c:v>
                  </c:pt>
                  <c:pt idx="20">
                    <c:v>8.0000000000000002E-3</c:v>
                  </c:pt>
                  <c:pt idx="21">
                    <c:v>3.0000000000000001E-3</c:v>
                  </c:pt>
                  <c:pt idx="22">
                    <c:v>1.1000000000000001E-3</c:v>
                  </c:pt>
                  <c:pt idx="23">
                    <c:v>1.1999999999999999E-3</c:v>
                  </c:pt>
                  <c:pt idx="24">
                    <c:v>5.0000000000000001E-4</c:v>
                  </c:pt>
                  <c:pt idx="25">
                    <c:v>6.9999999999999999E-4</c:v>
                  </c:pt>
                  <c:pt idx="26">
                    <c:v>1.1999999999999999E-3</c:v>
                  </c:pt>
                  <c:pt idx="27">
                    <c:v>2E-3</c:v>
                  </c:pt>
                  <c:pt idx="28">
                    <c:v>3.0000000000000001E-3</c:v>
                  </c:pt>
                  <c:pt idx="29">
                    <c:v>8.9999999999999993E-3</c:v>
                  </c:pt>
                </c:numCache>
              </c:numRef>
            </c:plus>
            <c:minus>
              <c:numRef>
                <c:f>'Energy Calibration (2)'!$F$4:$F$33</c:f>
                <c:numCache>
                  <c:formatCode>General</c:formatCode>
                  <c:ptCount val="30"/>
                  <c:pt idx="0">
                    <c:v>0</c:v>
                  </c:pt>
                  <c:pt idx="1">
                    <c:v>7.0000000000000001E-3</c:v>
                  </c:pt>
                  <c:pt idx="2">
                    <c:v>7.0000000000000001E-3</c:v>
                  </c:pt>
                  <c:pt idx="3">
                    <c:v>3.0000000000000001E-3</c:v>
                  </c:pt>
                  <c:pt idx="4">
                    <c:v>4.0000000000000001E-3</c:v>
                  </c:pt>
                  <c:pt idx="5">
                    <c:v>3.0000000000000001E-3</c:v>
                  </c:pt>
                  <c:pt idx="6">
                    <c:v>2.9999999999999997E-4</c:v>
                  </c:pt>
                  <c:pt idx="7">
                    <c:v>8.0000000000000004E-4</c:v>
                  </c:pt>
                  <c:pt idx="8">
                    <c:v>1.1999999999999999E-3</c:v>
                  </c:pt>
                  <c:pt idx="9">
                    <c:v>2E-3</c:v>
                  </c:pt>
                  <c:pt idx="10">
                    <c:v>1.1999999999999999E-3</c:v>
                  </c:pt>
                  <c:pt idx="11">
                    <c:v>3.0000000000000001E-3</c:v>
                  </c:pt>
                  <c:pt idx="12">
                    <c:v>5.0000000000000001E-3</c:v>
                  </c:pt>
                  <c:pt idx="13">
                    <c:v>2.3999999999999998E-3</c:v>
                  </c:pt>
                  <c:pt idx="14">
                    <c:v>3.0000000000000001E-3</c:v>
                  </c:pt>
                  <c:pt idx="15">
                    <c:v>1.7999999999999999E-2</c:v>
                  </c:pt>
                  <c:pt idx="16">
                    <c:v>1.7000000000000001E-2</c:v>
                  </c:pt>
                  <c:pt idx="17">
                    <c:v>0.01</c:v>
                  </c:pt>
                  <c:pt idx="18">
                    <c:v>3.0000000000000001E-3</c:v>
                  </c:pt>
                  <c:pt idx="19">
                    <c:v>1.0999999999999999E-2</c:v>
                  </c:pt>
                  <c:pt idx="20">
                    <c:v>8.0000000000000002E-3</c:v>
                  </c:pt>
                  <c:pt idx="21">
                    <c:v>3.0000000000000001E-3</c:v>
                  </c:pt>
                  <c:pt idx="22">
                    <c:v>1.1000000000000001E-3</c:v>
                  </c:pt>
                  <c:pt idx="23">
                    <c:v>1.1999999999999999E-3</c:v>
                  </c:pt>
                  <c:pt idx="24">
                    <c:v>5.0000000000000001E-4</c:v>
                  </c:pt>
                  <c:pt idx="25">
                    <c:v>6.9999999999999999E-4</c:v>
                  </c:pt>
                  <c:pt idx="26">
                    <c:v>1.1999999999999999E-3</c:v>
                  </c:pt>
                  <c:pt idx="27">
                    <c:v>2E-3</c:v>
                  </c:pt>
                  <c:pt idx="28">
                    <c:v>3.0000000000000001E-3</c:v>
                  </c:pt>
                  <c:pt idx="29">
                    <c:v>8.9999999999999993E-3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'Energy Calibration (2)'!$M$4:$M$33</c:f>
                <c:numCache>
                  <c:formatCode>General</c:formatCode>
                  <c:ptCount val="30"/>
                  <c:pt idx="0">
                    <c:v>0.15577894109256696</c:v>
                  </c:pt>
                  <c:pt idx="1">
                    <c:v>0.2785049861135635</c:v>
                  </c:pt>
                  <c:pt idx="2">
                    <c:v>2.7657627745575701</c:v>
                  </c:pt>
                  <c:pt idx="3">
                    <c:v>1.2172861672259352</c:v>
                  </c:pt>
                  <c:pt idx="4">
                    <c:v>1.3152667800205713</c:v>
                  </c:pt>
                  <c:pt idx="5">
                    <c:v>9.9983357835901066E-2</c:v>
                  </c:pt>
                  <c:pt idx="6">
                    <c:v>0.13890789631191264</c:v>
                  </c:pt>
                  <c:pt idx="7">
                    <c:v>0.38269457325309619</c:v>
                  </c:pt>
                  <c:pt idx="8">
                    <c:v>0.23265737153379129</c:v>
                  </c:pt>
                  <c:pt idx="9">
                    <c:v>1.4011352117347791</c:v>
                  </c:pt>
                  <c:pt idx="10">
                    <c:v>0.9343426840573259</c:v>
                  </c:pt>
                  <c:pt idx="11">
                    <c:v>0.84699244741912105</c:v>
                  </c:pt>
                  <c:pt idx="12">
                    <c:v>1.7517952997764077</c:v>
                  </c:pt>
                  <c:pt idx="13">
                    <c:v>0.55822397485510511</c:v>
                  </c:pt>
                  <c:pt idx="14">
                    <c:v>1.1256389999357617</c:v>
                  </c:pt>
                  <c:pt idx="15">
                    <c:v>0.6470235731934143</c:v>
                  </c:pt>
                  <c:pt idx="16">
                    <c:v>2.0721869838226032</c:v>
                  </c:pt>
                  <c:pt idx="17">
                    <c:v>0.86030531832875801</c:v>
                  </c:pt>
                  <c:pt idx="18">
                    <c:v>0.7226107527444825</c:v>
                  </c:pt>
                  <c:pt idx="19">
                    <c:v>2.309285575816082</c:v>
                  </c:pt>
                  <c:pt idx="20">
                    <c:v>2.3421051119707887</c:v>
                  </c:pt>
                  <c:pt idx="21">
                    <c:v>0.71728203897095222</c:v>
                  </c:pt>
                  <c:pt idx="22">
                    <c:v>0.39596090509497239</c:v>
                  </c:pt>
                  <c:pt idx="23">
                    <c:v>1.420134478403646</c:v>
                  </c:pt>
                  <c:pt idx="24">
                    <c:v>0.92461428898980236</c:v>
                  </c:pt>
                  <c:pt idx="25">
                    <c:v>0.5323837113089076</c:v>
                  </c:pt>
                  <c:pt idx="26">
                    <c:v>1.746772177250369</c:v>
                  </c:pt>
                  <c:pt idx="27">
                    <c:v>0.28660771623105963</c:v>
                  </c:pt>
                  <c:pt idx="28">
                    <c:v>0.48960133195419669</c:v>
                  </c:pt>
                  <c:pt idx="29">
                    <c:v>2.3993749718701087</c:v>
                  </c:pt>
                </c:numCache>
              </c:numRef>
            </c:plus>
            <c:minus>
              <c:numRef>
                <c:f>'Energy Calibration (2)'!$M$4:$M$33</c:f>
                <c:numCache>
                  <c:formatCode>General</c:formatCode>
                  <c:ptCount val="30"/>
                  <c:pt idx="0">
                    <c:v>0.15577894109256696</c:v>
                  </c:pt>
                  <c:pt idx="1">
                    <c:v>0.2785049861135635</c:v>
                  </c:pt>
                  <c:pt idx="2">
                    <c:v>2.7657627745575701</c:v>
                  </c:pt>
                  <c:pt idx="3">
                    <c:v>1.2172861672259352</c:v>
                  </c:pt>
                  <c:pt idx="4">
                    <c:v>1.3152667800205713</c:v>
                  </c:pt>
                  <c:pt idx="5">
                    <c:v>9.9983357835901066E-2</c:v>
                  </c:pt>
                  <c:pt idx="6">
                    <c:v>0.13890789631191264</c:v>
                  </c:pt>
                  <c:pt idx="7">
                    <c:v>0.38269457325309619</c:v>
                  </c:pt>
                  <c:pt idx="8">
                    <c:v>0.23265737153379129</c:v>
                  </c:pt>
                  <c:pt idx="9">
                    <c:v>1.4011352117347791</c:v>
                  </c:pt>
                  <c:pt idx="10">
                    <c:v>0.9343426840573259</c:v>
                  </c:pt>
                  <c:pt idx="11">
                    <c:v>0.84699244741912105</c:v>
                  </c:pt>
                  <c:pt idx="12">
                    <c:v>1.7517952997764077</c:v>
                  </c:pt>
                  <c:pt idx="13">
                    <c:v>0.55822397485510511</c:v>
                  </c:pt>
                  <c:pt idx="14">
                    <c:v>1.1256389999357617</c:v>
                  </c:pt>
                  <c:pt idx="15">
                    <c:v>0.6470235731934143</c:v>
                  </c:pt>
                  <c:pt idx="16">
                    <c:v>2.0721869838226032</c:v>
                  </c:pt>
                  <c:pt idx="17">
                    <c:v>0.86030531832875801</c:v>
                  </c:pt>
                  <c:pt idx="18">
                    <c:v>0.7226107527444825</c:v>
                  </c:pt>
                  <c:pt idx="19">
                    <c:v>2.309285575816082</c:v>
                  </c:pt>
                  <c:pt idx="20">
                    <c:v>2.3421051119707887</c:v>
                  </c:pt>
                  <c:pt idx="21">
                    <c:v>0.71728203897095222</c:v>
                  </c:pt>
                  <c:pt idx="22">
                    <c:v>0.39596090509497239</c:v>
                  </c:pt>
                  <c:pt idx="23">
                    <c:v>1.420134478403646</c:v>
                  </c:pt>
                  <c:pt idx="24">
                    <c:v>0.92461428898980236</c:v>
                  </c:pt>
                  <c:pt idx="25">
                    <c:v>0.5323837113089076</c:v>
                  </c:pt>
                  <c:pt idx="26">
                    <c:v>1.746772177250369</c:v>
                  </c:pt>
                  <c:pt idx="27">
                    <c:v>0.28660771623105963</c:v>
                  </c:pt>
                  <c:pt idx="28">
                    <c:v>0.48960133195419669</c:v>
                  </c:pt>
                  <c:pt idx="29">
                    <c:v>2.3993749718701087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'Energy Calibration (2)'!$E$4:$E$33</c:f>
              <c:numCache>
                <c:formatCode>General</c:formatCode>
                <c:ptCount val="30"/>
                <c:pt idx="0">
                  <c:v>511</c:v>
                </c:pt>
                <c:pt idx="1">
                  <c:v>1274.537</c:v>
                </c:pt>
                <c:pt idx="2">
                  <c:v>1785.537</c:v>
                </c:pt>
                <c:pt idx="3">
                  <c:v>1173.2280000000001</c:v>
                </c:pt>
                <c:pt idx="4">
                  <c:v>1332.492</c:v>
                </c:pt>
                <c:pt idx="5">
                  <c:v>661.65700000000004</c:v>
                </c:pt>
                <c:pt idx="6">
                  <c:v>121.7817</c:v>
                </c:pt>
                <c:pt idx="7">
                  <c:v>244.69739999999999</c:v>
                </c:pt>
                <c:pt idx="8">
                  <c:v>344.27850000000001</c:v>
                </c:pt>
                <c:pt idx="9">
                  <c:v>367.78910000000002</c:v>
                </c:pt>
                <c:pt idx="10">
                  <c:v>411.11649999999997</c:v>
                </c:pt>
                <c:pt idx="11">
                  <c:v>443.96499999999997</c:v>
                </c:pt>
                <c:pt idx="12" formatCode="0.000">
                  <c:v>688.67</c:v>
                </c:pt>
                <c:pt idx="13">
                  <c:v>778.90449999999998</c:v>
                </c:pt>
                <c:pt idx="14" formatCode="0.000">
                  <c:v>867.38</c:v>
                </c:pt>
                <c:pt idx="15">
                  <c:v>964.07899999999995</c:v>
                </c:pt>
                <c:pt idx="16" formatCode="0.000">
                  <c:v>1005.272</c:v>
                </c:pt>
                <c:pt idx="17">
                  <c:v>1085.837</c:v>
                </c:pt>
                <c:pt idx="18" formatCode="0.000">
                  <c:v>1112.076</c:v>
                </c:pt>
                <c:pt idx="19" formatCode="0.000">
                  <c:v>1212.9480000000001</c:v>
                </c:pt>
                <c:pt idx="20">
                  <c:v>1299.1420000000001</c:v>
                </c:pt>
                <c:pt idx="21" formatCode="0.000">
                  <c:v>1408.0129999999999</c:v>
                </c:pt>
                <c:pt idx="22">
                  <c:v>80.997900000000001</c:v>
                </c:pt>
                <c:pt idx="23">
                  <c:v>276.39890000000003</c:v>
                </c:pt>
                <c:pt idx="24">
                  <c:v>302.85079999999999</c:v>
                </c:pt>
                <c:pt idx="25">
                  <c:v>356.0129</c:v>
                </c:pt>
                <c:pt idx="26">
                  <c:v>383.8485</c:v>
                </c:pt>
                <c:pt idx="27">
                  <c:v>569.69799999999998</c:v>
                </c:pt>
                <c:pt idx="28">
                  <c:v>1063.6559999999999</c:v>
                </c:pt>
                <c:pt idx="29">
                  <c:v>1770.2280000000001</c:v>
                </c:pt>
              </c:numCache>
            </c:numRef>
          </c:xVal>
          <c:yVal>
            <c:numRef>
              <c:f>'Energy Calibration (2)'!$J$4:$J$33</c:f>
              <c:numCache>
                <c:formatCode>0.000</c:formatCode>
                <c:ptCount val="30"/>
                <c:pt idx="0">
                  <c:v>511.86500000000001</c:v>
                </c:pt>
                <c:pt idx="1">
                  <c:v>1276.0160000000001</c:v>
                </c:pt>
                <c:pt idx="2">
                  <c:v>1787.192</c:v>
                </c:pt>
                <c:pt idx="3">
                  <c:v>1174.989</c:v>
                </c:pt>
                <c:pt idx="4">
                  <c:v>1334.42</c:v>
                </c:pt>
                <c:pt idx="5">
                  <c:v>662.74400000000003</c:v>
                </c:pt>
                <c:pt idx="6">
                  <c:v>122.20399999999999</c:v>
                </c:pt>
                <c:pt idx="7">
                  <c:v>245.386</c:v>
                </c:pt>
                <c:pt idx="8">
                  <c:v>345.09300000000002</c:v>
                </c:pt>
                <c:pt idx="9">
                  <c:v>368.27300000000002</c:v>
                </c:pt>
                <c:pt idx="10">
                  <c:v>412.01100000000002</c:v>
                </c:pt>
                <c:pt idx="11">
                  <c:v>444.875</c:v>
                </c:pt>
                <c:pt idx="12">
                  <c:v>689.81299999999999</c:v>
                </c:pt>
                <c:pt idx="13">
                  <c:v>780.07399999999996</c:v>
                </c:pt>
                <c:pt idx="14">
                  <c:v>868.64599999999996</c:v>
                </c:pt>
                <c:pt idx="15">
                  <c:v>965.35</c:v>
                </c:pt>
                <c:pt idx="16">
                  <c:v>1005.753</c:v>
                </c:pt>
                <c:pt idx="17">
                  <c:v>1087.3820000000001</c:v>
                </c:pt>
                <c:pt idx="18">
                  <c:v>1113.482</c:v>
                </c:pt>
                <c:pt idx="19">
                  <c:v>1214.423</c:v>
                </c:pt>
                <c:pt idx="20">
                  <c:v>1300.652</c:v>
                </c:pt>
                <c:pt idx="21">
                  <c:v>1409.7159999999999</c:v>
                </c:pt>
                <c:pt idx="22">
                  <c:v>81.328000000000003</c:v>
                </c:pt>
                <c:pt idx="23">
                  <c:v>277.52099999999899</c:v>
                </c:pt>
                <c:pt idx="24">
                  <c:v>304.05099999999902</c:v>
                </c:pt>
                <c:pt idx="25">
                  <c:v>357.33999999999901</c:v>
                </c:pt>
                <c:pt idx="26">
                  <c:v>386.32999999999902</c:v>
                </c:pt>
                <c:pt idx="27" formatCode="General">
                  <c:v>570.22299999999905</c:v>
                </c:pt>
                <c:pt idx="28" formatCode="General">
                  <c:v>1065.1389999999899</c:v>
                </c:pt>
                <c:pt idx="29" formatCode="General">
                  <c:v>1773.19399999999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2C-4A06-ACE8-41D7DC004896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'Energy Calibration (2)'!$E$4:$E$33</c:f>
              <c:numCache>
                <c:formatCode>General</c:formatCode>
                <c:ptCount val="30"/>
                <c:pt idx="0">
                  <c:v>511</c:v>
                </c:pt>
                <c:pt idx="1">
                  <c:v>1274.537</c:v>
                </c:pt>
                <c:pt idx="2">
                  <c:v>1785.537</c:v>
                </c:pt>
                <c:pt idx="3">
                  <c:v>1173.2280000000001</c:v>
                </c:pt>
                <c:pt idx="4">
                  <c:v>1332.492</c:v>
                </c:pt>
                <c:pt idx="5">
                  <c:v>661.65700000000004</c:v>
                </c:pt>
                <c:pt idx="6">
                  <c:v>121.7817</c:v>
                </c:pt>
                <c:pt idx="7">
                  <c:v>244.69739999999999</c:v>
                </c:pt>
                <c:pt idx="8">
                  <c:v>344.27850000000001</c:v>
                </c:pt>
                <c:pt idx="9">
                  <c:v>367.78910000000002</c:v>
                </c:pt>
                <c:pt idx="10">
                  <c:v>411.11649999999997</c:v>
                </c:pt>
                <c:pt idx="11">
                  <c:v>443.96499999999997</c:v>
                </c:pt>
                <c:pt idx="12" formatCode="0.000">
                  <c:v>688.67</c:v>
                </c:pt>
                <c:pt idx="13">
                  <c:v>778.90449999999998</c:v>
                </c:pt>
                <c:pt idx="14" formatCode="0.000">
                  <c:v>867.38</c:v>
                </c:pt>
                <c:pt idx="15">
                  <c:v>964.07899999999995</c:v>
                </c:pt>
                <c:pt idx="16" formatCode="0.000">
                  <c:v>1005.272</c:v>
                </c:pt>
                <c:pt idx="17">
                  <c:v>1085.837</c:v>
                </c:pt>
                <c:pt idx="18" formatCode="0.000">
                  <c:v>1112.076</c:v>
                </c:pt>
                <c:pt idx="19" formatCode="0.000">
                  <c:v>1212.9480000000001</c:v>
                </c:pt>
                <c:pt idx="20">
                  <c:v>1299.1420000000001</c:v>
                </c:pt>
                <c:pt idx="21" formatCode="0.000">
                  <c:v>1408.0129999999999</c:v>
                </c:pt>
                <c:pt idx="22">
                  <c:v>80.997900000000001</c:v>
                </c:pt>
                <c:pt idx="23">
                  <c:v>276.39890000000003</c:v>
                </c:pt>
                <c:pt idx="24">
                  <c:v>302.85079999999999</c:v>
                </c:pt>
                <c:pt idx="25">
                  <c:v>356.0129</c:v>
                </c:pt>
                <c:pt idx="26">
                  <c:v>383.8485</c:v>
                </c:pt>
                <c:pt idx="27">
                  <c:v>569.69799999999998</c:v>
                </c:pt>
                <c:pt idx="28">
                  <c:v>1063.6559999999999</c:v>
                </c:pt>
                <c:pt idx="29">
                  <c:v>1770.2280000000001</c:v>
                </c:pt>
              </c:numCache>
            </c:numRef>
          </c:xVal>
          <c:yVal>
            <c:numRef>
              <c:f>'Energy Calibration (2)'!$O$4:$O$33</c:f>
              <c:numCache>
                <c:formatCode>General</c:formatCode>
                <c:ptCount val="30"/>
                <c:pt idx="0">
                  <c:v>512.01393555031746</c:v>
                </c:pt>
                <c:pt idx="1">
                  <c:v>1276.1725265696573</c:v>
                </c:pt>
                <c:pt idx="2">
                  <c:v>1787.5885286898988</c:v>
                </c:pt>
                <c:pt idx="3">
                  <c:v>1174.7810515035135</c:v>
                </c:pt>
                <c:pt idx="4">
                  <c:v>1334.1747073972083</c:v>
                </c:pt>
                <c:pt idx="5">
                  <c:v>662.79358453550185</c:v>
                </c:pt>
                <c:pt idx="6">
                  <c:v>122.47877520190914</c:v>
                </c:pt>
                <c:pt idx="7">
                  <c:v>245.49454015652935</c:v>
                </c:pt>
                <c:pt idx="8">
                  <c:v>345.15670854935905</c:v>
                </c:pt>
                <c:pt idx="9">
                  <c:v>368.68644839172333</c:v>
                </c:pt>
                <c:pt idx="10">
                  <c:v>412.0491209754112</c:v>
                </c:pt>
                <c:pt idx="11">
                  <c:v>444.92436274771404</c:v>
                </c:pt>
                <c:pt idx="12">
                  <c:v>689.8285756612828</c:v>
                </c:pt>
                <c:pt idx="13">
                  <c:v>780.13653504155468</c:v>
                </c:pt>
                <c:pt idx="14">
                  <c:v>868.68406243018364</c:v>
                </c:pt>
                <c:pt idx="15">
                  <c:v>965.46178452220943</c:v>
                </c:pt>
                <c:pt idx="16">
                  <c:v>1006.6883195033037</c:v>
                </c:pt>
                <c:pt idx="17">
                  <c:v>1087.3189070000103</c:v>
                </c:pt>
                <c:pt idx="18">
                  <c:v>1113.5792680169047</c:v>
                </c:pt>
                <c:pt idx="19">
                  <c:v>1214.5333873238969</c:v>
                </c:pt>
                <c:pt idx="20">
                  <c:v>1300.79755735668</c:v>
                </c:pt>
                <c:pt idx="21">
                  <c:v>1409.7571886029277</c:v>
                </c:pt>
                <c:pt idx="22">
                  <c:v>81.66177334814887</c:v>
                </c:pt>
                <c:pt idx="23">
                  <c:v>277.22184816282066</c:v>
                </c:pt>
                <c:pt idx="24">
                  <c:v>303.69528250036348</c:v>
                </c:pt>
                <c:pt idx="25">
                  <c:v>356.90066145597302</c:v>
                </c:pt>
                <c:pt idx="26">
                  <c:v>384.75892225561722</c:v>
                </c:pt>
                <c:pt idx="27">
                  <c:v>570.75972124983593</c:v>
                </c:pt>
                <c:pt idx="28">
                  <c:v>1065.1198495772528</c:v>
                </c:pt>
                <c:pt idx="29">
                  <c:v>1772.2670657222689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C-4A06-ACE8-41D7DC004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54640"/>
        <c:axId val="435055624"/>
      </c:scatterChart>
      <c:valAx>
        <c:axId val="43505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Literature</a:t>
                </a:r>
                <a:r>
                  <a:rPr lang="en-GB" baseline="0"/>
                  <a:t> Energy/keV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55624"/>
        <c:crosses val="autoZero"/>
        <c:crossBetween val="midCat"/>
      </c:valAx>
      <c:valAx>
        <c:axId val="435055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Measured</a:t>
                </a:r>
                <a:r>
                  <a:rPr lang="en-GB" baseline="0"/>
                  <a:t> Energy/keV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5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Residuals</a:t>
            </a:r>
            <a:r>
              <a:rPr lang="en-GB" baseline="0"/>
              <a:t> against Literature Energy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'Energy Calibration (2)'!$M$4:$M$33</c:f>
                <c:numCache>
                  <c:formatCode>General</c:formatCode>
                  <c:ptCount val="30"/>
                  <c:pt idx="0">
                    <c:v>0.15577894109256696</c:v>
                  </c:pt>
                  <c:pt idx="1">
                    <c:v>0.2785049861135635</c:v>
                  </c:pt>
                  <c:pt idx="2">
                    <c:v>2.7657627745575701</c:v>
                  </c:pt>
                  <c:pt idx="3">
                    <c:v>1.2172861672259352</c:v>
                  </c:pt>
                  <c:pt idx="4">
                    <c:v>1.3152667800205713</c:v>
                  </c:pt>
                  <c:pt idx="5">
                    <c:v>9.9983357835901066E-2</c:v>
                  </c:pt>
                  <c:pt idx="6">
                    <c:v>0.13890789631191264</c:v>
                  </c:pt>
                  <c:pt idx="7">
                    <c:v>0.38269457325309619</c:v>
                  </c:pt>
                  <c:pt idx="8">
                    <c:v>0.23265737153379129</c:v>
                  </c:pt>
                  <c:pt idx="9">
                    <c:v>1.4011352117347791</c:v>
                  </c:pt>
                  <c:pt idx="10">
                    <c:v>0.9343426840573259</c:v>
                  </c:pt>
                  <c:pt idx="11">
                    <c:v>0.84699244741912105</c:v>
                  </c:pt>
                  <c:pt idx="12">
                    <c:v>1.7517952997764077</c:v>
                  </c:pt>
                  <c:pt idx="13">
                    <c:v>0.55822397485510511</c:v>
                  </c:pt>
                  <c:pt idx="14">
                    <c:v>1.1256389999357617</c:v>
                  </c:pt>
                  <c:pt idx="15">
                    <c:v>0.6470235731934143</c:v>
                  </c:pt>
                  <c:pt idx="16">
                    <c:v>2.0721869838226032</c:v>
                  </c:pt>
                  <c:pt idx="17">
                    <c:v>0.86030531832875801</c:v>
                  </c:pt>
                  <c:pt idx="18">
                    <c:v>0.7226107527444825</c:v>
                  </c:pt>
                  <c:pt idx="19">
                    <c:v>2.309285575816082</c:v>
                  </c:pt>
                  <c:pt idx="20">
                    <c:v>2.3421051119707887</c:v>
                  </c:pt>
                  <c:pt idx="21">
                    <c:v>0.71728203897095222</c:v>
                  </c:pt>
                  <c:pt idx="22">
                    <c:v>0.39596090509497239</c:v>
                  </c:pt>
                  <c:pt idx="23">
                    <c:v>1.420134478403646</c:v>
                  </c:pt>
                  <c:pt idx="24">
                    <c:v>0.92461428898980236</c:v>
                  </c:pt>
                  <c:pt idx="25">
                    <c:v>0.5323837113089076</c:v>
                  </c:pt>
                  <c:pt idx="26">
                    <c:v>1.746772177250369</c:v>
                  </c:pt>
                  <c:pt idx="27">
                    <c:v>0.28660771623105963</c:v>
                  </c:pt>
                  <c:pt idx="28">
                    <c:v>0.48960133195419669</c:v>
                  </c:pt>
                  <c:pt idx="29">
                    <c:v>2.3993749718701087</c:v>
                  </c:pt>
                </c:numCache>
              </c:numRef>
            </c:plus>
            <c:minus>
              <c:numRef>
                <c:f>'Energy Calibration (2)'!$M$4:$M$33</c:f>
                <c:numCache>
                  <c:formatCode>General</c:formatCode>
                  <c:ptCount val="30"/>
                  <c:pt idx="0">
                    <c:v>0.15577894109256696</c:v>
                  </c:pt>
                  <c:pt idx="1">
                    <c:v>0.2785049861135635</c:v>
                  </c:pt>
                  <c:pt idx="2">
                    <c:v>2.7657627745575701</c:v>
                  </c:pt>
                  <c:pt idx="3">
                    <c:v>1.2172861672259352</c:v>
                  </c:pt>
                  <c:pt idx="4">
                    <c:v>1.3152667800205713</c:v>
                  </c:pt>
                  <c:pt idx="5">
                    <c:v>9.9983357835901066E-2</c:v>
                  </c:pt>
                  <c:pt idx="6">
                    <c:v>0.13890789631191264</c:v>
                  </c:pt>
                  <c:pt idx="7">
                    <c:v>0.38269457325309619</c:v>
                  </c:pt>
                  <c:pt idx="8">
                    <c:v>0.23265737153379129</c:v>
                  </c:pt>
                  <c:pt idx="9">
                    <c:v>1.4011352117347791</c:v>
                  </c:pt>
                  <c:pt idx="10">
                    <c:v>0.9343426840573259</c:v>
                  </c:pt>
                  <c:pt idx="11">
                    <c:v>0.84699244741912105</c:v>
                  </c:pt>
                  <c:pt idx="12">
                    <c:v>1.7517952997764077</c:v>
                  </c:pt>
                  <c:pt idx="13">
                    <c:v>0.55822397485510511</c:v>
                  </c:pt>
                  <c:pt idx="14">
                    <c:v>1.1256389999357617</c:v>
                  </c:pt>
                  <c:pt idx="15">
                    <c:v>0.6470235731934143</c:v>
                  </c:pt>
                  <c:pt idx="16">
                    <c:v>2.0721869838226032</c:v>
                  </c:pt>
                  <c:pt idx="17">
                    <c:v>0.86030531832875801</c:v>
                  </c:pt>
                  <c:pt idx="18">
                    <c:v>0.7226107527444825</c:v>
                  </c:pt>
                  <c:pt idx="19">
                    <c:v>2.309285575816082</c:v>
                  </c:pt>
                  <c:pt idx="20">
                    <c:v>2.3421051119707887</c:v>
                  </c:pt>
                  <c:pt idx="21">
                    <c:v>0.71728203897095222</c:v>
                  </c:pt>
                  <c:pt idx="22">
                    <c:v>0.39596090509497239</c:v>
                  </c:pt>
                  <c:pt idx="23">
                    <c:v>1.420134478403646</c:v>
                  </c:pt>
                  <c:pt idx="24">
                    <c:v>0.92461428898980236</c:v>
                  </c:pt>
                  <c:pt idx="25">
                    <c:v>0.5323837113089076</c:v>
                  </c:pt>
                  <c:pt idx="26">
                    <c:v>1.746772177250369</c:v>
                  </c:pt>
                  <c:pt idx="27">
                    <c:v>0.28660771623105963</c:v>
                  </c:pt>
                  <c:pt idx="28">
                    <c:v>0.48960133195419669</c:v>
                  </c:pt>
                  <c:pt idx="29">
                    <c:v>2.3993749718701087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'Energy Calibration (2)'!$E$4:$E$33</c:f>
              <c:numCache>
                <c:formatCode>General</c:formatCode>
                <c:ptCount val="30"/>
                <c:pt idx="0">
                  <c:v>511</c:v>
                </c:pt>
                <c:pt idx="1">
                  <c:v>1274.537</c:v>
                </c:pt>
                <c:pt idx="2">
                  <c:v>1785.537</c:v>
                </c:pt>
                <c:pt idx="3">
                  <c:v>1173.2280000000001</c:v>
                </c:pt>
                <c:pt idx="4">
                  <c:v>1332.492</c:v>
                </c:pt>
                <c:pt idx="5">
                  <c:v>661.65700000000004</c:v>
                </c:pt>
                <c:pt idx="6">
                  <c:v>121.7817</c:v>
                </c:pt>
                <c:pt idx="7">
                  <c:v>244.69739999999999</c:v>
                </c:pt>
                <c:pt idx="8">
                  <c:v>344.27850000000001</c:v>
                </c:pt>
                <c:pt idx="9">
                  <c:v>367.78910000000002</c:v>
                </c:pt>
                <c:pt idx="10">
                  <c:v>411.11649999999997</c:v>
                </c:pt>
                <c:pt idx="11">
                  <c:v>443.96499999999997</c:v>
                </c:pt>
                <c:pt idx="12" formatCode="0.000">
                  <c:v>688.67</c:v>
                </c:pt>
                <c:pt idx="13">
                  <c:v>778.90449999999998</c:v>
                </c:pt>
                <c:pt idx="14" formatCode="0.000">
                  <c:v>867.38</c:v>
                </c:pt>
                <c:pt idx="15">
                  <c:v>964.07899999999995</c:v>
                </c:pt>
                <c:pt idx="16" formatCode="0.000">
                  <c:v>1005.272</c:v>
                </c:pt>
                <c:pt idx="17">
                  <c:v>1085.837</c:v>
                </c:pt>
                <c:pt idx="18" formatCode="0.000">
                  <c:v>1112.076</c:v>
                </c:pt>
                <c:pt idx="19" formatCode="0.000">
                  <c:v>1212.9480000000001</c:v>
                </c:pt>
                <c:pt idx="20">
                  <c:v>1299.1420000000001</c:v>
                </c:pt>
                <c:pt idx="21" formatCode="0.000">
                  <c:v>1408.0129999999999</c:v>
                </c:pt>
                <c:pt idx="22">
                  <c:v>80.997900000000001</c:v>
                </c:pt>
                <c:pt idx="23">
                  <c:v>276.39890000000003</c:v>
                </c:pt>
                <c:pt idx="24">
                  <c:v>302.85079999999999</c:v>
                </c:pt>
                <c:pt idx="25">
                  <c:v>356.0129</c:v>
                </c:pt>
                <c:pt idx="26">
                  <c:v>383.8485</c:v>
                </c:pt>
                <c:pt idx="27">
                  <c:v>569.69799999999998</c:v>
                </c:pt>
                <c:pt idx="28">
                  <c:v>1063.6559999999999</c:v>
                </c:pt>
                <c:pt idx="29">
                  <c:v>1770.2280000000001</c:v>
                </c:pt>
              </c:numCache>
            </c:numRef>
          </c:xVal>
          <c:yVal>
            <c:numRef>
              <c:f>'Energy Calibration (2)'!$P$4:$P$33</c:f>
              <c:numCache>
                <c:formatCode>0.000</c:formatCode>
                <c:ptCount val="30"/>
                <c:pt idx="0">
                  <c:v>-0.14893555031744654</c:v>
                </c:pt>
                <c:pt idx="1">
                  <c:v>-0.1565265696572169</c:v>
                </c:pt>
                <c:pt idx="2">
                  <c:v>-0.39652868989878698</c:v>
                </c:pt>
                <c:pt idx="3">
                  <c:v>0.20794849648655145</c:v>
                </c:pt>
                <c:pt idx="4">
                  <c:v>0.24529260279177834</c:v>
                </c:pt>
                <c:pt idx="5">
                  <c:v>-4.9584535501821847E-2</c:v>
                </c:pt>
                <c:pt idx="6">
                  <c:v>-0.27477520190915072</c:v>
                </c:pt>
                <c:pt idx="7">
                  <c:v>-0.108540156529358</c:v>
                </c:pt>
                <c:pt idx="8">
                  <c:v>-6.3708549359034805E-2</c:v>
                </c:pt>
                <c:pt idx="9">
                  <c:v>-0.41344839172330694</c:v>
                </c:pt>
                <c:pt idx="10">
                  <c:v>-3.8120975411175095E-2</c:v>
                </c:pt>
                <c:pt idx="11">
                  <c:v>-4.9362747714042143E-2</c:v>
                </c:pt>
                <c:pt idx="12">
                  <c:v>-1.5575661282809961E-2</c:v>
                </c:pt>
                <c:pt idx="13">
                  <c:v>-6.2535041554724557E-2</c:v>
                </c:pt>
                <c:pt idx="14">
                  <c:v>-3.8062430183686047E-2</c:v>
                </c:pt>
                <c:pt idx="15">
                  <c:v>-0.11178452220940471</c:v>
                </c:pt>
                <c:pt idx="16">
                  <c:v>-0.93531950330361724</c:v>
                </c:pt>
                <c:pt idx="17">
                  <c:v>6.3092999989748932E-2</c:v>
                </c:pt>
                <c:pt idx="18">
                  <c:v>-9.7268016904763499E-2</c:v>
                </c:pt>
                <c:pt idx="19">
                  <c:v>-0.11038732389692996</c:v>
                </c:pt>
                <c:pt idx="20">
                  <c:v>-0.14555735668000125</c:v>
                </c:pt>
                <c:pt idx="21">
                  <c:v>-4.1188602927832108E-2</c:v>
                </c:pt>
                <c:pt idx="22">
                  <c:v>-0.33377334814886694</c:v>
                </c:pt>
                <c:pt idx="23">
                  <c:v>0.29915183717832861</c:v>
                </c:pt>
                <c:pt idx="24">
                  <c:v>0.35571749963554566</c:v>
                </c:pt>
                <c:pt idx="25">
                  <c:v>0.43933854402598627</c:v>
                </c:pt>
                <c:pt idx="26">
                  <c:v>1.571077744381796</c:v>
                </c:pt>
                <c:pt idx="27">
                  <c:v>-0.53672124983688718</c:v>
                </c:pt>
                <c:pt idx="28">
                  <c:v>1.9150422737084227E-2</c:v>
                </c:pt>
                <c:pt idx="29">
                  <c:v>0.92693427772110226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94-4F3B-A489-D587653A7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53912"/>
        <c:axId val="298431504"/>
      </c:scatterChart>
      <c:valAx>
        <c:axId val="541153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Literature</a:t>
                </a:r>
                <a:r>
                  <a:rPr lang="en-GB" baseline="0"/>
                  <a:t> Energy/keV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31504"/>
        <c:crosses val="autoZero"/>
        <c:crossBetween val="midCat"/>
      </c:valAx>
      <c:valAx>
        <c:axId val="298431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Residuals/keV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3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Ratio</a:t>
            </a:r>
            <a:r>
              <a:rPr lang="en-GB" baseline="0"/>
              <a:t> of measured peak vs expected peak against energy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'Energy Efficiency Calibration'!$K$4:$K$36</c:f>
                <c:numCache>
                  <c:formatCode>General</c:formatCode>
                  <c:ptCount val="33"/>
                  <c:pt idx="0">
                    <c:v>1.0699999999999901</c:v>
                  </c:pt>
                  <c:pt idx="1">
                    <c:v>1.2089999999999901</c:v>
                  </c:pt>
                  <c:pt idx="2">
                    <c:v>1.2009999999999901</c:v>
                  </c:pt>
                  <c:pt idx="3">
                    <c:v>1.21399999999999</c:v>
                  </c:pt>
                  <c:pt idx="4">
                    <c:v>1.2229999999999901</c:v>
                  </c:pt>
                  <c:pt idx="5">
                    <c:v>1.86</c:v>
                  </c:pt>
                  <c:pt idx="6">
                    <c:v>1.1359999999999899</c:v>
                  </c:pt>
                  <c:pt idx="7">
                    <c:v>1.12699999999999</c:v>
                  </c:pt>
                  <c:pt idx="8">
                    <c:v>1.6479999999999899</c:v>
                  </c:pt>
                  <c:pt idx="9">
                    <c:v>1.70399999999999</c:v>
                  </c:pt>
                  <c:pt idx="10">
                    <c:v>1.2649999999999999</c:v>
                  </c:pt>
                  <c:pt idx="11">
                    <c:v>1.131</c:v>
                  </c:pt>
                  <c:pt idx="12">
                    <c:v>1.163</c:v>
                  </c:pt>
                  <c:pt idx="13">
                    <c:v>1.1859999999999999</c:v>
                  </c:pt>
                  <c:pt idx="14">
                    <c:v>1.4319999999999999</c:v>
                  </c:pt>
                  <c:pt idx="15">
                    <c:v>1.232</c:v>
                  </c:pt>
                  <c:pt idx="16">
                    <c:v>1.23</c:v>
                  </c:pt>
                  <c:pt idx="17">
                    <c:v>1.1000000000000001</c:v>
                  </c:pt>
                  <c:pt idx="18">
                    <c:v>1.306</c:v>
                  </c:pt>
                  <c:pt idx="19">
                    <c:v>1.353</c:v>
                  </c:pt>
                  <c:pt idx="20">
                    <c:v>1.4239999999999999</c:v>
                  </c:pt>
                  <c:pt idx="21">
                    <c:v>1.41</c:v>
                  </c:pt>
                  <c:pt idx="22">
                    <c:v>1.653</c:v>
                  </c:pt>
                  <c:pt idx="23">
                    <c:v>1.4450000000000001</c:v>
                  </c:pt>
                  <c:pt idx="24">
                    <c:v>1.31</c:v>
                  </c:pt>
                  <c:pt idx="25">
                    <c:v>1.54</c:v>
                  </c:pt>
                  <c:pt idx="26">
                    <c:v>1.5940000000000001</c:v>
                  </c:pt>
                  <c:pt idx="27">
                    <c:v>1.7150000000000001</c:v>
                  </c:pt>
                  <c:pt idx="28">
                    <c:v>1.5209999999999999</c:v>
                  </c:pt>
                  <c:pt idx="29">
                    <c:v>2.1099999999999901</c:v>
                  </c:pt>
                  <c:pt idx="30">
                    <c:v>1.70199999999999</c:v>
                  </c:pt>
                  <c:pt idx="31">
                    <c:v>1.9249999999999901</c:v>
                  </c:pt>
                  <c:pt idx="32">
                    <c:v>2.29</c:v>
                  </c:pt>
                </c:numCache>
              </c:numRef>
            </c:plus>
            <c:minus>
              <c:numRef>
                <c:f>'Energy Efficiency Calibration'!$K$4:$K$36</c:f>
                <c:numCache>
                  <c:formatCode>General</c:formatCode>
                  <c:ptCount val="33"/>
                  <c:pt idx="0">
                    <c:v>1.0699999999999901</c:v>
                  </c:pt>
                  <c:pt idx="1">
                    <c:v>1.2089999999999901</c:v>
                  </c:pt>
                  <c:pt idx="2">
                    <c:v>1.2009999999999901</c:v>
                  </c:pt>
                  <c:pt idx="3">
                    <c:v>1.21399999999999</c:v>
                  </c:pt>
                  <c:pt idx="4">
                    <c:v>1.2229999999999901</c:v>
                  </c:pt>
                  <c:pt idx="5">
                    <c:v>1.86</c:v>
                  </c:pt>
                  <c:pt idx="6">
                    <c:v>1.1359999999999899</c:v>
                  </c:pt>
                  <c:pt idx="7">
                    <c:v>1.12699999999999</c:v>
                  </c:pt>
                  <c:pt idx="8">
                    <c:v>1.6479999999999899</c:v>
                  </c:pt>
                  <c:pt idx="9">
                    <c:v>1.70399999999999</c:v>
                  </c:pt>
                  <c:pt idx="10">
                    <c:v>1.2649999999999999</c:v>
                  </c:pt>
                  <c:pt idx="11">
                    <c:v>1.131</c:v>
                  </c:pt>
                  <c:pt idx="12">
                    <c:v>1.163</c:v>
                  </c:pt>
                  <c:pt idx="13">
                    <c:v>1.1859999999999999</c:v>
                  </c:pt>
                  <c:pt idx="14">
                    <c:v>1.4319999999999999</c:v>
                  </c:pt>
                  <c:pt idx="15">
                    <c:v>1.232</c:v>
                  </c:pt>
                  <c:pt idx="16">
                    <c:v>1.23</c:v>
                  </c:pt>
                  <c:pt idx="17">
                    <c:v>1.1000000000000001</c:v>
                  </c:pt>
                  <c:pt idx="18">
                    <c:v>1.306</c:v>
                  </c:pt>
                  <c:pt idx="19">
                    <c:v>1.353</c:v>
                  </c:pt>
                  <c:pt idx="20">
                    <c:v>1.4239999999999999</c:v>
                  </c:pt>
                  <c:pt idx="21">
                    <c:v>1.41</c:v>
                  </c:pt>
                  <c:pt idx="22">
                    <c:v>1.653</c:v>
                  </c:pt>
                  <c:pt idx="23">
                    <c:v>1.4450000000000001</c:v>
                  </c:pt>
                  <c:pt idx="24">
                    <c:v>1.31</c:v>
                  </c:pt>
                  <c:pt idx="25">
                    <c:v>1.54</c:v>
                  </c:pt>
                  <c:pt idx="26">
                    <c:v>1.5940000000000001</c:v>
                  </c:pt>
                  <c:pt idx="27">
                    <c:v>1.7150000000000001</c:v>
                  </c:pt>
                  <c:pt idx="28">
                    <c:v>1.5209999999999999</c:v>
                  </c:pt>
                  <c:pt idx="29">
                    <c:v>2.1099999999999901</c:v>
                  </c:pt>
                  <c:pt idx="30">
                    <c:v>1.70199999999999</c:v>
                  </c:pt>
                  <c:pt idx="31">
                    <c:v>1.9249999999999901</c:v>
                  </c:pt>
                  <c:pt idx="32">
                    <c:v>2.29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'Energy Efficiency Calibration'!$X$4:$X$36</c:f>
                <c:numCache>
                  <c:formatCode>General</c:formatCode>
                  <c:ptCount val="33"/>
                  <c:pt idx="0">
                    <c:v>3.1691533983581007E-4</c:v>
                  </c:pt>
                  <c:pt idx="1">
                    <c:v>4.1232321096643896E-4</c:v>
                  </c:pt>
                  <c:pt idx="2">
                    <c:v>1.55005293580888E-4</c:v>
                  </c:pt>
                  <c:pt idx="3">
                    <c:v>1.4573832949149208E-4</c:v>
                  </c:pt>
                  <c:pt idx="4">
                    <c:v>1.2844175973486532E-4</c:v>
                  </c:pt>
                  <c:pt idx="5">
                    <c:v>1.8936208645797868E-4</c:v>
                  </c:pt>
                  <c:pt idx="6">
                    <c:v>1.3916871351180816E-3</c:v>
                  </c:pt>
                  <c:pt idx="7">
                    <c:v>1.2162208917988965E-3</c:v>
                  </c:pt>
                  <c:pt idx="8">
                    <c:v>5.7433005034132243E-4</c:v>
                  </c:pt>
                  <c:pt idx="9">
                    <c:v>5.1292147317630809E-4</c:v>
                  </c:pt>
                  <c:pt idx="10">
                    <c:v>7.5492410265819501E-4</c:v>
                  </c:pt>
                  <c:pt idx="11">
                    <c:v>1.3002891379578602E-3</c:v>
                  </c:pt>
                  <c:pt idx="12">
                    <c:v>6.8444459176175427E-4</c:v>
                  </c:pt>
                  <c:pt idx="13">
                    <c:v>5.4438933508235753E-4</c:v>
                  </c:pt>
                  <c:pt idx="14">
                    <c:v>6.8131161576441242E-4</c:v>
                  </c:pt>
                  <c:pt idx="15">
                    <c:v>4.3284714829700942E-4</c:v>
                  </c:pt>
                  <c:pt idx="16">
                    <c:v>4.2706804428509974E-4</c:v>
                  </c:pt>
                  <c:pt idx="17">
                    <c:v>2.6756578997142681E-4</c:v>
                  </c:pt>
                  <c:pt idx="18">
                    <c:v>2.352315445355187E-4</c:v>
                  </c:pt>
                  <c:pt idx="19">
                    <c:v>1.9081281653022099E-4</c:v>
                  </c:pt>
                  <c:pt idx="20">
                    <c:v>1.8573984355337687E-4</c:v>
                  </c:pt>
                  <c:pt idx="21">
                    <c:v>6.1295464975669417E-4</c:v>
                  </c:pt>
                  <c:pt idx="22">
                    <c:v>2.0476399446453145E-4</c:v>
                  </c:pt>
                  <c:pt idx="23">
                    <c:v>1.6608824749636092E-4</c:v>
                  </c:pt>
                  <c:pt idx="24">
                    <c:v>1.2992978173973106E-4</c:v>
                  </c:pt>
                  <c:pt idx="25">
                    <c:v>1.5001262880776816E-4</c:v>
                  </c:pt>
                  <c:pt idx="26">
                    <c:v>1.315155561470625E-4</c:v>
                  </c:pt>
                  <c:pt idx="27">
                    <c:v>1.2808745295736644E-3</c:v>
                  </c:pt>
                  <c:pt idx="28">
                    <c:v>5.6991837216991033E-4</c:v>
                  </c:pt>
                  <c:pt idx="29">
                    <c:v>3.8901641863799009E-3</c:v>
                  </c:pt>
                  <c:pt idx="30">
                    <c:v>6.8884819588207991E-4</c:v>
                  </c:pt>
                  <c:pt idx="31">
                    <c:v>3.9590570602363089E-4</c:v>
                  </c:pt>
                  <c:pt idx="32">
                    <c:v>2.5331810892362532E-4</c:v>
                  </c:pt>
                </c:numCache>
              </c:numRef>
            </c:plus>
            <c:minus>
              <c:numRef>
                <c:f>'Energy Efficiency Calibration'!$X$4:$X$36</c:f>
                <c:numCache>
                  <c:formatCode>General</c:formatCode>
                  <c:ptCount val="33"/>
                  <c:pt idx="0">
                    <c:v>3.1691533983581007E-4</c:v>
                  </c:pt>
                  <c:pt idx="1">
                    <c:v>4.1232321096643896E-4</c:v>
                  </c:pt>
                  <c:pt idx="2">
                    <c:v>1.55005293580888E-4</c:v>
                  </c:pt>
                  <c:pt idx="3">
                    <c:v>1.4573832949149208E-4</c:v>
                  </c:pt>
                  <c:pt idx="4">
                    <c:v>1.2844175973486532E-4</c:v>
                  </c:pt>
                  <c:pt idx="5">
                    <c:v>1.8936208645797868E-4</c:v>
                  </c:pt>
                  <c:pt idx="6">
                    <c:v>1.3916871351180816E-3</c:v>
                  </c:pt>
                  <c:pt idx="7">
                    <c:v>1.2162208917988965E-3</c:v>
                  </c:pt>
                  <c:pt idx="8">
                    <c:v>5.7433005034132243E-4</c:v>
                  </c:pt>
                  <c:pt idx="9">
                    <c:v>5.1292147317630809E-4</c:v>
                  </c:pt>
                  <c:pt idx="10">
                    <c:v>7.5492410265819501E-4</c:v>
                  </c:pt>
                  <c:pt idx="11">
                    <c:v>1.3002891379578602E-3</c:v>
                  </c:pt>
                  <c:pt idx="12">
                    <c:v>6.8444459176175427E-4</c:v>
                  </c:pt>
                  <c:pt idx="13">
                    <c:v>5.4438933508235753E-4</c:v>
                  </c:pt>
                  <c:pt idx="14">
                    <c:v>6.8131161576441242E-4</c:v>
                  </c:pt>
                  <c:pt idx="15">
                    <c:v>4.3284714829700942E-4</c:v>
                  </c:pt>
                  <c:pt idx="16">
                    <c:v>4.2706804428509974E-4</c:v>
                  </c:pt>
                  <c:pt idx="17">
                    <c:v>2.6756578997142681E-4</c:v>
                  </c:pt>
                  <c:pt idx="18">
                    <c:v>2.352315445355187E-4</c:v>
                  </c:pt>
                  <c:pt idx="19">
                    <c:v>1.9081281653022099E-4</c:v>
                  </c:pt>
                  <c:pt idx="20">
                    <c:v>1.8573984355337687E-4</c:v>
                  </c:pt>
                  <c:pt idx="21">
                    <c:v>6.1295464975669417E-4</c:v>
                  </c:pt>
                  <c:pt idx="22">
                    <c:v>2.0476399446453145E-4</c:v>
                  </c:pt>
                  <c:pt idx="23">
                    <c:v>1.6608824749636092E-4</c:v>
                  </c:pt>
                  <c:pt idx="24">
                    <c:v>1.2992978173973106E-4</c:v>
                  </c:pt>
                  <c:pt idx="25">
                    <c:v>1.5001262880776816E-4</c:v>
                  </c:pt>
                  <c:pt idx="26">
                    <c:v>1.315155561470625E-4</c:v>
                  </c:pt>
                  <c:pt idx="27">
                    <c:v>1.2808745295736644E-3</c:v>
                  </c:pt>
                  <c:pt idx="28">
                    <c:v>5.6991837216991033E-4</c:v>
                  </c:pt>
                  <c:pt idx="29">
                    <c:v>3.8901641863799009E-3</c:v>
                  </c:pt>
                  <c:pt idx="30">
                    <c:v>6.8884819588207991E-4</c:v>
                  </c:pt>
                  <c:pt idx="31">
                    <c:v>3.9590570602363089E-4</c:v>
                  </c:pt>
                  <c:pt idx="32">
                    <c:v>2.5331810892362532E-4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'Energy Efficiency Calibration'!$J$4:$J$36</c:f>
              <c:numCache>
                <c:formatCode>0.000</c:formatCode>
                <c:ptCount val="33"/>
                <c:pt idx="0">
                  <c:v>30.948</c:v>
                </c:pt>
                <c:pt idx="1">
                  <c:v>81.247</c:v>
                </c:pt>
                <c:pt idx="2">
                  <c:v>277.54599999999903</c:v>
                </c:pt>
                <c:pt idx="3">
                  <c:v>304.099999999999</c:v>
                </c:pt>
                <c:pt idx="4">
                  <c:v>357.41099999999898</c:v>
                </c:pt>
                <c:pt idx="5">
                  <c:v>385.94999999999902</c:v>
                </c:pt>
                <c:pt idx="6" formatCode="General">
                  <c:v>39.907999999999902</c:v>
                </c:pt>
                <c:pt idx="7" formatCode="General">
                  <c:v>45.537999999999897</c:v>
                </c:pt>
                <c:pt idx="8" formatCode="General">
                  <c:v>1176.78899999999</c:v>
                </c:pt>
                <c:pt idx="9" formatCode="General">
                  <c:v>1336.5129999999899</c:v>
                </c:pt>
                <c:pt idx="10">
                  <c:v>662.74400000000003</c:v>
                </c:pt>
                <c:pt idx="11">
                  <c:v>122.20399999999999</c:v>
                </c:pt>
                <c:pt idx="12">
                  <c:v>245.386</c:v>
                </c:pt>
                <c:pt idx="13">
                  <c:v>345.09300000000002</c:v>
                </c:pt>
                <c:pt idx="14">
                  <c:v>368.27300000000002</c:v>
                </c:pt>
                <c:pt idx="15">
                  <c:v>412.01100000000002</c:v>
                </c:pt>
                <c:pt idx="16">
                  <c:v>444.875</c:v>
                </c:pt>
                <c:pt idx="17">
                  <c:v>689.81299999999999</c:v>
                </c:pt>
                <c:pt idx="18">
                  <c:v>780.07399999999996</c:v>
                </c:pt>
                <c:pt idx="19">
                  <c:v>868.64599999999996</c:v>
                </c:pt>
                <c:pt idx="20">
                  <c:v>965.35</c:v>
                </c:pt>
                <c:pt idx="21">
                  <c:v>1005.753</c:v>
                </c:pt>
                <c:pt idx="22">
                  <c:v>1087.3820000000001</c:v>
                </c:pt>
                <c:pt idx="23">
                  <c:v>1113.482</c:v>
                </c:pt>
                <c:pt idx="24">
                  <c:v>1214.423</c:v>
                </c:pt>
                <c:pt idx="25">
                  <c:v>1300.652</c:v>
                </c:pt>
                <c:pt idx="26">
                  <c:v>1409.7159999999999</c:v>
                </c:pt>
                <c:pt idx="27">
                  <c:v>511.86500000000001</c:v>
                </c:pt>
                <c:pt idx="28">
                  <c:v>1276.0160000000001</c:v>
                </c:pt>
                <c:pt idx="29">
                  <c:v>73.063000000000002</c:v>
                </c:pt>
                <c:pt idx="30" formatCode="General">
                  <c:v>570.22299999999905</c:v>
                </c:pt>
                <c:pt idx="31" formatCode="General">
                  <c:v>1065.1389999999899</c:v>
                </c:pt>
                <c:pt idx="32" formatCode="General">
                  <c:v>1773.19399999999</c:v>
                </c:pt>
              </c:numCache>
            </c:numRef>
          </c:xVal>
          <c:yVal>
            <c:numRef>
              <c:f>'Energy Efficiency Calibration'!$W$4:$W$36</c:f>
              <c:numCache>
                <c:formatCode>General</c:formatCode>
                <c:ptCount val="33"/>
                <c:pt idx="0">
                  <c:v>5.0619957679677923E-3</c:v>
                </c:pt>
                <c:pt idx="1">
                  <c:v>6.5768344717993697E-3</c:v>
                </c:pt>
                <c:pt idx="2">
                  <c:v>2.4754262984147814E-3</c:v>
                </c:pt>
                <c:pt idx="3">
                  <c:v>2.3380134412235498E-3</c:v>
                </c:pt>
                <c:pt idx="4">
                  <c:v>2.0676875658841294E-3</c:v>
                </c:pt>
                <c:pt idx="5">
                  <c:v>3.0341245085717893E-3</c:v>
                </c:pt>
                <c:pt idx="6">
                  <c:v>4.5361847115104943E-2</c:v>
                </c:pt>
                <c:pt idx="7">
                  <c:v>3.7797025414790283E-2</c:v>
                </c:pt>
                <c:pt idx="8">
                  <c:v>7.9468340560691995E-3</c:v>
                </c:pt>
                <c:pt idx="9">
                  <c:v>7.0972070370200688E-3</c:v>
                </c:pt>
                <c:pt idx="10">
                  <c:v>1.2333291748707481E-2</c:v>
                </c:pt>
                <c:pt idx="11">
                  <c:v>4.4266622983775927E-2</c:v>
                </c:pt>
                <c:pt idx="12">
                  <c:v>2.3205137931376605E-2</c:v>
                </c:pt>
                <c:pt idx="13">
                  <c:v>1.8539315279753443E-2</c:v>
                </c:pt>
                <c:pt idx="14">
                  <c:v>2.2987670282845537E-2</c:v>
                </c:pt>
                <c:pt idx="15">
                  <c:v>1.4737548206445364E-2</c:v>
                </c:pt>
                <c:pt idx="16">
                  <c:v>1.4287932835042488E-2</c:v>
                </c:pt>
                <c:pt idx="17">
                  <c:v>8.8940372702729694E-3</c:v>
                </c:pt>
                <c:pt idx="18">
                  <c:v>8.0058176182130677E-3</c:v>
                </c:pt>
                <c:pt idx="19">
                  <c:v>6.4595249810153578E-3</c:v>
                </c:pt>
                <c:pt idx="20">
                  <c:v>6.3370634118830559E-3</c:v>
                </c:pt>
                <c:pt idx="21">
                  <c:v>1.3409584660473478E-2</c:v>
                </c:pt>
                <c:pt idx="22">
                  <c:v>6.9136490546276175E-3</c:v>
                </c:pt>
                <c:pt idx="23">
                  <c:v>5.6568460652207612E-3</c:v>
                </c:pt>
                <c:pt idx="24">
                  <c:v>4.3112214977551033E-3</c:v>
                </c:pt>
                <c:pt idx="25">
                  <c:v>5.0224864871216994E-3</c:v>
                </c:pt>
                <c:pt idx="26">
                  <c:v>4.493315840044608E-3</c:v>
                </c:pt>
                <c:pt idx="27">
                  <c:v>9.2028316604405667E-3</c:v>
                </c:pt>
                <c:pt idx="28">
                  <c:v>4.0946992589552195E-3</c:v>
                </c:pt>
                <c:pt idx="29">
                  <c:v>2.7861887149262982E-2</c:v>
                </c:pt>
                <c:pt idx="30">
                  <c:v>4.9493827230486917E-3</c:v>
                </c:pt>
                <c:pt idx="31">
                  <c:v>2.8439554168860162E-3</c:v>
                </c:pt>
                <c:pt idx="32">
                  <c:v>1.8189620737943161E-3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7-4909-9B8F-0810CD774A10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'Energy Efficiency Calibration'!$AV$4:$AV$390</c:f>
              <c:numCache>
                <c:formatCode>General</c:formatCode>
                <c:ptCount val="387"/>
                <c:pt idx="0">
                  <c:v>36</c:v>
                </c:pt>
                <c:pt idx="1">
                  <c:v>41</c:v>
                </c:pt>
                <c:pt idx="2">
                  <c:v>46</c:v>
                </c:pt>
                <c:pt idx="3">
                  <c:v>51</c:v>
                </c:pt>
                <c:pt idx="4">
                  <c:v>56</c:v>
                </c:pt>
                <c:pt idx="5">
                  <c:v>61</c:v>
                </c:pt>
                <c:pt idx="6">
                  <c:v>66</c:v>
                </c:pt>
                <c:pt idx="7">
                  <c:v>71</c:v>
                </c:pt>
                <c:pt idx="8">
                  <c:v>76</c:v>
                </c:pt>
                <c:pt idx="9">
                  <c:v>81</c:v>
                </c:pt>
                <c:pt idx="10">
                  <c:v>86</c:v>
                </c:pt>
                <c:pt idx="11">
                  <c:v>91</c:v>
                </c:pt>
                <c:pt idx="12">
                  <c:v>96</c:v>
                </c:pt>
                <c:pt idx="13">
                  <c:v>101</c:v>
                </c:pt>
                <c:pt idx="14">
                  <c:v>106</c:v>
                </c:pt>
                <c:pt idx="15">
                  <c:v>111</c:v>
                </c:pt>
                <c:pt idx="16">
                  <c:v>116</c:v>
                </c:pt>
                <c:pt idx="17">
                  <c:v>121</c:v>
                </c:pt>
                <c:pt idx="18">
                  <c:v>126</c:v>
                </c:pt>
                <c:pt idx="19">
                  <c:v>131</c:v>
                </c:pt>
                <c:pt idx="20">
                  <c:v>136</c:v>
                </c:pt>
                <c:pt idx="21">
                  <c:v>141</c:v>
                </c:pt>
                <c:pt idx="22">
                  <c:v>146</c:v>
                </c:pt>
                <c:pt idx="23">
                  <c:v>151</c:v>
                </c:pt>
                <c:pt idx="24">
                  <c:v>156</c:v>
                </c:pt>
                <c:pt idx="25">
                  <c:v>161</c:v>
                </c:pt>
                <c:pt idx="26">
                  <c:v>166</c:v>
                </c:pt>
                <c:pt idx="27">
                  <c:v>171</c:v>
                </c:pt>
                <c:pt idx="28">
                  <c:v>176</c:v>
                </c:pt>
                <c:pt idx="29">
                  <c:v>181</c:v>
                </c:pt>
                <c:pt idx="30">
                  <c:v>186</c:v>
                </c:pt>
                <c:pt idx="31">
                  <c:v>191</c:v>
                </c:pt>
                <c:pt idx="32">
                  <c:v>196</c:v>
                </c:pt>
                <c:pt idx="33">
                  <c:v>201</c:v>
                </c:pt>
                <c:pt idx="34">
                  <c:v>206</c:v>
                </c:pt>
                <c:pt idx="35">
                  <c:v>211</c:v>
                </c:pt>
                <c:pt idx="36">
                  <c:v>216</c:v>
                </c:pt>
                <c:pt idx="37">
                  <c:v>221</c:v>
                </c:pt>
                <c:pt idx="38">
                  <c:v>226</c:v>
                </c:pt>
                <c:pt idx="39">
                  <c:v>231</c:v>
                </c:pt>
                <c:pt idx="40">
                  <c:v>236</c:v>
                </c:pt>
                <c:pt idx="41">
                  <c:v>241</c:v>
                </c:pt>
                <c:pt idx="42">
                  <c:v>246</c:v>
                </c:pt>
                <c:pt idx="43">
                  <c:v>251</c:v>
                </c:pt>
                <c:pt idx="44">
                  <c:v>256</c:v>
                </c:pt>
                <c:pt idx="45">
                  <c:v>261</c:v>
                </c:pt>
                <c:pt idx="46">
                  <c:v>266</c:v>
                </c:pt>
                <c:pt idx="47">
                  <c:v>271</c:v>
                </c:pt>
                <c:pt idx="48">
                  <c:v>276</c:v>
                </c:pt>
                <c:pt idx="49">
                  <c:v>281</c:v>
                </c:pt>
                <c:pt idx="50">
                  <c:v>286</c:v>
                </c:pt>
                <c:pt idx="51">
                  <c:v>291</c:v>
                </c:pt>
                <c:pt idx="52">
                  <c:v>296</c:v>
                </c:pt>
                <c:pt idx="53">
                  <c:v>301</c:v>
                </c:pt>
                <c:pt idx="54">
                  <c:v>306</c:v>
                </c:pt>
                <c:pt idx="55">
                  <c:v>311</c:v>
                </c:pt>
                <c:pt idx="56">
                  <c:v>316</c:v>
                </c:pt>
                <c:pt idx="57">
                  <c:v>321</c:v>
                </c:pt>
                <c:pt idx="58">
                  <c:v>326</c:v>
                </c:pt>
                <c:pt idx="59">
                  <c:v>331</c:v>
                </c:pt>
                <c:pt idx="60">
                  <c:v>336</c:v>
                </c:pt>
                <c:pt idx="61">
                  <c:v>341</c:v>
                </c:pt>
                <c:pt idx="62">
                  <c:v>346</c:v>
                </c:pt>
                <c:pt idx="63">
                  <c:v>351</c:v>
                </c:pt>
                <c:pt idx="64">
                  <c:v>356</c:v>
                </c:pt>
                <c:pt idx="65">
                  <c:v>361</c:v>
                </c:pt>
                <c:pt idx="66">
                  <c:v>366</c:v>
                </c:pt>
                <c:pt idx="67">
                  <c:v>371</c:v>
                </c:pt>
                <c:pt idx="68">
                  <c:v>376</c:v>
                </c:pt>
                <c:pt idx="69">
                  <c:v>381</c:v>
                </c:pt>
                <c:pt idx="70">
                  <c:v>386</c:v>
                </c:pt>
                <c:pt idx="71">
                  <c:v>391</c:v>
                </c:pt>
                <c:pt idx="72">
                  <c:v>396</c:v>
                </c:pt>
                <c:pt idx="73">
                  <c:v>401</c:v>
                </c:pt>
                <c:pt idx="74">
                  <c:v>406</c:v>
                </c:pt>
                <c:pt idx="75">
                  <c:v>411</c:v>
                </c:pt>
                <c:pt idx="76">
                  <c:v>416</c:v>
                </c:pt>
                <c:pt idx="77">
                  <c:v>421</c:v>
                </c:pt>
                <c:pt idx="78">
                  <c:v>426</c:v>
                </c:pt>
                <c:pt idx="79">
                  <c:v>431</c:v>
                </c:pt>
                <c:pt idx="80">
                  <c:v>436</c:v>
                </c:pt>
                <c:pt idx="81">
                  <c:v>441</c:v>
                </c:pt>
                <c:pt idx="82">
                  <c:v>446</c:v>
                </c:pt>
                <c:pt idx="83">
                  <c:v>451</c:v>
                </c:pt>
                <c:pt idx="84">
                  <c:v>456</c:v>
                </c:pt>
                <c:pt idx="85">
                  <c:v>461</c:v>
                </c:pt>
                <c:pt idx="86">
                  <c:v>466</c:v>
                </c:pt>
                <c:pt idx="87">
                  <c:v>471</c:v>
                </c:pt>
                <c:pt idx="88">
                  <c:v>476</c:v>
                </c:pt>
                <c:pt idx="89">
                  <c:v>481</c:v>
                </c:pt>
                <c:pt idx="90">
                  <c:v>486</c:v>
                </c:pt>
                <c:pt idx="91">
                  <c:v>491</c:v>
                </c:pt>
                <c:pt idx="92">
                  <c:v>496</c:v>
                </c:pt>
                <c:pt idx="93">
                  <c:v>501</c:v>
                </c:pt>
                <c:pt idx="94">
                  <c:v>506</c:v>
                </c:pt>
                <c:pt idx="95">
                  <c:v>511</c:v>
                </c:pt>
                <c:pt idx="96">
                  <c:v>516</c:v>
                </c:pt>
                <c:pt idx="97">
                  <c:v>521</c:v>
                </c:pt>
                <c:pt idx="98">
                  <c:v>526</c:v>
                </c:pt>
                <c:pt idx="99">
                  <c:v>531</c:v>
                </c:pt>
                <c:pt idx="100">
                  <c:v>536</c:v>
                </c:pt>
                <c:pt idx="101">
                  <c:v>541</c:v>
                </c:pt>
                <c:pt idx="102">
                  <c:v>546</c:v>
                </c:pt>
                <c:pt idx="103">
                  <c:v>551</c:v>
                </c:pt>
                <c:pt idx="104">
                  <c:v>556</c:v>
                </c:pt>
                <c:pt idx="105">
                  <c:v>561</c:v>
                </c:pt>
                <c:pt idx="106">
                  <c:v>566</c:v>
                </c:pt>
                <c:pt idx="107">
                  <c:v>571</c:v>
                </c:pt>
                <c:pt idx="108">
                  <c:v>576</c:v>
                </c:pt>
                <c:pt idx="109">
                  <c:v>581</c:v>
                </c:pt>
                <c:pt idx="110">
                  <c:v>586</c:v>
                </c:pt>
                <c:pt idx="111">
                  <c:v>591</c:v>
                </c:pt>
                <c:pt idx="112">
                  <c:v>596</c:v>
                </c:pt>
                <c:pt idx="113">
                  <c:v>601</c:v>
                </c:pt>
                <c:pt idx="114">
                  <c:v>606</c:v>
                </c:pt>
                <c:pt idx="115">
                  <c:v>611</c:v>
                </c:pt>
                <c:pt idx="116">
                  <c:v>616</c:v>
                </c:pt>
                <c:pt idx="117">
                  <c:v>621</c:v>
                </c:pt>
                <c:pt idx="118">
                  <c:v>626</c:v>
                </c:pt>
                <c:pt idx="119">
                  <c:v>631</c:v>
                </c:pt>
                <c:pt idx="120">
                  <c:v>636</c:v>
                </c:pt>
                <c:pt idx="121">
                  <c:v>641</c:v>
                </c:pt>
                <c:pt idx="122">
                  <c:v>646</c:v>
                </c:pt>
                <c:pt idx="123">
                  <c:v>651</c:v>
                </c:pt>
                <c:pt idx="124">
                  <c:v>656</c:v>
                </c:pt>
                <c:pt idx="125">
                  <c:v>661</c:v>
                </c:pt>
                <c:pt idx="126">
                  <c:v>666</c:v>
                </c:pt>
                <c:pt idx="127">
                  <c:v>671</c:v>
                </c:pt>
                <c:pt idx="128">
                  <c:v>676</c:v>
                </c:pt>
                <c:pt idx="129">
                  <c:v>681</c:v>
                </c:pt>
                <c:pt idx="130">
                  <c:v>686</c:v>
                </c:pt>
                <c:pt idx="131">
                  <c:v>691</c:v>
                </c:pt>
                <c:pt idx="132">
                  <c:v>696</c:v>
                </c:pt>
                <c:pt idx="133">
                  <c:v>701</c:v>
                </c:pt>
                <c:pt idx="134">
                  <c:v>706</c:v>
                </c:pt>
                <c:pt idx="135">
                  <c:v>711</c:v>
                </c:pt>
                <c:pt idx="136">
                  <c:v>716</c:v>
                </c:pt>
                <c:pt idx="137">
                  <c:v>721</c:v>
                </c:pt>
                <c:pt idx="138">
                  <c:v>726</c:v>
                </c:pt>
                <c:pt idx="139">
                  <c:v>731</c:v>
                </c:pt>
                <c:pt idx="140">
                  <c:v>736</c:v>
                </c:pt>
                <c:pt idx="141">
                  <c:v>741</c:v>
                </c:pt>
                <c:pt idx="142">
                  <c:v>746</c:v>
                </c:pt>
                <c:pt idx="143">
                  <c:v>751</c:v>
                </c:pt>
                <c:pt idx="144">
                  <c:v>756</c:v>
                </c:pt>
                <c:pt idx="145">
                  <c:v>761</c:v>
                </c:pt>
                <c:pt idx="146">
                  <c:v>766</c:v>
                </c:pt>
                <c:pt idx="147">
                  <c:v>771</c:v>
                </c:pt>
                <c:pt idx="148">
                  <c:v>776</c:v>
                </c:pt>
                <c:pt idx="149">
                  <c:v>781</c:v>
                </c:pt>
                <c:pt idx="150">
                  <c:v>786</c:v>
                </c:pt>
                <c:pt idx="151">
                  <c:v>791</c:v>
                </c:pt>
                <c:pt idx="152">
                  <c:v>796</c:v>
                </c:pt>
                <c:pt idx="153">
                  <c:v>801</c:v>
                </c:pt>
                <c:pt idx="154">
                  <c:v>806</c:v>
                </c:pt>
                <c:pt idx="155">
                  <c:v>811</c:v>
                </c:pt>
                <c:pt idx="156">
                  <c:v>816</c:v>
                </c:pt>
                <c:pt idx="157">
                  <c:v>821</c:v>
                </c:pt>
                <c:pt idx="158">
                  <c:v>826</c:v>
                </c:pt>
                <c:pt idx="159">
                  <c:v>831</c:v>
                </c:pt>
                <c:pt idx="160">
                  <c:v>836</c:v>
                </c:pt>
                <c:pt idx="161">
                  <c:v>841</c:v>
                </c:pt>
                <c:pt idx="162">
                  <c:v>846</c:v>
                </c:pt>
                <c:pt idx="163">
                  <c:v>851</c:v>
                </c:pt>
                <c:pt idx="164">
                  <c:v>856</c:v>
                </c:pt>
                <c:pt idx="165">
                  <c:v>861</c:v>
                </c:pt>
                <c:pt idx="166">
                  <c:v>866</c:v>
                </c:pt>
                <c:pt idx="167">
                  <c:v>871</c:v>
                </c:pt>
                <c:pt idx="168">
                  <c:v>876</c:v>
                </c:pt>
                <c:pt idx="169">
                  <c:v>881</c:v>
                </c:pt>
                <c:pt idx="170">
                  <c:v>886</c:v>
                </c:pt>
                <c:pt idx="171">
                  <c:v>891</c:v>
                </c:pt>
                <c:pt idx="172">
                  <c:v>896</c:v>
                </c:pt>
                <c:pt idx="173">
                  <c:v>901</c:v>
                </c:pt>
                <c:pt idx="174">
                  <c:v>906</c:v>
                </c:pt>
                <c:pt idx="175">
                  <c:v>911</c:v>
                </c:pt>
                <c:pt idx="176">
                  <c:v>916</c:v>
                </c:pt>
                <c:pt idx="177">
                  <c:v>921</c:v>
                </c:pt>
                <c:pt idx="178">
                  <c:v>926</c:v>
                </c:pt>
                <c:pt idx="179">
                  <c:v>931</c:v>
                </c:pt>
                <c:pt idx="180">
                  <c:v>936</c:v>
                </c:pt>
                <c:pt idx="181">
                  <c:v>941</c:v>
                </c:pt>
                <c:pt idx="182">
                  <c:v>946</c:v>
                </c:pt>
                <c:pt idx="183">
                  <c:v>951</c:v>
                </c:pt>
                <c:pt idx="184">
                  <c:v>956</c:v>
                </c:pt>
                <c:pt idx="185">
                  <c:v>961</c:v>
                </c:pt>
                <c:pt idx="186">
                  <c:v>966</c:v>
                </c:pt>
                <c:pt idx="187">
                  <c:v>971</c:v>
                </c:pt>
                <c:pt idx="188">
                  <c:v>976</c:v>
                </c:pt>
                <c:pt idx="189">
                  <c:v>981</c:v>
                </c:pt>
                <c:pt idx="190">
                  <c:v>986</c:v>
                </c:pt>
                <c:pt idx="191">
                  <c:v>991</c:v>
                </c:pt>
                <c:pt idx="192">
                  <c:v>996</c:v>
                </c:pt>
                <c:pt idx="193">
                  <c:v>1001</c:v>
                </c:pt>
                <c:pt idx="194">
                  <c:v>1006</c:v>
                </c:pt>
                <c:pt idx="195">
                  <c:v>1011</c:v>
                </c:pt>
                <c:pt idx="196">
                  <c:v>1016</c:v>
                </c:pt>
                <c:pt idx="197">
                  <c:v>1021</c:v>
                </c:pt>
                <c:pt idx="198">
                  <c:v>1026</c:v>
                </c:pt>
                <c:pt idx="199">
                  <c:v>1031</c:v>
                </c:pt>
                <c:pt idx="200">
                  <c:v>1036</c:v>
                </c:pt>
                <c:pt idx="201">
                  <c:v>1041</c:v>
                </c:pt>
                <c:pt idx="202">
                  <c:v>1046</c:v>
                </c:pt>
                <c:pt idx="203">
                  <c:v>1051</c:v>
                </c:pt>
                <c:pt idx="204">
                  <c:v>1056</c:v>
                </c:pt>
                <c:pt idx="205">
                  <c:v>1061</c:v>
                </c:pt>
                <c:pt idx="206">
                  <c:v>1066</c:v>
                </c:pt>
                <c:pt idx="207">
                  <c:v>1071</c:v>
                </c:pt>
                <c:pt idx="208">
                  <c:v>1076</c:v>
                </c:pt>
                <c:pt idx="209">
                  <c:v>1081</c:v>
                </c:pt>
                <c:pt idx="210">
                  <c:v>1086</c:v>
                </c:pt>
                <c:pt idx="211">
                  <c:v>1091</c:v>
                </c:pt>
                <c:pt idx="212">
                  <c:v>1096</c:v>
                </c:pt>
                <c:pt idx="213">
                  <c:v>1101</c:v>
                </c:pt>
                <c:pt idx="214">
                  <c:v>1106</c:v>
                </c:pt>
                <c:pt idx="215">
                  <c:v>1111</c:v>
                </c:pt>
                <c:pt idx="216">
                  <c:v>1116</c:v>
                </c:pt>
                <c:pt idx="217">
                  <c:v>1121</c:v>
                </c:pt>
                <c:pt idx="218">
                  <c:v>1126</c:v>
                </c:pt>
                <c:pt idx="219">
                  <c:v>1131</c:v>
                </c:pt>
                <c:pt idx="220">
                  <c:v>1136</c:v>
                </c:pt>
                <c:pt idx="221">
                  <c:v>1141</c:v>
                </c:pt>
                <c:pt idx="222">
                  <c:v>1146</c:v>
                </c:pt>
                <c:pt idx="223">
                  <c:v>1151</c:v>
                </c:pt>
                <c:pt idx="224">
                  <c:v>1156</c:v>
                </c:pt>
                <c:pt idx="225">
                  <c:v>1161</c:v>
                </c:pt>
                <c:pt idx="226">
                  <c:v>1166</c:v>
                </c:pt>
                <c:pt idx="227">
                  <c:v>1171</c:v>
                </c:pt>
                <c:pt idx="228">
                  <c:v>1176</c:v>
                </c:pt>
                <c:pt idx="229">
                  <c:v>1181</c:v>
                </c:pt>
                <c:pt idx="230">
                  <c:v>1186</c:v>
                </c:pt>
                <c:pt idx="231">
                  <c:v>1191</c:v>
                </c:pt>
                <c:pt idx="232">
                  <c:v>1196</c:v>
                </c:pt>
                <c:pt idx="233">
                  <c:v>1201</c:v>
                </c:pt>
                <c:pt idx="234">
                  <c:v>1206</c:v>
                </c:pt>
                <c:pt idx="235">
                  <c:v>1211</c:v>
                </c:pt>
                <c:pt idx="236">
                  <c:v>1216</c:v>
                </c:pt>
                <c:pt idx="237">
                  <c:v>1221</c:v>
                </c:pt>
                <c:pt idx="238">
                  <c:v>1226</c:v>
                </c:pt>
                <c:pt idx="239">
                  <c:v>1231</c:v>
                </c:pt>
                <c:pt idx="240">
                  <c:v>1236</c:v>
                </c:pt>
                <c:pt idx="241">
                  <c:v>1241</c:v>
                </c:pt>
                <c:pt idx="242">
                  <c:v>1246</c:v>
                </c:pt>
                <c:pt idx="243">
                  <c:v>1251</c:v>
                </c:pt>
                <c:pt idx="244">
                  <c:v>1256</c:v>
                </c:pt>
                <c:pt idx="245">
                  <c:v>1261</c:v>
                </c:pt>
                <c:pt idx="246">
                  <c:v>1266</c:v>
                </c:pt>
                <c:pt idx="247">
                  <c:v>1271</c:v>
                </c:pt>
                <c:pt idx="248">
                  <c:v>1276</c:v>
                </c:pt>
                <c:pt idx="249">
                  <c:v>1281</c:v>
                </c:pt>
                <c:pt idx="250">
                  <c:v>1286</c:v>
                </c:pt>
                <c:pt idx="251">
                  <c:v>1291</c:v>
                </c:pt>
                <c:pt idx="252">
                  <c:v>1296</c:v>
                </c:pt>
                <c:pt idx="253">
                  <c:v>1301</c:v>
                </c:pt>
                <c:pt idx="254">
                  <c:v>1306</c:v>
                </c:pt>
                <c:pt idx="255">
                  <c:v>1311</c:v>
                </c:pt>
                <c:pt idx="256">
                  <c:v>1316</c:v>
                </c:pt>
                <c:pt idx="257">
                  <c:v>1321</c:v>
                </c:pt>
                <c:pt idx="258">
                  <c:v>1326</c:v>
                </c:pt>
                <c:pt idx="259">
                  <c:v>1331</c:v>
                </c:pt>
                <c:pt idx="260">
                  <c:v>1336</c:v>
                </c:pt>
                <c:pt idx="261">
                  <c:v>1341</c:v>
                </c:pt>
                <c:pt idx="262">
                  <c:v>1346</c:v>
                </c:pt>
                <c:pt idx="263">
                  <c:v>1351</c:v>
                </c:pt>
                <c:pt idx="264">
                  <c:v>1356</c:v>
                </c:pt>
                <c:pt idx="265">
                  <c:v>1361</c:v>
                </c:pt>
                <c:pt idx="266">
                  <c:v>1366</c:v>
                </c:pt>
                <c:pt idx="267">
                  <c:v>1371</c:v>
                </c:pt>
                <c:pt idx="268">
                  <c:v>1376</c:v>
                </c:pt>
                <c:pt idx="269">
                  <c:v>1381</c:v>
                </c:pt>
                <c:pt idx="270">
                  <c:v>1386</c:v>
                </c:pt>
                <c:pt idx="271">
                  <c:v>1391</c:v>
                </c:pt>
                <c:pt idx="272">
                  <c:v>1396</c:v>
                </c:pt>
                <c:pt idx="273">
                  <c:v>1401</c:v>
                </c:pt>
                <c:pt idx="274">
                  <c:v>1406</c:v>
                </c:pt>
                <c:pt idx="275">
                  <c:v>1411</c:v>
                </c:pt>
                <c:pt idx="276">
                  <c:v>1416</c:v>
                </c:pt>
                <c:pt idx="277">
                  <c:v>1421</c:v>
                </c:pt>
                <c:pt idx="278">
                  <c:v>1426</c:v>
                </c:pt>
                <c:pt idx="279">
                  <c:v>1431</c:v>
                </c:pt>
                <c:pt idx="280">
                  <c:v>1436</c:v>
                </c:pt>
                <c:pt idx="281">
                  <c:v>1441</c:v>
                </c:pt>
                <c:pt idx="282">
                  <c:v>1446</c:v>
                </c:pt>
                <c:pt idx="283">
                  <c:v>1451</c:v>
                </c:pt>
                <c:pt idx="284">
                  <c:v>1456</c:v>
                </c:pt>
                <c:pt idx="285">
                  <c:v>1461</c:v>
                </c:pt>
                <c:pt idx="286">
                  <c:v>1466</c:v>
                </c:pt>
                <c:pt idx="287">
                  <c:v>1471</c:v>
                </c:pt>
                <c:pt idx="288">
                  <c:v>1476</c:v>
                </c:pt>
                <c:pt idx="289">
                  <c:v>1481</c:v>
                </c:pt>
                <c:pt idx="290">
                  <c:v>1486</c:v>
                </c:pt>
                <c:pt idx="291">
                  <c:v>1491</c:v>
                </c:pt>
                <c:pt idx="292">
                  <c:v>1496</c:v>
                </c:pt>
                <c:pt idx="293">
                  <c:v>1501</c:v>
                </c:pt>
                <c:pt idx="294">
                  <c:v>1506</c:v>
                </c:pt>
                <c:pt idx="295">
                  <c:v>1511</c:v>
                </c:pt>
                <c:pt idx="296">
                  <c:v>1516</c:v>
                </c:pt>
                <c:pt idx="297">
                  <c:v>1521</c:v>
                </c:pt>
                <c:pt idx="298">
                  <c:v>1526</c:v>
                </c:pt>
                <c:pt idx="299">
                  <c:v>1531</c:v>
                </c:pt>
                <c:pt idx="300">
                  <c:v>1536</c:v>
                </c:pt>
                <c:pt idx="301">
                  <c:v>1541</c:v>
                </c:pt>
                <c:pt idx="302">
                  <c:v>1546</c:v>
                </c:pt>
                <c:pt idx="303">
                  <c:v>1551</c:v>
                </c:pt>
                <c:pt idx="304">
                  <c:v>1556</c:v>
                </c:pt>
                <c:pt idx="305">
                  <c:v>1561</c:v>
                </c:pt>
                <c:pt idx="306">
                  <c:v>1566</c:v>
                </c:pt>
                <c:pt idx="307">
                  <c:v>1571</c:v>
                </c:pt>
                <c:pt idx="308">
                  <c:v>1576</c:v>
                </c:pt>
                <c:pt idx="309">
                  <c:v>1581</c:v>
                </c:pt>
                <c:pt idx="310">
                  <c:v>1586</c:v>
                </c:pt>
                <c:pt idx="311">
                  <c:v>1591</c:v>
                </c:pt>
                <c:pt idx="312">
                  <c:v>1596</c:v>
                </c:pt>
                <c:pt idx="313">
                  <c:v>1601</c:v>
                </c:pt>
                <c:pt idx="314">
                  <c:v>1606</c:v>
                </c:pt>
                <c:pt idx="315">
                  <c:v>1611</c:v>
                </c:pt>
                <c:pt idx="316">
                  <c:v>1616</c:v>
                </c:pt>
                <c:pt idx="317">
                  <c:v>1621</c:v>
                </c:pt>
                <c:pt idx="318">
                  <c:v>1626</c:v>
                </c:pt>
                <c:pt idx="319">
                  <c:v>1631</c:v>
                </c:pt>
                <c:pt idx="320">
                  <c:v>1636</c:v>
                </c:pt>
                <c:pt idx="321">
                  <c:v>1641</c:v>
                </c:pt>
                <c:pt idx="322">
                  <c:v>1646</c:v>
                </c:pt>
                <c:pt idx="323">
                  <c:v>1651</c:v>
                </c:pt>
                <c:pt idx="324">
                  <c:v>1656</c:v>
                </c:pt>
                <c:pt idx="325">
                  <c:v>1661</c:v>
                </c:pt>
                <c:pt idx="326">
                  <c:v>1666</c:v>
                </c:pt>
                <c:pt idx="327">
                  <c:v>1671</c:v>
                </c:pt>
                <c:pt idx="328">
                  <c:v>1676</c:v>
                </c:pt>
                <c:pt idx="329">
                  <c:v>1681</c:v>
                </c:pt>
                <c:pt idx="330">
                  <c:v>1686</c:v>
                </c:pt>
                <c:pt idx="331">
                  <c:v>1691</c:v>
                </c:pt>
                <c:pt idx="332">
                  <c:v>1696</c:v>
                </c:pt>
                <c:pt idx="333">
                  <c:v>1701</c:v>
                </c:pt>
                <c:pt idx="334">
                  <c:v>1706</c:v>
                </c:pt>
                <c:pt idx="335">
                  <c:v>1711</c:v>
                </c:pt>
                <c:pt idx="336">
                  <c:v>1716</c:v>
                </c:pt>
                <c:pt idx="337">
                  <c:v>1721</c:v>
                </c:pt>
                <c:pt idx="338">
                  <c:v>1726</c:v>
                </c:pt>
                <c:pt idx="339">
                  <c:v>1731</c:v>
                </c:pt>
                <c:pt idx="340">
                  <c:v>1736</c:v>
                </c:pt>
                <c:pt idx="341">
                  <c:v>1741</c:v>
                </c:pt>
                <c:pt idx="342">
                  <c:v>1746</c:v>
                </c:pt>
                <c:pt idx="343">
                  <c:v>1751</c:v>
                </c:pt>
                <c:pt idx="344">
                  <c:v>1756</c:v>
                </c:pt>
                <c:pt idx="345">
                  <c:v>1761</c:v>
                </c:pt>
                <c:pt idx="346">
                  <c:v>1766</c:v>
                </c:pt>
                <c:pt idx="347">
                  <c:v>1771</c:v>
                </c:pt>
                <c:pt idx="348">
                  <c:v>1776</c:v>
                </c:pt>
                <c:pt idx="349">
                  <c:v>1781</c:v>
                </c:pt>
                <c:pt idx="350">
                  <c:v>1786</c:v>
                </c:pt>
                <c:pt idx="351">
                  <c:v>1791</c:v>
                </c:pt>
                <c:pt idx="352">
                  <c:v>1796</c:v>
                </c:pt>
                <c:pt idx="353">
                  <c:v>1801</c:v>
                </c:pt>
                <c:pt idx="354">
                  <c:v>1806</c:v>
                </c:pt>
                <c:pt idx="355">
                  <c:v>1811</c:v>
                </c:pt>
                <c:pt idx="356">
                  <c:v>1816</c:v>
                </c:pt>
                <c:pt idx="357">
                  <c:v>1821</c:v>
                </c:pt>
                <c:pt idx="358">
                  <c:v>1826</c:v>
                </c:pt>
                <c:pt idx="359">
                  <c:v>1831</c:v>
                </c:pt>
                <c:pt idx="360">
                  <c:v>1836</c:v>
                </c:pt>
                <c:pt idx="361">
                  <c:v>1841</c:v>
                </c:pt>
                <c:pt idx="362">
                  <c:v>1846</c:v>
                </c:pt>
                <c:pt idx="363">
                  <c:v>1851</c:v>
                </c:pt>
                <c:pt idx="364">
                  <c:v>1856</c:v>
                </c:pt>
                <c:pt idx="365">
                  <c:v>1861</c:v>
                </c:pt>
                <c:pt idx="366">
                  <c:v>1866</c:v>
                </c:pt>
                <c:pt idx="367">
                  <c:v>1871</c:v>
                </c:pt>
                <c:pt idx="368">
                  <c:v>1876</c:v>
                </c:pt>
                <c:pt idx="369">
                  <c:v>1881</c:v>
                </c:pt>
                <c:pt idx="370">
                  <c:v>1886</c:v>
                </c:pt>
                <c:pt idx="371">
                  <c:v>1891</c:v>
                </c:pt>
                <c:pt idx="372">
                  <c:v>1896</c:v>
                </c:pt>
                <c:pt idx="373">
                  <c:v>1901</c:v>
                </c:pt>
                <c:pt idx="374">
                  <c:v>1906</c:v>
                </c:pt>
                <c:pt idx="375">
                  <c:v>1911</c:v>
                </c:pt>
                <c:pt idx="376">
                  <c:v>1916</c:v>
                </c:pt>
                <c:pt idx="377">
                  <c:v>1921</c:v>
                </c:pt>
                <c:pt idx="378">
                  <c:v>1926</c:v>
                </c:pt>
                <c:pt idx="379">
                  <c:v>1931</c:v>
                </c:pt>
                <c:pt idx="380">
                  <c:v>1936</c:v>
                </c:pt>
                <c:pt idx="381">
                  <c:v>1941</c:v>
                </c:pt>
                <c:pt idx="382">
                  <c:v>1946</c:v>
                </c:pt>
                <c:pt idx="383">
                  <c:v>1951</c:v>
                </c:pt>
                <c:pt idx="384">
                  <c:v>1956</c:v>
                </c:pt>
                <c:pt idx="385">
                  <c:v>1961</c:v>
                </c:pt>
                <c:pt idx="386">
                  <c:v>1966</c:v>
                </c:pt>
              </c:numCache>
            </c:numRef>
          </c:xVal>
          <c:yVal>
            <c:numRef>
              <c:f>'Energy Efficiency Calibration'!$AW$4:$AW$390</c:f>
              <c:numCache>
                <c:formatCode>General</c:formatCode>
                <c:ptCount val="3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</c:v>
                </c:pt>
                <c:pt idx="34">
                  <c:v>8.1649658092772609E-2</c:v>
                </c:pt>
                <c:pt idx="35">
                  <c:v>6.030226891555273E-2</c:v>
                </c:pt>
                <c:pt idx="36">
                  <c:v>0.05</c:v>
                </c:pt>
                <c:pt idx="37">
                  <c:v>4.3643578047198484E-2</c:v>
                </c:pt>
                <c:pt idx="38">
                  <c:v>3.9223227027636809E-2</c:v>
                </c:pt>
                <c:pt idx="39">
                  <c:v>3.5921060405354983E-2</c:v>
                </c:pt>
                <c:pt idx="40">
                  <c:v>3.3333333333333333E-2</c:v>
                </c:pt>
                <c:pt idx="41">
                  <c:v>3.1234752377721216E-2</c:v>
                </c:pt>
                <c:pt idx="42">
                  <c:v>2.9488391230979429E-2</c:v>
                </c:pt>
                <c:pt idx="43">
                  <c:v>2.8005601680560196E-2</c:v>
                </c:pt>
                <c:pt idx="44">
                  <c:v>2.6726124191242439E-2</c:v>
                </c:pt>
                <c:pt idx="45">
                  <c:v>2.5607375986579198E-2</c:v>
                </c:pt>
                <c:pt idx="46">
                  <c:v>2.4618298195866545E-2</c:v>
                </c:pt>
                <c:pt idx="47">
                  <c:v>2.3735633163877067E-2</c:v>
                </c:pt>
                <c:pt idx="48">
                  <c:v>2.2941573387056175E-2</c:v>
                </c:pt>
                <c:pt idx="49">
                  <c:v>2.2222222222222223E-2</c:v>
                </c:pt>
                <c:pt idx="50">
                  <c:v>2.1566554640687685E-2</c:v>
                </c:pt>
                <c:pt idx="51">
                  <c:v>2.0965696734438367E-2</c:v>
                </c:pt>
                <c:pt idx="52">
                  <c:v>2.0412414523193152E-2</c:v>
                </c:pt>
                <c:pt idx="53">
                  <c:v>1.9900743804199785E-2</c:v>
                </c:pt>
                <c:pt idx="54">
                  <c:v>1.9425717247145285E-2</c:v>
                </c:pt>
                <c:pt idx="55">
                  <c:v>1.8983159915049983E-2</c:v>
                </c:pt>
                <c:pt idx="56">
                  <c:v>1.8569533817705187E-2</c:v>
                </c:pt>
                <c:pt idx="57">
                  <c:v>1.8181818181818184E-2</c:v>
                </c:pt>
                <c:pt idx="58">
                  <c:v>1.7817416127494958E-2</c:v>
                </c:pt>
                <c:pt idx="59">
                  <c:v>1.747408113322076E-2</c:v>
                </c:pt>
                <c:pt idx="60">
                  <c:v>1.7149858514250885E-2</c:v>
                </c:pt>
                <c:pt idx="61">
                  <c:v>1.6843038421330381E-2</c:v>
                </c:pt>
                <c:pt idx="62">
                  <c:v>1.6552117772047358E-2</c:v>
                </c:pt>
                <c:pt idx="63">
                  <c:v>1.6275769175423189E-2</c:v>
                </c:pt>
                <c:pt idx="64">
                  <c:v>1.6012815380508715E-2</c:v>
                </c:pt>
                <c:pt idx="65">
                  <c:v>1.5762208124782014E-2</c:v>
                </c:pt>
                <c:pt idx="66">
                  <c:v>1.5523010514126656E-2</c:v>
                </c:pt>
                <c:pt idx="67">
                  <c:v>1.5294382258037451E-2</c:v>
                </c:pt>
                <c:pt idx="68">
                  <c:v>1.5075567228888182E-2</c:v>
                </c:pt>
                <c:pt idx="69">
                  <c:v>1.4865882924943327E-2</c:v>
                </c:pt>
                <c:pt idx="70">
                  <c:v>1.466471150213533E-2</c:v>
                </c:pt>
                <c:pt idx="71">
                  <c:v>1.4471492105848433E-2</c:v>
                </c:pt>
                <c:pt idx="72">
                  <c:v>1.4285714285714287E-2</c:v>
                </c:pt>
                <c:pt idx="73">
                  <c:v>1.4106912317171967E-2</c:v>
                </c:pt>
                <c:pt idx="74">
                  <c:v>1.3934660285832354E-2</c:v>
                </c:pt>
                <c:pt idx="75">
                  <c:v>1.3768567816430285E-2</c:v>
                </c:pt>
                <c:pt idx="76">
                  <c:v>1.3608276348795434E-2</c:v>
                </c:pt>
                <c:pt idx="77">
                  <c:v>1.3453455879926249E-2</c:v>
                </c:pt>
                <c:pt idx="78">
                  <c:v>1.3303802104754786E-2</c:v>
                </c:pt>
                <c:pt idx="79">
                  <c:v>1.315903389919538E-2</c:v>
                </c:pt>
                <c:pt idx="80">
                  <c:v>1.3018891098082389E-2</c:v>
                </c:pt>
                <c:pt idx="81">
                  <c:v>1.2883132528016617E-2</c:v>
                </c:pt>
                <c:pt idx="82">
                  <c:v>1.2751534261266765E-2</c:v>
                </c:pt>
                <c:pt idx="83">
                  <c:v>1.2623888061956065E-2</c:v>
                </c:pt>
                <c:pt idx="84">
                  <c:v>1.2500000000000001E-2</c:v>
                </c:pt>
                <c:pt idx="85">
                  <c:v>1.2379689211803459E-2</c:v>
                </c:pt>
                <c:pt idx="86">
                  <c:v>1.2262786789699318E-2</c:v>
                </c:pt>
                <c:pt idx="87">
                  <c:v>1.2149134784615739E-2</c:v>
                </c:pt>
                <c:pt idx="88">
                  <c:v>1.203858530857692E-2</c:v>
                </c:pt>
                <c:pt idx="89">
                  <c:v>1.1930999725437872E-2</c:v>
                </c:pt>
                <c:pt idx="90">
                  <c:v>1.1826247919781653E-2</c:v>
                </c:pt>
                <c:pt idx="91">
                  <c:v>1.1724207635210985E-2</c:v>
                </c:pt>
                <c:pt idx="92">
                  <c:v>1.1624763874381929E-2</c:v>
                </c:pt>
                <c:pt idx="93">
                  <c:v>1.15278083540847E-2</c:v>
                </c:pt>
                <c:pt idx="94">
                  <c:v>1.1433239009500591E-2</c:v>
                </c:pt>
                <c:pt idx="95">
                  <c:v>1.1340959542474854E-2</c:v>
                </c:pt>
                <c:pt idx="96">
                  <c:v>1.125087900926024E-2</c:v>
                </c:pt>
                <c:pt idx="97">
                  <c:v>1.1162911443718952E-2</c:v>
                </c:pt>
                <c:pt idx="98">
                  <c:v>1.1076975512434226E-2</c:v>
                </c:pt>
                <c:pt idx="99">
                  <c:v>1.0992994198586254E-2</c:v>
                </c:pt>
                <c:pt idx="100">
                  <c:v>1.0910894511799621E-2</c:v>
                </c:pt>
                <c:pt idx="101">
                  <c:v>1.0830607221477648E-2</c:v>
                </c:pt>
                <c:pt idx="102">
                  <c:v>1.0752066611409407E-2</c:v>
                </c:pt>
                <c:pt idx="103">
                  <c:v>1.0675210253672476E-2</c:v>
                </c:pt>
                <c:pt idx="104">
                  <c:v>1.0599978800063602E-2</c:v>
                </c:pt>
                <c:pt idx="105">
                  <c:v>1.0526315789473684E-2</c:v>
                </c:pt>
                <c:pt idx="106">
                  <c:v>1.0454167469786333E-2</c:v>
                </c:pt>
                <c:pt idx="107">
                  <c:v>1.03834826330233E-2</c:v>
                </c:pt>
                <c:pt idx="108">
                  <c:v>1.0314212462587935E-2</c:v>
                </c:pt>
                <c:pt idx="109">
                  <c:v>1.0246310391571199E-2</c:v>
                </c:pt>
                <c:pt idx="110">
                  <c:v>1.0179731971185753E-2</c:v>
                </c:pt>
                <c:pt idx="111">
                  <c:v>1.0114434748483472E-2</c:v>
                </c:pt>
                <c:pt idx="112">
                  <c:v>1.0050378152592122E-2</c:v>
                </c:pt>
                <c:pt idx="113">
                  <c:v>9.9875233887784468E-3</c:v>
                </c:pt>
                <c:pt idx="114">
                  <c:v>9.9258333397093026E-3</c:v>
                </c:pt>
                <c:pt idx="115">
                  <c:v>9.865272473339801E-3</c:v>
                </c:pt>
                <c:pt idx="116">
                  <c:v>9.8058067569092022E-3</c:v>
                </c:pt>
                <c:pt idx="117">
                  <c:v>9.7474035765715873E-3</c:v>
                </c:pt>
                <c:pt idx="118">
                  <c:v>9.6900316622301839E-3</c:v>
                </c:pt>
                <c:pt idx="119">
                  <c:v>9.6336610171817612E-3</c:v>
                </c:pt>
                <c:pt idx="120">
                  <c:v>9.5782628522115137E-3</c:v>
                </c:pt>
                <c:pt idx="121">
                  <c:v>9.5238095238095247E-3</c:v>
                </c:pt>
                <c:pt idx="122">
                  <c:v>9.4702744762075689E-3</c:v>
                </c:pt>
                <c:pt idx="123">
                  <c:v>9.417632186960222E-3</c:v>
                </c:pt>
                <c:pt idx="124">
                  <c:v>9.3658581158169406E-3</c:v>
                </c:pt>
                <c:pt idx="125">
                  <c:v>9.3149286566524461E-3</c:v>
                </c:pt>
                <c:pt idx="126">
                  <c:v>9.2648210922415906E-3</c:v>
                </c:pt>
                <c:pt idx="127">
                  <c:v>9.2155135516818285E-3</c:v>
                </c:pt>
                <c:pt idx="128">
                  <c:v>9.1669849702821146E-3</c:v>
                </c:pt>
                <c:pt idx="129">
                  <c:v>9.1192150517510652E-3</c:v>
                </c:pt>
                <c:pt idx="130">
                  <c:v>9.0721842325302907E-3</c:v>
                </c:pt>
                <c:pt idx="131">
                  <c:v>9.0258736481304853E-3</c:v>
                </c:pt>
                <c:pt idx="132">
                  <c:v>8.9802651013387459E-3</c:v>
                </c:pt>
                <c:pt idx="133">
                  <c:v>8.9353410321754059E-3</c:v>
                </c:pt>
                <c:pt idx="134">
                  <c:v>8.8910844894877408E-3</c:v>
                </c:pt>
                <c:pt idx="135">
                  <c:v>8.8474791040761783E-3</c:v>
                </c:pt>
                <c:pt idx="136">
                  <c:v>8.8045090632562391E-3</c:v>
                </c:pt>
                <c:pt idx="137">
                  <c:v>8.762159086766471E-3</c:v>
                </c:pt>
                <c:pt idx="138">
                  <c:v>8.7204144039389475E-3</c:v>
                </c:pt>
                <c:pt idx="139">
                  <c:v>8.6792607320549248E-3</c:v>
                </c:pt>
                <c:pt idx="140">
                  <c:v>8.6386842558136018E-3</c:v>
                </c:pt>
                <c:pt idx="141">
                  <c:v>8.5986716078469555E-3</c:v>
                </c:pt>
                <c:pt idx="142">
                  <c:v>8.5592098502182586E-3</c:v>
                </c:pt>
                <c:pt idx="143">
                  <c:v>8.5202864568460993E-3</c:v>
                </c:pt>
                <c:pt idx="144">
                  <c:v>8.4818892967997109E-3</c:v>
                </c:pt>
                <c:pt idx="145">
                  <c:v>8.4440066184149828E-3</c:v>
                </c:pt>
                <c:pt idx="146">
                  <c:v>8.4066270341839715E-3</c:v>
                </c:pt>
                <c:pt idx="147">
                  <c:v>8.3697395063737443E-3</c:v>
                </c:pt>
                <c:pt idx="148">
                  <c:v>8.3333333333333332E-3</c:v>
                </c:pt>
                <c:pt idx="149">
                  <c:v>8.2973981364502236E-3</c:v>
                </c:pt>
                <c:pt idx="150">
                  <c:v>8.2619238477202768E-3</c:v>
                </c:pt>
                <c:pt idx="151">
                  <c:v>8.2269006978972718E-3</c:v>
                </c:pt>
                <c:pt idx="152">
                  <c:v>8.1923192051904063E-3</c:v>
                </c:pt>
                <c:pt idx="153">
                  <c:v>8.1581701644800417E-3</c:v>
                </c:pt>
                <c:pt idx="154">
                  <c:v>8.1244446370238761E-3</c:v>
                </c:pt>
                <c:pt idx="155">
                  <c:v>8.0911339406273489E-3</c:v>
                </c:pt>
                <c:pt idx="156">
                  <c:v>8.0582296402538032E-3</c:v>
                </c:pt>
                <c:pt idx="157">
                  <c:v>8.0257235390512813E-3</c:v>
                </c:pt>
                <c:pt idx="158">
                  <c:v>7.9936076697743157E-3</c:v>
                </c:pt>
                <c:pt idx="159">
                  <c:v>7.9618742865803296E-3</c:v>
                </c:pt>
                <c:pt idx="160">
                  <c:v>7.9305158571814412E-3</c:v>
                </c:pt>
                <c:pt idx="161">
                  <c:v>7.8995250553336432E-3</c:v>
                </c:pt>
                <c:pt idx="162">
                  <c:v>7.8688947536463376E-3</c:v>
                </c:pt>
                <c:pt idx="163">
                  <c:v>7.8386180166962055E-3</c:v>
                </c:pt>
                <c:pt idx="164">
                  <c:v>7.8086880944303041E-3</c:v>
                </c:pt>
                <c:pt idx="165">
                  <c:v>7.7790984158441403E-3</c:v>
                </c:pt>
                <c:pt idx="166">
                  <c:v>7.7498425829212857E-3</c:v>
                </c:pt>
                <c:pt idx="167">
                  <c:v>7.7209143648218296E-3</c:v>
                </c:pt>
                <c:pt idx="168">
                  <c:v>7.6923076923076927E-3</c:v>
                </c:pt>
                <c:pt idx="169">
                  <c:v>7.6640166523934735E-3</c:v>
                </c:pt>
                <c:pt idx="170">
                  <c:v>7.6360354832121259E-3</c:v>
                </c:pt>
                <c:pt idx="171">
                  <c:v>7.6083585690853352E-3</c:v>
                </c:pt>
                <c:pt idx="172">
                  <c:v>7.5809804357890344E-3</c:v>
                </c:pt>
                <c:pt idx="173">
                  <c:v>7.5538957460049797E-3</c:v>
                </c:pt>
                <c:pt idx="174">
                  <c:v>7.5270992949498143E-3</c:v>
                </c:pt>
                <c:pt idx="175">
                  <c:v>7.5005860061734932E-3</c:v>
                </c:pt>
                <c:pt idx="176">
                  <c:v>7.4743509275193593E-3</c:v>
                </c:pt>
                <c:pt idx="177">
                  <c:v>7.448389227238587E-3</c:v>
                </c:pt>
                <c:pt idx="178">
                  <c:v>7.4226961902520549E-3</c:v>
                </c:pt>
                <c:pt idx="179">
                  <c:v>7.3972672145530913E-3</c:v>
                </c:pt>
                <c:pt idx="180">
                  <c:v>7.3720978077448573E-3</c:v>
                </c:pt>
                <c:pt idx="181">
                  <c:v>7.3471835837064514E-3</c:v>
                </c:pt>
                <c:pt idx="182">
                  <c:v>7.3225202593821251E-3</c:v>
                </c:pt>
                <c:pt idx="183">
                  <c:v>7.2981036516882678E-3</c:v>
                </c:pt>
                <c:pt idx="184">
                  <c:v>7.2739296745330797E-3</c:v>
                </c:pt>
                <c:pt idx="185">
                  <c:v>7.249994335944138E-3</c:v>
                </c:pt>
                <c:pt idx="186">
                  <c:v>7.2262937352992425E-3</c:v>
                </c:pt>
                <c:pt idx="187">
                  <c:v>7.202824060656198E-3</c:v>
                </c:pt>
                <c:pt idx="188">
                  <c:v>7.1795815861773818E-3</c:v>
                </c:pt>
                <c:pt idx="189">
                  <c:v>7.1565626696451319E-3</c:v>
                </c:pt>
                <c:pt idx="190">
                  <c:v>7.1337637500642169E-3</c:v>
                </c:pt>
                <c:pt idx="191">
                  <c:v>7.1111813453477802E-3</c:v>
                </c:pt>
                <c:pt idx="192">
                  <c:v>7.0888120500833592E-3</c:v>
                </c:pt>
                <c:pt idx="193">
                  <c:v>7.0666525333757339E-3</c:v>
                </c:pt>
                <c:pt idx="194">
                  <c:v>7.0446995367634694E-3</c:v>
                </c:pt>
                <c:pt idx="195">
                  <c:v>7.0229498722062357E-3</c:v>
                </c:pt>
                <c:pt idx="196">
                  <c:v>7.0014004201400491E-3</c:v>
                </c:pt>
                <c:pt idx="197">
                  <c:v>6.9800481275977605E-3</c:v>
                </c:pt>
                <c:pt idx="198">
                  <c:v>6.9588900063922102E-3</c:v>
                </c:pt>
                <c:pt idx="199">
                  <c:v>6.9379231313596032E-3</c:v>
                </c:pt>
                <c:pt idx="200">
                  <c:v>6.9171446386607468E-3</c:v>
                </c:pt>
                <c:pt idx="201">
                  <c:v>6.8965517241379318E-3</c:v>
                </c:pt>
                <c:pt idx="202">
                  <c:v>6.8761416417252898E-3</c:v>
                </c:pt>
                <c:pt idx="203">
                  <c:v>6.8559117019106096E-3</c:v>
                </c:pt>
                <c:pt idx="204">
                  <c:v>6.8358592702466329E-3</c:v>
                </c:pt>
                <c:pt idx="205">
                  <c:v>6.8159817659099705E-3</c:v>
                </c:pt>
                <c:pt idx="206">
                  <c:v>6.7962766603058486E-3</c:v>
                </c:pt>
                <c:pt idx="207">
                  <c:v>6.7767414757169721E-3</c:v>
                </c:pt>
                <c:pt idx="208">
                  <c:v>6.75737378399486E-3</c:v>
                </c:pt>
                <c:pt idx="209">
                  <c:v>6.7381712052920918E-3</c:v>
                </c:pt>
                <c:pt idx="210">
                  <c:v>6.7191314068339586E-3</c:v>
                </c:pt>
                <c:pt idx="211">
                  <c:v>6.7002521017280802E-3</c:v>
                </c:pt>
                <c:pt idx="212">
                  <c:v>6.6815310478106097E-3</c:v>
                </c:pt>
                <c:pt idx="213">
                  <c:v>6.662966046527696E-3</c:v>
                </c:pt>
                <c:pt idx="214">
                  <c:v>6.6445549418509544E-3</c:v>
                </c:pt>
                <c:pt idx="215">
                  <c:v>6.6262956192257166E-3</c:v>
                </c:pt>
                <c:pt idx="216">
                  <c:v>6.6081860045508981E-3</c:v>
                </c:pt>
                <c:pt idx="217">
                  <c:v>6.5902240631893674E-3</c:v>
                </c:pt>
                <c:pt idx="218">
                  <c:v>6.5724077990077494E-3</c:v>
                </c:pt>
                <c:pt idx="219">
                  <c:v>6.554735253444622E-3</c:v>
                </c:pt>
                <c:pt idx="220">
                  <c:v>6.5372045046061342E-3</c:v>
                </c:pt>
                <c:pt idx="221">
                  <c:v>6.5198136663880846E-3</c:v>
                </c:pt>
                <c:pt idx="222">
                  <c:v>6.5025608876235512E-3</c:v>
                </c:pt>
                <c:pt idx="223">
                  <c:v>6.4854443512552158E-3</c:v>
                </c:pt>
                <c:pt idx="224">
                  <c:v>6.4684622735315094E-3</c:v>
                </c:pt>
                <c:pt idx="225">
                  <c:v>6.4516129032258064E-3</c:v>
                </c:pt>
                <c:pt idx="226">
                  <c:v>6.4348945208778686E-3</c:v>
                </c:pt>
                <c:pt idx="227">
                  <c:v>6.4183054380568001E-3</c:v>
                </c:pt>
                <c:pt idx="228">
                  <c:v>6.4018439966447996E-3</c:v>
                </c:pt>
                <c:pt idx="229">
                  <c:v>6.3855085681410097E-3</c:v>
                </c:pt>
                <c:pt idx="230">
                  <c:v>6.3692975529848206E-3</c:v>
                </c:pt>
                <c:pt idx="231">
                  <c:v>6.3532093798979597E-3</c:v>
                </c:pt>
                <c:pt idx="232">
                  <c:v>6.3372425052447799E-3</c:v>
                </c:pt>
                <c:pt idx="233">
                  <c:v>6.3213954124101395E-3</c:v>
                </c:pt>
                <c:pt idx="234">
                  <c:v>6.3056666111943171E-3</c:v>
                </c:pt>
                <c:pt idx="235">
                  <c:v>6.2900546372243902E-3</c:v>
                </c:pt>
                <c:pt idx="236">
                  <c:v>6.274558051381586E-3</c:v>
                </c:pt>
                <c:pt idx="237">
                  <c:v>6.2591754392440583E-3</c:v>
                </c:pt>
                <c:pt idx="238">
                  <c:v>6.2439054105446271E-3</c:v>
                </c:pt>
                <c:pt idx="239">
                  <c:v>6.2287465986429966E-3</c:v>
                </c:pt>
                <c:pt idx="240">
                  <c:v>6.2136976600120006E-3</c:v>
                </c:pt>
                <c:pt idx="241">
                  <c:v>6.1987572737374373E-3</c:v>
                </c:pt>
                <c:pt idx="242">
                  <c:v>6.1839241410310639E-3</c:v>
                </c:pt>
                <c:pt idx="243">
                  <c:v>6.1691969847563581E-3</c:v>
                </c:pt>
                <c:pt idx="244">
                  <c:v>6.1545745489666364E-3</c:v>
                </c:pt>
                <c:pt idx="245">
                  <c:v>6.1400555984551675E-3</c:v>
                </c:pt>
                <c:pt idx="246">
                  <c:v>6.1256389183168879E-3</c:v>
                </c:pt>
                <c:pt idx="247">
                  <c:v>6.1113233135214086E-3</c:v>
                </c:pt>
                <c:pt idx="248">
                  <c:v>6.0971076084969239E-3</c:v>
                </c:pt>
                <c:pt idx="249">
                  <c:v>6.0829906467247362E-3</c:v>
                </c:pt>
                <c:pt idx="250">
                  <c:v>6.0689712903440451E-3</c:v>
                </c:pt>
                <c:pt idx="251">
                  <c:v>6.055048419766727E-3</c:v>
                </c:pt>
                <c:pt idx="252">
                  <c:v>6.04122093330177E-3</c:v>
                </c:pt>
                <c:pt idx="253">
                  <c:v>6.0274877467891225E-3</c:v>
                </c:pt>
                <c:pt idx="254">
                  <c:v>6.0138477932426375E-3</c:v>
                </c:pt>
                <c:pt idx="255">
                  <c:v>6.0003000225018754E-3</c:v>
                </c:pt>
                <c:pt idx="256">
                  <c:v>5.9868434008924967E-3</c:v>
                </c:pt>
                <c:pt idx="257">
                  <c:v>5.9734769108949889E-3</c:v>
                </c:pt>
                <c:pt idx="258">
                  <c:v>5.9601995508214989E-3</c:v>
                </c:pt>
                <c:pt idx="259">
                  <c:v>5.9470103345005262E-3</c:v>
                </c:pt>
                <c:pt idx="260">
                  <c:v>5.9339082909692668E-3</c:v>
                </c:pt>
                <c:pt idx="261">
                  <c:v>5.9208924641733704E-3</c:v>
                </c:pt>
                <c:pt idx="262">
                  <c:v>5.9079619126739119E-3</c:v>
                </c:pt>
                <c:pt idx="263">
                  <c:v>5.8951157093613815E-3</c:v>
                </c:pt>
                <c:pt idx="264">
                  <c:v>5.8823529411764705E-3</c:v>
                </c:pt>
                <c:pt idx="265">
                  <c:v>5.8696727088374924E-3</c:v>
                </c:pt>
                <c:pt idx="266">
                  <c:v>5.8570741265742271E-3</c:v>
                </c:pt>
                <c:pt idx="267">
                  <c:v>5.8445563218680356E-3</c:v>
                </c:pt>
                <c:pt idx="268">
                  <c:v>5.8321184351980433E-3</c:v>
                </c:pt>
                <c:pt idx="269">
                  <c:v>5.8197596197932548E-3</c:v>
                </c:pt>
                <c:pt idx="270">
                  <c:v>5.8074790413904101E-3</c:v>
                </c:pt>
                <c:pt idx="271">
                  <c:v>5.7952758779974472E-3</c:v>
                </c:pt>
                <c:pt idx="272">
                  <c:v>5.7831493196624029E-3</c:v>
                </c:pt>
                <c:pt idx="273">
                  <c:v>5.7710985682476127E-3</c:v>
                </c:pt>
                <c:pt idx="274">
                  <c:v>5.7591228372090679E-3</c:v>
                </c:pt>
                <c:pt idx="275">
                  <c:v>5.7472213513807824E-3</c:v>
                </c:pt>
                <c:pt idx="276">
                  <c:v>5.7353933467640438E-3</c:v>
                </c:pt>
                <c:pt idx="277">
                  <c:v>5.7236380703214254E-3</c:v>
                </c:pt>
                <c:pt idx="278">
                  <c:v>5.7119547797753988E-3</c:v>
                </c:pt>
                <c:pt idx="279">
                  <c:v>5.7003427434114814E-3</c:v>
                </c:pt>
                <c:pt idx="280">
                  <c:v>5.6888012398857426E-3</c:v>
                </c:pt>
                <c:pt idx="281">
                  <c:v>5.6773295580365962E-3</c:v>
                </c:pt>
                <c:pt idx="282">
                  <c:v>5.6659269967007349E-3</c:v>
                </c:pt>
                <c:pt idx="283">
                  <c:v>5.6545928645331403E-3</c:v>
                </c:pt>
                <c:pt idx="284">
                  <c:v>5.6433264798310036E-3</c:v>
                </c:pt>
                <c:pt idx="285">
                  <c:v>5.6321271703615242E-3</c:v>
                </c:pt>
                <c:pt idx="286">
                  <c:v>5.6209942731934278E-3</c:v>
                </c:pt>
                <c:pt idx="287">
                  <c:v>5.6099271345321439E-3</c:v>
                </c:pt>
                <c:pt idx="288">
                  <c:v>5.5989251095585439E-3</c:v>
                </c:pt>
                <c:pt idx="289">
                  <c:v>5.5879875622711263E-3</c:v>
                </c:pt>
                <c:pt idx="290">
                  <c:v>5.5771138653316048E-3</c:v>
                </c:pt>
                <c:pt idx="291">
                  <c:v>5.5663033999137669E-3</c:v>
                </c:pt>
                <c:pt idx="292">
                  <c:v>5.5555555555555558E-3</c:v>
                </c:pt>
                <c:pt idx="293">
                  <c:v>5.5448697300142773E-3</c:v>
                </c:pt>
                <c:pt idx="294">
                  <c:v>5.5342453291248551E-3</c:v>
                </c:pt>
                <c:pt idx="295">
                  <c:v>5.5236817666610748E-3</c:v>
                </c:pt>
                <c:pt idx="296">
                  <c:v>5.513178464199713E-3</c:v>
                </c:pt>
                <c:pt idx="297">
                  <c:v>5.5027348509875092E-3</c:v>
                </c:pt>
                <c:pt idx="298">
                  <c:v>5.4923503638108972E-3</c:v>
                </c:pt>
                <c:pt idx="299">
                  <c:v>5.4820244468684297E-3</c:v>
                </c:pt>
                <c:pt idx="300">
                  <c:v>5.4717565516458275E-3</c:v>
                </c:pt>
                <c:pt idx="301">
                  <c:v>5.4615461367936036E-3</c:v>
                </c:pt>
                <c:pt idx="302">
                  <c:v>5.451392668007175E-3</c:v>
                </c:pt>
                <c:pt idx="303">
                  <c:v>5.4412956179094325E-3</c:v>
                </c:pt>
                <c:pt idx="304">
                  <c:v>5.4312544659356849E-3</c:v>
                </c:pt>
                <c:pt idx="305">
                  <c:v>5.4212686982209315E-3</c:v>
                </c:pt>
                <c:pt idx="306">
                  <c:v>5.4113378074894091E-3</c:v>
                </c:pt>
                <c:pt idx="307">
                  <c:v>5.4014612929463518E-3</c:v>
                </c:pt>
                <c:pt idx="308">
                  <c:v>5.3916386601719213E-3</c:v>
                </c:pt>
                <c:pt idx="309">
                  <c:v>5.381869421017248E-3</c:v>
                </c:pt>
                <c:pt idx="310">
                  <c:v>5.3721530935025357E-3</c:v>
                </c:pt>
                <c:pt idx="311">
                  <c:v>5.362489201717187E-3</c:v>
                </c:pt>
                <c:pt idx="312">
                  <c:v>5.3528772757218922E-3</c:v>
                </c:pt>
                <c:pt idx="313">
                  <c:v>5.3433168514526487E-3</c:v>
                </c:pt>
                <c:pt idx="314">
                  <c:v>5.3338074706266499E-3</c:v>
                </c:pt>
                <c:pt idx="315">
                  <c:v>5.3243486806500212E-3</c:v>
                </c:pt>
                <c:pt idx="316">
                  <c:v>5.3149400345273391E-3</c:v>
                </c:pt>
                <c:pt idx="317">
                  <c:v>5.3055810907729102E-3</c:v>
                </c:pt>
                <c:pt idx="318">
                  <c:v>5.2962714133237615E-3</c:v>
                </c:pt>
                <c:pt idx="319">
                  <c:v>5.2870105714542944E-3</c:v>
                </c:pt>
                <c:pt idx="320">
                  <c:v>5.2777981396925954E-3</c:v>
                </c:pt>
                <c:pt idx="321">
                  <c:v>5.2686336977383228E-3</c:v>
                </c:pt>
                <c:pt idx="322">
                  <c:v>5.2595168303821698E-3</c:v>
                </c:pt>
                <c:pt idx="323">
                  <c:v>5.250447127426853E-3</c:v>
                </c:pt>
                <c:pt idx="324">
                  <c:v>5.2414241836095917E-3</c:v>
                </c:pt>
                <c:pt idx="325">
                  <c:v>5.2324475985260493E-3</c:v>
                </c:pt>
                <c:pt idx="326">
                  <c:v>5.2235169765557027E-3</c:v>
                </c:pt>
                <c:pt idx="327">
                  <c:v>5.2146319267886085E-3</c:v>
                </c:pt>
                <c:pt idx="328">
                  <c:v>5.2057920629535364E-3</c:v>
                </c:pt>
                <c:pt idx="329">
                  <c:v>5.19699700334743E-3</c:v>
                </c:pt>
                <c:pt idx="330">
                  <c:v>5.1882463707661874E-3</c:v>
                </c:pt>
                <c:pt idx="331">
                  <c:v>5.1795397924367069E-3</c:v>
                </c:pt>
                <c:pt idx="332">
                  <c:v>5.1708768999501921E-3</c:v>
                </c:pt>
                <c:pt idx="333">
                  <c:v>5.1622573291966733E-3</c:v>
                </c:pt>
                <c:pt idx="334">
                  <c:v>5.1536807203007321E-3</c:v>
                </c:pt>
                <c:pt idx="335">
                  <c:v>5.1451467175583883E-3</c:v>
                </c:pt>
                <c:pt idx="336">
                  <c:v>5.1366549693751418E-3</c:v>
                </c:pt>
                <c:pt idx="337">
                  <c:v>5.1282051282051282E-3</c:v>
                </c:pt>
                <c:pt idx="338">
                  <c:v>5.119796850491379E-3</c:v>
                </c:pt>
                <c:pt idx="339">
                  <c:v>5.1114297966071464E-3</c:v>
                </c:pt>
                <c:pt idx="340">
                  <c:v>5.1031036307982881E-3</c:v>
                </c:pt>
                <c:pt idx="341">
                  <c:v>5.0948180211266769E-3</c:v>
                </c:pt>
                <c:pt idx="342">
                  <c:v>5.0865726394146186E-3</c:v>
                </c:pt>
                <c:pt idx="343">
                  <c:v>5.0783671611902559E-3</c:v>
                </c:pt>
                <c:pt idx="344">
                  <c:v>5.0702012656339383E-3</c:v>
                </c:pt>
                <c:pt idx="345">
                  <c:v>5.0620746355255382E-3</c:v>
                </c:pt>
                <c:pt idx="346">
                  <c:v>5.0539869571926896E-3</c:v>
                </c:pt>
                <c:pt idx="347">
                  <c:v>5.0459379204599395E-3</c:v>
                </c:pt>
                <c:pt idx="348">
                  <c:v>5.0379272185987842E-3</c:v>
                </c:pt>
                <c:pt idx="349">
                  <c:v>5.0299545482785689E-3</c:v>
                </c:pt>
                <c:pt idx="350">
                  <c:v>5.0220196095182544E-3</c:v>
                </c:pt>
                <c:pt idx="351">
                  <c:v>5.0141221056390021E-3</c:v>
                </c:pt>
                <c:pt idx="352">
                  <c:v>5.0062617432175896E-3</c:v>
                </c:pt>
                <c:pt idx="353">
                  <c:v>4.9984382320406142E-3</c:v>
                </c:pt>
                <c:pt idx="354">
                  <c:v>4.9906512850594964E-3</c:v>
                </c:pt>
                <c:pt idx="355">
                  <c:v>4.9829006183462398E-3</c:v>
                </c:pt>
                <c:pt idx="356">
                  <c:v>4.9751859510499463E-3</c:v>
                </c:pt>
                <c:pt idx="357">
                  <c:v>4.9675070053540769E-3</c:v>
                </c:pt>
                <c:pt idx="358">
                  <c:v>4.9598635064344284E-3</c:v>
                </c:pt>
                <c:pt idx="359">
                  <c:v>4.9522551824178231E-3</c:v>
                </c:pt>
                <c:pt idx="360">
                  <c:v>4.9446817643414879E-3</c:v>
                </c:pt>
                <c:pt idx="361">
                  <c:v>4.9371429861131246E-3</c:v>
                </c:pt>
                <c:pt idx="362">
                  <c:v>4.9296385844716396E-3</c:v>
                </c:pt>
                <c:pt idx="363">
                  <c:v>4.9221682989485267E-3</c:v>
                </c:pt>
                <c:pt idx="364">
                  <c:v>4.9147318718299046E-3</c:v>
                </c:pt>
                <c:pt idx="365">
                  <c:v>4.9073290481191651E-3</c:v>
                </c:pt>
                <c:pt idx="366">
                  <c:v>4.8999595755002531E-3</c:v>
                </c:pt>
                <c:pt idx="367">
                  <c:v>4.892623204301544E-3</c:v>
                </c:pt>
                <c:pt idx="368">
                  <c:v>4.8853196874603152E-3</c:v>
                </c:pt>
                <c:pt idx="369">
                  <c:v>4.8780487804878049E-3</c:v>
                </c:pt>
                <c:pt idx="370">
                  <c:v>4.8708102414348311E-3</c:v>
                </c:pt>
                <c:pt idx="371">
                  <c:v>4.8636038308579755E-3</c:v>
                </c:pt>
                <c:pt idx="372">
                  <c:v>4.8564293117863214E-3</c:v>
                </c:pt>
                <c:pt idx="373">
                  <c:v>4.8492864496887198E-3</c:v>
                </c:pt>
                <c:pt idx="374">
                  <c:v>4.8421750124415909E-3</c:v>
                </c:pt>
                <c:pt idx="375">
                  <c:v>4.8350947702972382E-3</c:v>
                </c:pt>
                <c:pt idx="376">
                  <c:v>4.8280454958526762E-3</c:v>
                </c:pt>
                <c:pt idx="377">
                  <c:v>4.8210269640189523E-3</c:v>
                </c:pt>
                <c:pt idx="378">
                  <c:v>4.8140389519909588E-3</c:v>
                </c:pt>
                <c:pt idx="379">
                  <c:v>4.8070812392177293E-3</c:v>
                </c:pt>
                <c:pt idx="380">
                  <c:v>4.8001536073731931E-3</c:v>
                </c:pt>
                <c:pt idx="381">
                  <c:v>4.7932558403274133E-3</c:v>
                </c:pt>
                <c:pt idx="382">
                  <c:v>4.7863877241182545E-3</c:v>
                </c:pt>
                <c:pt idx="383">
                  <c:v>4.7795490469235129E-3</c:v>
                </c:pt>
                <c:pt idx="384">
                  <c:v>4.7727395990334771E-3</c:v>
                </c:pt>
                <c:pt idx="385">
                  <c:v>4.7659591728239159E-3</c:v>
                </c:pt>
                <c:pt idx="386">
                  <c:v>4.7592075627294885E-3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67-4909-9B8F-0810CD774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553656"/>
        <c:axId val="434556608"/>
      </c:scatterChart>
      <c:valAx>
        <c:axId val="434553656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Channel</a:t>
                </a:r>
                <a:r>
                  <a:rPr lang="en-GB" baseline="0"/>
                  <a:t> no. (approx. Energy/keV)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56608"/>
        <c:crosses val="autoZero"/>
        <c:crossBetween val="midCat"/>
      </c:valAx>
      <c:valAx>
        <c:axId val="434556608"/>
        <c:scaling>
          <c:orientation val="minMax"/>
          <c:max val="8.0000000000000016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5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Residual</a:t>
            </a:r>
            <a:r>
              <a:rPr lang="en-GB" baseline="0"/>
              <a:t> plot of efficiency against energy (excluding Ba, Bi, low-energy Eu)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'Energy Efficiency Calibration'!$X$12:$X$32</c:f>
                <c:numCache>
                  <c:formatCode>General</c:formatCode>
                  <c:ptCount val="21"/>
                  <c:pt idx="0">
                    <c:v>5.7433005034132243E-4</c:v>
                  </c:pt>
                  <c:pt idx="1">
                    <c:v>5.1292147317630809E-4</c:v>
                  </c:pt>
                  <c:pt idx="2">
                    <c:v>7.5492410265819501E-4</c:v>
                  </c:pt>
                  <c:pt idx="3">
                    <c:v>1.3002891379578602E-3</c:v>
                  </c:pt>
                  <c:pt idx="4">
                    <c:v>6.8444459176175427E-4</c:v>
                  </c:pt>
                  <c:pt idx="5">
                    <c:v>5.4438933508235753E-4</c:v>
                  </c:pt>
                  <c:pt idx="6">
                    <c:v>6.8131161576441242E-4</c:v>
                  </c:pt>
                  <c:pt idx="7">
                    <c:v>4.3284714829700942E-4</c:v>
                  </c:pt>
                  <c:pt idx="8">
                    <c:v>4.2706804428509974E-4</c:v>
                  </c:pt>
                  <c:pt idx="9">
                    <c:v>2.6756578997142681E-4</c:v>
                  </c:pt>
                  <c:pt idx="10">
                    <c:v>2.352315445355187E-4</c:v>
                  </c:pt>
                  <c:pt idx="11">
                    <c:v>1.9081281653022099E-4</c:v>
                  </c:pt>
                  <c:pt idx="12">
                    <c:v>1.8573984355337687E-4</c:v>
                  </c:pt>
                  <c:pt idx="13">
                    <c:v>6.1295464975669417E-4</c:v>
                  </c:pt>
                  <c:pt idx="14">
                    <c:v>2.0476399446453145E-4</c:v>
                  </c:pt>
                  <c:pt idx="15">
                    <c:v>1.6608824749636092E-4</c:v>
                  </c:pt>
                  <c:pt idx="16">
                    <c:v>1.2992978173973106E-4</c:v>
                  </c:pt>
                  <c:pt idx="17">
                    <c:v>1.5001262880776816E-4</c:v>
                  </c:pt>
                  <c:pt idx="18">
                    <c:v>1.315155561470625E-4</c:v>
                  </c:pt>
                  <c:pt idx="19">
                    <c:v>1.2808745295736644E-3</c:v>
                  </c:pt>
                  <c:pt idx="20">
                    <c:v>5.6991837216991033E-4</c:v>
                  </c:pt>
                </c:numCache>
              </c:numRef>
            </c:plus>
            <c:minus>
              <c:numRef>
                <c:f>'Energy Efficiency Calibration'!$X$12:$X$32</c:f>
                <c:numCache>
                  <c:formatCode>General</c:formatCode>
                  <c:ptCount val="21"/>
                  <c:pt idx="0">
                    <c:v>5.7433005034132243E-4</c:v>
                  </c:pt>
                  <c:pt idx="1">
                    <c:v>5.1292147317630809E-4</c:v>
                  </c:pt>
                  <c:pt idx="2">
                    <c:v>7.5492410265819501E-4</c:v>
                  </c:pt>
                  <c:pt idx="3">
                    <c:v>1.3002891379578602E-3</c:v>
                  </c:pt>
                  <c:pt idx="4">
                    <c:v>6.8444459176175427E-4</c:v>
                  </c:pt>
                  <c:pt idx="5">
                    <c:v>5.4438933508235753E-4</c:v>
                  </c:pt>
                  <c:pt idx="6">
                    <c:v>6.8131161576441242E-4</c:v>
                  </c:pt>
                  <c:pt idx="7">
                    <c:v>4.3284714829700942E-4</c:v>
                  </c:pt>
                  <c:pt idx="8">
                    <c:v>4.2706804428509974E-4</c:v>
                  </c:pt>
                  <c:pt idx="9">
                    <c:v>2.6756578997142681E-4</c:v>
                  </c:pt>
                  <c:pt idx="10">
                    <c:v>2.352315445355187E-4</c:v>
                  </c:pt>
                  <c:pt idx="11">
                    <c:v>1.9081281653022099E-4</c:v>
                  </c:pt>
                  <c:pt idx="12">
                    <c:v>1.8573984355337687E-4</c:v>
                  </c:pt>
                  <c:pt idx="13">
                    <c:v>6.1295464975669417E-4</c:v>
                  </c:pt>
                  <c:pt idx="14">
                    <c:v>2.0476399446453145E-4</c:v>
                  </c:pt>
                  <c:pt idx="15">
                    <c:v>1.6608824749636092E-4</c:v>
                  </c:pt>
                  <c:pt idx="16">
                    <c:v>1.2992978173973106E-4</c:v>
                  </c:pt>
                  <c:pt idx="17">
                    <c:v>1.5001262880776816E-4</c:v>
                  </c:pt>
                  <c:pt idx="18">
                    <c:v>1.315155561470625E-4</c:v>
                  </c:pt>
                  <c:pt idx="19">
                    <c:v>1.2808745295736644E-3</c:v>
                  </c:pt>
                  <c:pt idx="20">
                    <c:v>5.6991837216991033E-4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'Energy Efficiency Calibration'!$J$12:$J$32</c:f>
              <c:numCache>
                <c:formatCode>General</c:formatCode>
                <c:ptCount val="21"/>
                <c:pt idx="0">
                  <c:v>1176.78899999999</c:v>
                </c:pt>
                <c:pt idx="1">
                  <c:v>1336.5129999999899</c:v>
                </c:pt>
                <c:pt idx="2" formatCode="0.000">
                  <c:v>662.74400000000003</c:v>
                </c:pt>
                <c:pt idx="3" formatCode="0.000">
                  <c:v>122.20399999999999</c:v>
                </c:pt>
                <c:pt idx="4" formatCode="0.000">
                  <c:v>245.386</c:v>
                </c:pt>
                <c:pt idx="5" formatCode="0.000">
                  <c:v>345.09300000000002</c:v>
                </c:pt>
                <c:pt idx="6" formatCode="0.000">
                  <c:v>368.27300000000002</c:v>
                </c:pt>
                <c:pt idx="7" formatCode="0.000">
                  <c:v>412.01100000000002</c:v>
                </c:pt>
                <c:pt idx="8" formatCode="0.000">
                  <c:v>444.875</c:v>
                </c:pt>
                <c:pt idx="9" formatCode="0.000">
                  <c:v>689.81299999999999</c:v>
                </c:pt>
                <c:pt idx="10" formatCode="0.000">
                  <c:v>780.07399999999996</c:v>
                </c:pt>
                <c:pt idx="11" formatCode="0.000">
                  <c:v>868.64599999999996</c:v>
                </c:pt>
                <c:pt idx="12" formatCode="0.000">
                  <c:v>965.35</c:v>
                </c:pt>
                <c:pt idx="13" formatCode="0.000">
                  <c:v>1005.753</c:v>
                </c:pt>
                <c:pt idx="14" formatCode="0.000">
                  <c:v>1087.3820000000001</c:v>
                </c:pt>
                <c:pt idx="15" formatCode="0.000">
                  <c:v>1113.482</c:v>
                </c:pt>
                <c:pt idx="16" formatCode="0.000">
                  <c:v>1214.423</c:v>
                </c:pt>
                <c:pt idx="17" formatCode="0.000">
                  <c:v>1300.652</c:v>
                </c:pt>
                <c:pt idx="18" formatCode="0.000">
                  <c:v>1409.7159999999999</c:v>
                </c:pt>
                <c:pt idx="19" formatCode="0.000">
                  <c:v>511.86500000000001</c:v>
                </c:pt>
                <c:pt idx="20" formatCode="0.000">
                  <c:v>1276.0160000000001</c:v>
                </c:pt>
              </c:numCache>
            </c:numRef>
          </c:xVal>
          <c:yVal>
            <c:numRef>
              <c:f>'Energy Efficiency Calibration'!$AT$12:$AT$32</c:f>
              <c:numCache>
                <c:formatCode>General</c:formatCode>
                <c:ptCount val="21"/>
                <c:pt idx="0">
                  <c:v>2.8916870391259807E-3</c:v>
                </c:pt>
                <c:pt idx="1">
                  <c:v>2.6460281440994779E-3</c:v>
                </c:pt>
                <c:pt idx="2">
                  <c:v>3.3709440876330751E-3</c:v>
                </c:pt>
                <c:pt idx="3">
                  <c:v>-4.3385138226387232E-3</c:v>
                </c:pt>
                <c:pt idx="4">
                  <c:v>-1.0005711893193402E-3</c:v>
                </c:pt>
                <c:pt idx="5">
                  <c:v>1.3273111582815626E-3</c:v>
                </c:pt>
                <c:pt idx="6">
                  <c:v>6.8590316416986298E-3</c:v>
                </c:pt>
                <c:pt idx="7">
                  <c:v>3.2108326184171129E-4</c:v>
                </c:pt>
                <c:pt idx="8">
                  <c:v>9.3644727552330553E-4</c:v>
                </c:pt>
                <c:pt idx="9">
                  <c:v>2.8338171827395515E-4</c:v>
                </c:pt>
                <c:pt idx="10">
                  <c:v>3.9148598007220353E-4</c:v>
                </c:pt>
                <c:pt idx="11">
                  <c:v>-3.7840685576406158E-4</c:v>
                </c:pt>
                <c:pt idx="12">
                  <c:v>1.8412184841789213E-4</c:v>
                </c:pt>
                <c:pt idx="13">
                  <c:v>7.5038183955047476E-3</c:v>
                </c:pt>
                <c:pt idx="14">
                  <c:v>1.4512244988679167E-3</c:v>
                </c:pt>
                <c:pt idx="15">
                  <c:v>3.2246065235275265E-4</c:v>
                </c:pt>
                <c:pt idx="16">
                  <c:v>-5.7977788079017784E-4</c:v>
                </c:pt>
                <c:pt idx="17">
                  <c:v>4.5574446981722777E-4</c:v>
                </c:pt>
                <c:pt idx="18">
                  <c:v>2.79884100395561E-4</c:v>
                </c:pt>
                <c:pt idx="19">
                  <c:v>-2.4012868831033273E-3</c:v>
                </c:pt>
                <c:pt idx="20">
                  <c:v>-5.6021270005712429E-4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DA-4531-92A7-593BD5075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49896"/>
        <c:axId val="422746944"/>
      </c:scatterChart>
      <c:valAx>
        <c:axId val="422749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Channel</a:t>
                </a:r>
                <a:r>
                  <a:rPr lang="en-GB" baseline="0"/>
                  <a:t> no. (approx. Energy/keV)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46944"/>
        <c:crosses val="autoZero"/>
        <c:crossBetween val="midCat"/>
      </c:valAx>
      <c:valAx>
        <c:axId val="422746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49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Ratio</a:t>
            </a:r>
            <a:r>
              <a:rPr lang="en-GB" baseline="0"/>
              <a:t> of measured peak vs expected peak against energy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'Energy Efficiency Calibrati (2)'!$L$4:$L$33</c:f>
                <c:numCache>
                  <c:formatCode>General</c:formatCode>
                  <c:ptCount val="30"/>
                  <c:pt idx="0">
                    <c:v>1.1969999999999901</c:v>
                  </c:pt>
                  <c:pt idx="1">
                    <c:v>1.45199999999999</c:v>
                  </c:pt>
                  <c:pt idx="2">
                    <c:v>1.2329999999999901</c:v>
                  </c:pt>
                  <c:pt idx="3">
                    <c:v>1.2009999999999901</c:v>
                  </c:pt>
                  <c:pt idx="4">
                    <c:v>1.19799999999999</c:v>
                  </c:pt>
                  <c:pt idx="5">
                    <c:v>1.44999999999999</c:v>
                  </c:pt>
                  <c:pt idx="6">
                    <c:v>1.8599999999999901</c:v>
                  </c:pt>
                  <c:pt idx="7">
                    <c:v>1.1809999999999901</c:v>
                  </c:pt>
                  <c:pt idx="8">
                    <c:v>1.6479999999999899</c:v>
                  </c:pt>
                  <c:pt idx="9">
                    <c:v>1.70399999999999</c:v>
                  </c:pt>
                  <c:pt idx="10">
                    <c:v>1.25999999999999</c:v>
                  </c:pt>
                  <c:pt idx="11">
                    <c:v>1.1279999999999899</c:v>
                  </c:pt>
                  <c:pt idx="12">
                    <c:v>1.16099999999999</c:v>
                  </c:pt>
                  <c:pt idx="13">
                    <c:v>1.1819999999999899</c:v>
                  </c:pt>
                  <c:pt idx="14">
                    <c:v>1.4099999999999899</c:v>
                  </c:pt>
                  <c:pt idx="15">
                    <c:v>1.2229999999999901</c:v>
                  </c:pt>
                  <c:pt idx="16">
                    <c:v>1.2229999999999901</c:v>
                  </c:pt>
                  <c:pt idx="17">
                    <c:v>1.3099999999999901</c:v>
                  </c:pt>
                  <c:pt idx="18">
                    <c:v>1.3379999999999901</c:v>
                  </c:pt>
                  <c:pt idx="19">
                    <c:v>1.4229999999999901</c:v>
                  </c:pt>
                  <c:pt idx="20">
                    <c:v>1.60499999999999</c:v>
                  </c:pt>
                  <c:pt idx="21">
                    <c:v>1.4449999999999901</c:v>
                  </c:pt>
                  <c:pt idx="22">
                    <c:v>1.5899999999999901</c:v>
                  </c:pt>
                  <c:pt idx="23">
                    <c:v>1.7649999999999999</c:v>
                  </c:pt>
                  <c:pt idx="24">
                    <c:v>1.52399999999999</c:v>
                  </c:pt>
                  <c:pt idx="25">
                    <c:v>2.46199999999999</c:v>
                  </c:pt>
                  <c:pt idx="26">
                    <c:v>1.89099999999999</c:v>
                  </c:pt>
                  <c:pt idx="27">
                    <c:v>2.1319999999999899</c:v>
                  </c:pt>
                  <c:pt idx="28">
                    <c:v>2.1829999999999901</c:v>
                  </c:pt>
                  <c:pt idx="29">
                    <c:v>1.3089999999999899</c:v>
                  </c:pt>
                </c:numCache>
              </c:numRef>
            </c:plus>
            <c:minus>
              <c:numRef>
                <c:f>'Energy Efficiency Calibrati (2)'!$L$4:$L$33</c:f>
                <c:numCache>
                  <c:formatCode>General</c:formatCode>
                  <c:ptCount val="30"/>
                  <c:pt idx="0">
                    <c:v>1.1969999999999901</c:v>
                  </c:pt>
                  <c:pt idx="1">
                    <c:v>1.45199999999999</c:v>
                  </c:pt>
                  <c:pt idx="2">
                    <c:v>1.2329999999999901</c:v>
                  </c:pt>
                  <c:pt idx="3">
                    <c:v>1.2009999999999901</c:v>
                  </c:pt>
                  <c:pt idx="4">
                    <c:v>1.19799999999999</c:v>
                  </c:pt>
                  <c:pt idx="5">
                    <c:v>1.44999999999999</c:v>
                  </c:pt>
                  <c:pt idx="6">
                    <c:v>1.8599999999999901</c:v>
                  </c:pt>
                  <c:pt idx="7">
                    <c:v>1.1809999999999901</c:v>
                  </c:pt>
                  <c:pt idx="8">
                    <c:v>1.6479999999999899</c:v>
                  </c:pt>
                  <c:pt idx="9">
                    <c:v>1.70399999999999</c:v>
                  </c:pt>
                  <c:pt idx="10">
                    <c:v>1.25999999999999</c:v>
                  </c:pt>
                  <c:pt idx="11">
                    <c:v>1.1279999999999899</c:v>
                  </c:pt>
                  <c:pt idx="12">
                    <c:v>1.16099999999999</c:v>
                  </c:pt>
                  <c:pt idx="13">
                    <c:v>1.1819999999999899</c:v>
                  </c:pt>
                  <c:pt idx="14">
                    <c:v>1.4099999999999899</c:v>
                  </c:pt>
                  <c:pt idx="15">
                    <c:v>1.2229999999999901</c:v>
                  </c:pt>
                  <c:pt idx="16">
                    <c:v>1.2229999999999901</c:v>
                  </c:pt>
                  <c:pt idx="17">
                    <c:v>1.3099999999999901</c:v>
                  </c:pt>
                  <c:pt idx="18">
                    <c:v>1.3379999999999901</c:v>
                  </c:pt>
                  <c:pt idx="19">
                    <c:v>1.4229999999999901</c:v>
                  </c:pt>
                  <c:pt idx="20">
                    <c:v>1.60499999999999</c:v>
                  </c:pt>
                  <c:pt idx="21">
                    <c:v>1.4449999999999901</c:v>
                  </c:pt>
                  <c:pt idx="22">
                    <c:v>1.5899999999999901</c:v>
                  </c:pt>
                  <c:pt idx="23">
                    <c:v>1.7649999999999999</c:v>
                  </c:pt>
                  <c:pt idx="24">
                    <c:v>1.52399999999999</c:v>
                  </c:pt>
                  <c:pt idx="25">
                    <c:v>2.46199999999999</c:v>
                  </c:pt>
                  <c:pt idx="26">
                    <c:v>1.89099999999999</c:v>
                  </c:pt>
                  <c:pt idx="27">
                    <c:v>2.1319999999999899</c:v>
                  </c:pt>
                  <c:pt idx="28">
                    <c:v>2.1829999999999901</c:v>
                  </c:pt>
                  <c:pt idx="29">
                    <c:v>1.3089999999999899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'Energy Efficiency Calibrati (2)'!$Z$4:$Z$33</c:f>
                <c:numCache>
                  <c:formatCode>General</c:formatCode>
                  <c:ptCount val="30"/>
                  <c:pt idx="0">
                    <c:v>4.1365300543941951E-3</c:v>
                  </c:pt>
                  <c:pt idx="1">
                    <c:v>5.0763733236761288E-3</c:v>
                  </c:pt>
                  <c:pt idx="2">
                    <c:v>4.9748448343765479E-3</c:v>
                  </c:pt>
                  <c:pt idx="3">
                    <c:v>2.1215848734022361E-3</c:v>
                  </c:pt>
                  <c:pt idx="4">
                    <c:v>2.0067307163784899E-3</c:v>
                  </c:pt>
                  <c:pt idx="5">
                    <c:v>1.5958892545342217E-3</c:v>
                  </c:pt>
                  <c:pt idx="6">
                    <c:v>2.5919241020159974E-3</c:v>
                  </c:pt>
                  <c:pt idx="7">
                    <c:v>2.5997360008036107E-3</c:v>
                  </c:pt>
                  <c:pt idx="8">
                    <c:v>6.8136770955571193E-4</c:v>
                  </c:pt>
                  <c:pt idx="9">
                    <c:v>6.0854811508070049E-4</c:v>
                  </c:pt>
                  <c:pt idx="10">
                    <c:v>9.4124811681421498E-4</c:v>
                  </c:pt>
                  <c:pt idx="11">
                    <c:v>2.4163115078028974E-3</c:v>
                  </c:pt>
                  <c:pt idx="12">
                    <c:v>1.2689407247030058E-3</c:v>
                  </c:pt>
                  <c:pt idx="13">
                    <c:v>1.0147997491996264E-3</c:v>
                  </c:pt>
                  <c:pt idx="14">
                    <c:v>1.2852007534111831E-3</c:v>
                  </c:pt>
                  <c:pt idx="15">
                    <c:v>8.0245366019697268E-4</c:v>
                  </c:pt>
                  <c:pt idx="16">
                    <c:v>7.8433164709087587E-4</c:v>
                  </c:pt>
                  <c:pt idx="17">
                    <c:v>4.4086979857495501E-4</c:v>
                  </c:pt>
                  <c:pt idx="18">
                    <c:v>3.5111143283408431E-4</c:v>
                  </c:pt>
                  <c:pt idx="19">
                    <c:v>3.4723489083552295E-4</c:v>
                  </c:pt>
                  <c:pt idx="20">
                    <c:v>3.6678340045643573E-4</c:v>
                  </c:pt>
                  <c:pt idx="21">
                    <c:v>3.1049719619652888E-4</c:v>
                  </c:pt>
                  <c:pt idx="22">
                    <c:v>2.4544467164126262E-4</c:v>
                  </c:pt>
                  <c:pt idx="23">
                    <c:v>1.3253560625545383E-3</c:v>
                  </c:pt>
                  <c:pt idx="24">
                    <c:v>6.0317333155785163E-4</c:v>
                  </c:pt>
                  <c:pt idx="25">
                    <c:v>2.0004757745115632E-3</c:v>
                  </c:pt>
                  <c:pt idx="26">
                    <c:v>3.5955990453938856E-4</c:v>
                  </c:pt>
                  <c:pt idx="27">
                    <c:v>2.0702994834680068E-4</c:v>
                  </c:pt>
                  <c:pt idx="28">
                    <c:v>1.3618177380529271E-4</c:v>
                  </c:pt>
                  <c:pt idx="29">
                    <c:v>6.5940012597208745E-3</c:v>
                  </c:pt>
                </c:numCache>
              </c:numRef>
            </c:plus>
            <c:minus>
              <c:numRef>
                <c:f>'Energy Efficiency Calibrati (2)'!$Z$4:$Z$33</c:f>
                <c:numCache>
                  <c:formatCode>General</c:formatCode>
                  <c:ptCount val="30"/>
                  <c:pt idx="0">
                    <c:v>4.1365300543941951E-3</c:v>
                  </c:pt>
                  <c:pt idx="1">
                    <c:v>5.0763733236761288E-3</c:v>
                  </c:pt>
                  <c:pt idx="2">
                    <c:v>4.9748448343765479E-3</c:v>
                  </c:pt>
                  <c:pt idx="3">
                    <c:v>2.1215848734022361E-3</c:v>
                  </c:pt>
                  <c:pt idx="4">
                    <c:v>2.0067307163784899E-3</c:v>
                  </c:pt>
                  <c:pt idx="5">
                    <c:v>1.5958892545342217E-3</c:v>
                  </c:pt>
                  <c:pt idx="6">
                    <c:v>2.5919241020159974E-3</c:v>
                  </c:pt>
                  <c:pt idx="7">
                    <c:v>2.5997360008036107E-3</c:v>
                  </c:pt>
                  <c:pt idx="8">
                    <c:v>6.8136770955571193E-4</c:v>
                  </c:pt>
                  <c:pt idx="9">
                    <c:v>6.0854811508070049E-4</c:v>
                  </c:pt>
                  <c:pt idx="10">
                    <c:v>9.4124811681421498E-4</c:v>
                  </c:pt>
                  <c:pt idx="11">
                    <c:v>2.4163115078028974E-3</c:v>
                  </c:pt>
                  <c:pt idx="12">
                    <c:v>1.2689407247030058E-3</c:v>
                  </c:pt>
                  <c:pt idx="13">
                    <c:v>1.0147997491996264E-3</c:v>
                  </c:pt>
                  <c:pt idx="14">
                    <c:v>1.2852007534111831E-3</c:v>
                  </c:pt>
                  <c:pt idx="15">
                    <c:v>8.0245366019697268E-4</c:v>
                  </c:pt>
                  <c:pt idx="16">
                    <c:v>7.8433164709087587E-4</c:v>
                  </c:pt>
                  <c:pt idx="17">
                    <c:v>4.4086979857495501E-4</c:v>
                  </c:pt>
                  <c:pt idx="18">
                    <c:v>3.5111143283408431E-4</c:v>
                  </c:pt>
                  <c:pt idx="19">
                    <c:v>3.4723489083552295E-4</c:v>
                  </c:pt>
                  <c:pt idx="20">
                    <c:v>3.6678340045643573E-4</c:v>
                  </c:pt>
                  <c:pt idx="21">
                    <c:v>3.1049719619652888E-4</c:v>
                  </c:pt>
                  <c:pt idx="22">
                    <c:v>2.4544467164126262E-4</c:v>
                  </c:pt>
                  <c:pt idx="23">
                    <c:v>1.3253560625545383E-3</c:v>
                  </c:pt>
                  <c:pt idx="24">
                    <c:v>6.0317333155785163E-4</c:v>
                  </c:pt>
                  <c:pt idx="25">
                    <c:v>2.0004757745115632E-3</c:v>
                  </c:pt>
                  <c:pt idx="26">
                    <c:v>3.5955990453938856E-4</c:v>
                  </c:pt>
                  <c:pt idx="27">
                    <c:v>2.0702994834680068E-4</c:v>
                  </c:pt>
                  <c:pt idx="28">
                    <c:v>1.3618177380529271E-4</c:v>
                  </c:pt>
                  <c:pt idx="29">
                    <c:v>6.5940012597208745E-3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'Energy Efficiency Calibrati (2)'!$K$4:$K$33</c:f>
              <c:numCache>
                <c:formatCode>0.000</c:formatCode>
                <c:ptCount val="30"/>
                <c:pt idx="0">
                  <c:v>30.983000000000001</c:v>
                </c:pt>
                <c:pt idx="1">
                  <c:v>81.23</c:v>
                </c:pt>
                <c:pt idx="2">
                  <c:v>161.29199999999901</c:v>
                </c:pt>
                <c:pt idx="3">
                  <c:v>277.54599999999903</c:v>
                </c:pt>
                <c:pt idx="4">
                  <c:v>304.099999999999</c:v>
                </c:pt>
                <c:pt idx="5">
                  <c:v>357.4</c:v>
                </c:pt>
                <c:pt idx="6">
                  <c:v>385.94999999999902</c:v>
                </c:pt>
                <c:pt idx="7" formatCode="General">
                  <c:v>39.906999999999897</c:v>
                </c:pt>
                <c:pt idx="8" formatCode="General">
                  <c:v>1176.78899999999</c:v>
                </c:pt>
                <c:pt idx="9" formatCode="General">
                  <c:v>1336.5129999999899</c:v>
                </c:pt>
                <c:pt idx="10">
                  <c:v>662.74699999999905</c:v>
                </c:pt>
                <c:pt idx="11">
                  <c:v>122.20699999999999</c:v>
                </c:pt>
                <c:pt idx="12">
                  <c:v>245.390999999999</c:v>
                </c:pt>
                <c:pt idx="13">
                  <c:v>345.094999999999</c:v>
                </c:pt>
                <c:pt idx="14">
                  <c:v>368.29899999999998</c:v>
                </c:pt>
                <c:pt idx="15">
                  <c:v>412.015999999999</c:v>
                </c:pt>
                <c:pt idx="16">
                  <c:v>444.87299999999902</c:v>
                </c:pt>
                <c:pt idx="17">
                  <c:v>780.077</c:v>
                </c:pt>
                <c:pt idx="18">
                  <c:v>868.65099999999904</c:v>
                </c:pt>
                <c:pt idx="19">
                  <c:v>965.35399999999902</c:v>
                </c:pt>
                <c:pt idx="20">
                  <c:v>1087.3799999999901</c:v>
                </c:pt>
                <c:pt idx="21">
                  <c:v>1113.48099999999</c:v>
                </c:pt>
                <c:pt idx="22">
                  <c:v>1409.7179999999901</c:v>
                </c:pt>
                <c:pt idx="23">
                  <c:v>511.86899999999901</c:v>
                </c:pt>
                <c:pt idx="24">
                  <c:v>1276.02099999999</c:v>
                </c:pt>
                <c:pt idx="25">
                  <c:v>72.971000000000004</c:v>
                </c:pt>
                <c:pt idx="26" formatCode="General">
                  <c:v>570.17499999999995</c:v>
                </c:pt>
                <c:pt idx="27" formatCode="General">
                  <c:v>1065.0899999999899</c:v>
                </c:pt>
                <c:pt idx="28" formatCode="General">
                  <c:v>1773.2169999999901</c:v>
                </c:pt>
                <c:pt idx="29" formatCode="General">
                  <c:v>59.6829999999999</c:v>
                </c:pt>
              </c:numCache>
            </c:numRef>
          </c:xVal>
          <c:yVal>
            <c:numRef>
              <c:f>'Energy Efficiency Calibrati (2)'!$Y$4:$Y$33</c:f>
              <c:numCache>
                <c:formatCode>General</c:formatCode>
                <c:ptCount val="30"/>
                <c:pt idx="0">
                  <c:v>5.3209095440179675E-2</c:v>
                </c:pt>
                <c:pt idx="1">
                  <c:v>6.5231799559022946E-2</c:v>
                </c:pt>
                <c:pt idx="2">
                  <c:v>6.335609291408828E-2</c:v>
                </c:pt>
                <c:pt idx="3">
                  <c:v>2.724316016166111E-2</c:v>
                </c:pt>
                <c:pt idx="4">
                  <c:v>2.5869306429807629E-2</c:v>
                </c:pt>
                <c:pt idx="5">
                  <c:v>2.0627107436547033E-2</c:v>
                </c:pt>
                <c:pt idx="6">
                  <c:v>3.3353184737843301E-2</c:v>
                </c:pt>
                <c:pt idx="7">
                  <c:v>4.6957156368595765E-2</c:v>
                </c:pt>
                <c:pt idx="8">
                  <c:v>7.9468340560691995E-3</c:v>
                </c:pt>
                <c:pt idx="9">
                  <c:v>7.0972070370200688E-3</c:v>
                </c:pt>
                <c:pt idx="10">
                  <c:v>1.2284469318060928E-2</c:v>
                </c:pt>
                <c:pt idx="11">
                  <c:v>4.4208044799668028E-2</c:v>
                </c:pt>
                <c:pt idx="12">
                  <c:v>2.3154978776183006E-2</c:v>
                </c:pt>
                <c:pt idx="13">
                  <c:v>1.8561201876018656E-2</c:v>
                </c:pt>
                <c:pt idx="14">
                  <c:v>2.306102387102316E-2</c:v>
                </c:pt>
                <c:pt idx="15">
                  <c:v>1.4549647631545076E-2</c:v>
                </c:pt>
                <c:pt idx="16">
                  <c:v>1.417250568692043E-2</c:v>
                </c:pt>
                <c:pt idx="17">
                  <c:v>8.0417337915561597E-3</c:v>
                </c:pt>
                <c:pt idx="18">
                  <c:v>6.3372298672134562E-3</c:v>
                </c:pt>
                <c:pt idx="19">
                  <c:v>6.3336157578026409E-3</c:v>
                </c:pt>
                <c:pt idx="20">
                  <c:v>6.6564968072721142E-3</c:v>
                </c:pt>
                <c:pt idx="21">
                  <c:v>5.6557426844069877E-3</c:v>
                </c:pt>
                <c:pt idx="22">
                  <c:v>4.4770051441250123E-3</c:v>
                </c:pt>
                <c:pt idx="23">
                  <c:v>9.0366605689262292E-3</c:v>
                </c:pt>
                <c:pt idx="24">
                  <c:v>4.1090260060838539E-3</c:v>
                </c:pt>
                <c:pt idx="25">
                  <c:v>4.1992403283659996E-2</c:v>
                </c:pt>
                <c:pt idx="26">
                  <c:v>7.761306268152645E-3</c:v>
                </c:pt>
                <c:pt idx="27">
                  <c:v>4.4578296345673231E-3</c:v>
                </c:pt>
                <c:pt idx="28">
                  <c:v>2.8929552062550937E-3</c:v>
                </c:pt>
                <c:pt idx="29">
                  <c:v>0.1077236347832126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51-4896-B723-142E3F8A900E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'Energy Efficiency Calibrati (2)'!$AY$4:$AY$397</c:f>
              <c:numCache>
                <c:formatCode>General</c:formatCode>
                <c:ptCount val="394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  <c:pt idx="60">
                  <c:v>301</c:v>
                </c:pt>
                <c:pt idx="61">
                  <c:v>306</c:v>
                </c:pt>
                <c:pt idx="62">
                  <c:v>311</c:v>
                </c:pt>
                <c:pt idx="63">
                  <c:v>316</c:v>
                </c:pt>
                <c:pt idx="64">
                  <c:v>321</c:v>
                </c:pt>
                <c:pt idx="65">
                  <c:v>326</c:v>
                </c:pt>
                <c:pt idx="66">
                  <c:v>331</c:v>
                </c:pt>
                <c:pt idx="67">
                  <c:v>336</c:v>
                </c:pt>
                <c:pt idx="68">
                  <c:v>341</c:v>
                </c:pt>
                <c:pt idx="69">
                  <c:v>346</c:v>
                </c:pt>
                <c:pt idx="70">
                  <c:v>351</c:v>
                </c:pt>
                <c:pt idx="71">
                  <c:v>356</c:v>
                </c:pt>
                <c:pt idx="72">
                  <c:v>361</c:v>
                </c:pt>
                <c:pt idx="73">
                  <c:v>366</c:v>
                </c:pt>
                <c:pt idx="74">
                  <c:v>371</c:v>
                </c:pt>
                <c:pt idx="75">
                  <c:v>376</c:v>
                </c:pt>
                <c:pt idx="76">
                  <c:v>381</c:v>
                </c:pt>
                <c:pt idx="77">
                  <c:v>386</c:v>
                </c:pt>
                <c:pt idx="78">
                  <c:v>391</c:v>
                </c:pt>
                <c:pt idx="79">
                  <c:v>396</c:v>
                </c:pt>
                <c:pt idx="80">
                  <c:v>401</c:v>
                </c:pt>
                <c:pt idx="81">
                  <c:v>406</c:v>
                </c:pt>
                <c:pt idx="82">
                  <c:v>411</c:v>
                </c:pt>
                <c:pt idx="83">
                  <c:v>416</c:v>
                </c:pt>
                <c:pt idx="84">
                  <c:v>421</c:v>
                </c:pt>
                <c:pt idx="85">
                  <c:v>426</c:v>
                </c:pt>
                <c:pt idx="86">
                  <c:v>431</c:v>
                </c:pt>
                <c:pt idx="87">
                  <c:v>436</c:v>
                </c:pt>
                <c:pt idx="88">
                  <c:v>441</c:v>
                </c:pt>
                <c:pt idx="89">
                  <c:v>446</c:v>
                </c:pt>
                <c:pt idx="90">
                  <c:v>451</c:v>
                </c:pt>
                <c:pt idx="91">
                  <c:v>456</c:v>
                </c:pt>
                <c:pt idx="92">
                  <c:v>461</c:v>
                </c:pt>
                <c:pt idx="93">
                  <c:v>466</c:v>
                </c:pt>
                <c:pt idx="94">
                  <c:v>471</c:v>
                </c:pt>
                <c:pt idx="95">
                  <c:v>476</c:v>
                </c:pt>
                <c:pt idx="96">
                  <c:v>481</c:v>
                </c:pt>
                <c:pt idx="97">
                  <c:v>486</c:v>
                </c:pt>
                <c:pt idx="98">
                  <c:v>491</c:v>
                </c:pt>
                <c:pt idx="99">
                  <c:v>496</c:v>
                </c:pt>
                <c:pt idx="100">
                  <c:v>501</c:v>
                </c:pt>
                <c:pt idx="101">
                  <c:v>506</c:v>
                </c:pt>
                <c:pt idx="102">
                  <c:v>511</c:v>
                </c:pt>
                <c:pt idx="103">
                  <c:v>516</c:v>
                </c:pt>
                <c:pt idx="104">
                  <c:v>521</c:v>
                </c:pt>
                <c:pt idx="105">
                  <c:v>526</c:v>
                </c:pt>
                <c:pt idx="106">
                  <c:v>531</c:v>
                </c:pt>
                <c:pt idx="107">
                  <c:v>536</c:v>
                </c:pt>
                <c:pt idx="108">
                  <c:v>541</c:v>
                </c:pt>
                <c:pt idx="109">
                  <c:v>546</c:v>
                </c:pt>
                <c:pt idx="110">
                  <c:v>551</c:v>
                </c:pt>
                <c:pt idx="111">
                  <c:v>556</c:v>
                </c:pt>
                <c:pt idx="112">
                  <c:v>561</c:v>
                </c:pt>
                <c:pt idx="113">
                  <c:v>566</c:v>
                </c:pt>
                <c:pt idx="114">
                  <c:v>571</c:v>
                </c:pt>
                <c:pt idx="115">
                  <c:v>576</c:v>
                </c:pt>
                <c:pt idx="116">
                  <c:v>581</c:v>
                </c:pt>
                <c:pt idx="117">
                  <c:v>586</c:v>
                </c:pt>
                <c:pt idx="118">
                  <c:v>591</c:v>
                </c:pt>
                <c:pt idx="119">
                  <c:v>596</c:v>
                </c:pt>
                <c:pt idx="120">
                  <c:v>601</c:v>
                </c:pt>
                <c:pt idx="121">
                  <c:v>606</c:v>
                </c:pt>
                <c:pt idx="122">
                  <c:v>611</c:v>
                </c:pt>
                <c:pt idx="123">
                  <c:v>616</c:v>
                </c:pt>
                <c:pt idx="124">
                  <c:v>621</c:v>
                </c:pt>
                <c:pt idx="125">
                  <c:v>626</c:v>
                </c:pt>
                <c:pt idx="126">
                  <c:v>631</c:v>
                </c:pt>
                <c:pt idx="127">
                  <c:v>636</c:v>
                </c:pt>
                <c:pt idx="128">
                  <c:v>641</c:v>
                </c:pt>
                <c:pt idx="129">
                  <c:v>646</c:v>
                </c:pt>
                <c:pt idx="130">
                  <c:v>651</c:v>
                </c:pt>
                <c:pt idx="131">
                  <c:v>656</c:v>
                </c:pt>
                <c:pt idx="132">
                  <c:v>661</c:v>
                </c:pt>
                <c:pt idx="133">
                  <c:v>666</c:v>
                </c:pt>
                <c:pt idx="134">
                  <c:v>671</c:v>
                </c:pt>
                <c:pt idx="135">
                  <c:v>676</c:v>
                </c:pt>
                <c:pt idx="136">
                  <c:v>681</c:v>
                </c:pt>
                <c:pt idx="137">
                  <c:v>686</c:v>
                </c:pt>
                <c:pt idx="138">
                  <c:v>691</c:v>
                </c:pt>
                <c:pt idx="139">
                  <c:v>696</c:v>
                </c:pt>
                <c:pt idx="140">
                  <c:v>701</c:v>
                </c:pt>
                <c:pt idx="141">
                  <c:v>706</c:v>
                </c:pt>
                <c:pt idx="142">
                  <c:v>711</c:v>
                </c:pt>
                <c:pt idx="143">
                  <c:v>716</c:v>
                </c:pt>
                <c:pt idx="144">
                  <c:v>721</c:v>
                </c:pt>
                <c:pt idx="145">
                  <c:v>726</c:v>
                </c:pt>
                <c:pt idx="146">
                  <c:v>731</c:v>
                </c:pt>
                <c:pt idx="147">
                  <c:v>736</c:v>
                </c:pt>
                <c:pt idx="148">
                  <c:v>741</c:v>
                </c:pt>
                <c:pt idx="149">
                  <c:v>746</c:v>
                </c:pt>
                <c:pt idx="150">
                  <c:v>751</c:v>
                </c:pt>
                <c:pt idx="151">
                  <c:v>756</c:v>
                </c:pt>
                <c:pt idx="152">
                  <c:v>761</c:v>
                </c:pt>
                <c:pt idx="153">
                  <c:v>766</c:v>
                </c:pt>
                <c:pt idx="154">
                  <c:v>771</c:v>
                </c:pt>
                <c:pt idx="155">
                  <c:v>776</c:v>
                </c:pt>
                <c:pt idx="156">
                  <c:v>781</c:v>
                </c:pt>
                <c:pt idx="157">
                  <c:v>786</c:v>
                </c:pt>
                <c:pt idx="158">
                  <c:v>791</c:v>
                </c:pt>
                <c:pt idx="159">
                  <c:v>796</c:v>
                </c:pt>
                <c:pt idx="160">
                  <c:v>801</c:v>
                </c:pt>
                <c:pt idx="161">
                  <c:v>806</c:v>
                </c:pt>
                <c:pt idx="162">
                  <c:v>811</c:v>
                </c:pt>
                <c:pt idx="163">
                  <c:v>816</c:v>
                </c:pt>
                <c:pt idx="164">
                  <c:v>821</c:v>
                </c:pt>
                <c:pt idx="165">
                  <c:v>826</c:v>
                </c:pt>
                <c:pt idx="166">
                  <c:v>831</c:v>
                </c:pt>
                <c:pt idx="167">
                  <c:v>836</c:v>
                </c:pt>
                <c:pt idx="168">
                  <c:v>841</c:v>
                </c:pt>
                <c:pt idx="169">
                  <c:v>846</c:v>
                </c:pt>
                <c:pt idx="170">
                  <c:v>851</c:v>
                </c:pt>
                <c:pt idx="171">
                  <c:v>856</c:v>
                </c:pt>
                <c:pt idx="172">
                  <c:v>861</c:v>
                </c:pt>
                <c:pt idx="173">
                  <c:v>866</c:v>
                </c:pt>
                <c:pt idx="174">
                  <c:v>871</c:v>
                </c:pt>
                <c:pt idx="175">
                  <c:v>876</c:v>
                </c:pt>
                <c:pt idx="176">
                  <c:v>881</c:v>
                </c:pt>
                <c:pt idx="177">
                  <c:v>886</c:v>
                </c:pt>
                <c:pt idx="178">
                  <c:v>891</c:v>
                </c:pt>
                <c:pt idx="179">
                  <c:v>896</c:v>
                </c:pt>
                <c:pt idx="180">
                  <c:v>901</c:v>
                </c:pt>
                <c:pt idx="181">
                  <c:v>906</c:v>
                </c:pt>
                <c:pt idx="182">
                  <c:v>911</c:v>
                </c:pt>
                <c:pt idx="183">
                  <c:v>916</c:v>
                </c:pt>
                <c:pt idx="184">
                  <c:v>921</c:v>
                </c:pt>
                <c:pt idx="185">
                  <c:v>926</c:v>
                </c:pt>
                <c:pt idx="186">
                  <c:v>931</c:v>
                </c:pt>
                <c:pt idx="187">
                  <c:v>936</c:v>
                </c:pt>
                <c:pt idx="188">
                  <c:v>941</c:v>
                </c:pt>
                <c:pt idx="189">
                  <c:v>946</c:v>
                </c:pt>
                <c:pt idx="190">
                  <c:v>951</c:v>
                </c:pt>
                <c:pt idx="191">
                  <c:v>956</c:v>
                </c:pt>
                <c:pt idx="192">
                  <c:v>961</c:v>
                </c:pt>
                <c:pt idx="193">
                  <c:v>966</c:v>
                </c:pt>
                <c:pt idx="194">
                  <c:v>971</c:v>
                </c:pt>
                <c:pt idx="195">
                  <c:v>976</c:v>
                </c:pt>
                <c:pt idx="196">
                  <c:v>981</c:v>
                </c:pt>
                <c:pt idx="197">
                  <c:v>986</c:v>
                </c:pt>
                <c:pt idx="198">
                  <c:v>991</c:v>
                </c:pt>
                <c:pt idx="199">
                  <c:v>996</c:v>
                </c:pt>
                <c:pt idx="200">
                  <c:v>1001</c:v>
                </c:pt>
                <c:pt idx="201">
                  <c:v>1006</c:v>
                </c:pt>
                <c:pt idx="202">
                  <c:v>1011</c:v>
                </c:pt>
                <c:pt idx="203">
                  <c:v>1016</c:v>
                </c:pt>
                <c:pt idx="204">
                  <c:v>1021</c:v>
                </c:pt>
                <c:pt idx="205">
                  <c:v>1026</c:v>
                </c:pt>
                <c:pt idx="206">
                  <c:v>1031</c:v>
                </c:pt>
                <c:pt idx="207">
                  <c:v>1036</c:v>
                </c:pt>
                <c:pt idx="208">
                  <c:v>1041</c:v>
                </c:pt>
                <c:pt idx="209">
                  <c:v>1046</c:v>
                </c:pt>
                <c:pt idx="210">
                  <c:v>1051</c:v>
                </c:pt>
                <c:pt idx="211">
                  <c:v>1056</c:v>
                </c:pt>
                <c:pt idx="212">
                  <c:v>1061</c:v>
                </c:pt>
                <c:pt idx="213">
                  <c:v>1066</c:v>
                </c:pt>
                <c:pt idx="214">
                  <c:v>1071</c:v>
                </c:pt>
                <c:pt idx="215">
                  <c:v>1076</c:v>
                </c:pt>
                <c:pt idx="216">
                  <c:v>1081</c:v>
                </c:pt>
                <c:pt idx="217">
                  <c:v>1086</c:v>
                </c:pt>
                <c:pt idx="218">
                  <c:v>1091</c:v>
                </c:pt>
                <c:pt idx="219">
                  <c:v>1096</c:v>
                </c:pt>
                <c:pt idx="220">
                  <c:v>1101</c:v>
                </c:pt>
                <c:pt idx="221">
                  <c:v>1106</c:v>
                </c:pt>
                <c:pt idx="222">
                  <c:v>1111</c:v>
                </c:pt>
                <c:pt idx="223">
                  <c:v>1116</c:v>
                </c:pt>
                <c:pt idx="224">
                  <c:v>1121</c:v>
                </c:pt>
                <c:pt idx="225">
                  <c:v>1126</c:v>
                </c:pt>
                <c:pt idx="226">
                  <c:v>1131</c:v>
                </c:pt>
                <c:pt idx="227">
                  <c:v>1136</c:v>
                </c:pt>
                <c:pt idx="228">
                  <c:v>1141</c:v>
                </c:pt>
                <c:pt idx="229">
                  <c:v>1146</c:v>
                </c:pt>
                <c:pt idx="230">
                  <c:v>1151</c:v>
                </c:pt>
                <c:pt idx="231">
                  <c:v>1156</c:v>
                </c:pt>
                <c:pt idx="232">
                  <c:v>1161</c:v>
                </c:pt>
                <c:pt idx="233">
                  <c:v>1166</c:v>
                </c:pt>
                <c:pt idx="234">
                  <c:v>1171</c:v>
                </c:pt>
                <c:pt idx="235">
                  <c:v>1176</c:v>
                </c:pt>
                <c:pt idx="236">
                  <c:v>1181</c:v>
                </c:pt>
                <c:pt idx="237">
                  <c:v>1186</c:v>
                </c:pt>
                <c:pt idx="238">
                  <c:v>1191</c:v>
                </c:pt>
                <c:pt idx="239">
                  <c:v>1196</c:v>
                </c:pt>
                <c:pt idx="240">
                  <c:v>1201</c:v>
                </c:pt>
                <c:pt idx="241">
                  <c:v>1206</c:v>
                </c:pt>
                <c:pt idx="242">
                  <c:v>1211</c:v>
                </c:pt>
                <c:pt idx="243">
                  <c:v>1216</c:v>
                </c:pt>
                <c:pt idx="244">
                  <c:v>1221</c:v>
                </c:pt>
                <c:pt idx="245">
                  <c:v>1226</c:v>
                </c:pt>
                <c:pt idx="246">
                  <c:v>1231</c:v>
                </c:pt>
                <c:pt idx="247">
                  <c:v>1236</c:v>
                </c:pt>
                <c:pt idx="248">
                  <c:v>1241</c:v>
                </c:pt>
                <c:pt idx="249">
                  <c:v>1246</c:v>
                </c:pt>
                <c:pt idx="250">
                  <c:v>1251</c:v>
                </c:pt>
                <c:pt idx="251">
                  <c:v>1256</c:v>
                </c:pt>
                <c:pt idx="252">
                  <c:v>1261</c:v>
                </c:pt>
                <c:pt idx="253">
                  <c:v>1266</c:v>
                </c:pt>
                <c:pt idx="254">
                  <c:v>1271</c:v>
                </c:pt>
                <c:pt idx="255">
                  <c:v>1276</c:v>
                </c:pt>
                <c:pt idx="256">
                  <c:v>1281</c:v>
                </c:pt>
                <c:pt idx="257">
                  <c:v>1286</c:v>
                </c:pt>
                <c:pt idx="258">
                  <c:v>1291</c:v>
                </c:pt>
                <c:pt idx="259">
                  <c:v>1296</c:v>
                </c:pt>
                <c:pt idx="260">
                  <c:v>1301</c:v>
                </c:pt>
                <c:pt idx="261">
                  <c:v>1306</c:v>
                </c:pt>
                <c:pt idx="262">
                  <c:v>1311</c:v>
                </c:pt>
                <c:pt idx="263">
                  <c:v>1316</c:v>
                </c:pt>
                <c:pt idx="264">
                  <c:v>1321</c:v>
                </c:pt>
                <c:pt idx="265">
                  <c:v>1326</c:v>
                </c:pt>
                <c:pt idx="266">
                  <c:v>1331</c:v>
                </c:pt>
                <c:pt idx="267">
                  <c:v>1336</c:v>
                </c:pt>
                <c:pt idx="268">
                  <c:v>1341</c:v>
                </c:pt>
                <c:pt idx="269">
                  <c:v>1346</c:v>
                </c:pt>
                <c:pt idx="270">
                  <c:v>1351</c:v>
                </c:pt>
                <c:pt idx="271">
                  <c:v>1356</c:v>
                </c:pt>
                <c:pt idx="272">
                  <c:v>1361</c:v>
                </c:pt>
                <c:pt idx="273">
                  <c:v>1366</c:v>
                </c:pt>
                <c:pt idx="274">
                  <c:v>1371</c:v>
                </c:pt>
                <c:pt idx="275">
                  <c:v>1376</c:v>
                </c:pt>
                <c:pt idx="276">
                  <c:v>1381</c:v>
                </c:pt>
                <c:pt idx="277">
                  <c:v>1386</c:v>
                </c:pt>
                <c:pt idx="278">
                  <c:v>1391</c:v>
                </c:pt>
                <c:pt idx="279">
                  <c:v>1396</c:v>
                </c:pt>
                <c:pt idx="280">
                  <c:v>1401</c:v>
                </c:pt>
                <c:pt idx="281">
                  <c:v>1406</c:v>
                </c:pt>
                <c:pt idx="282">
                  <c:v>1411</c:v>
                </c:pt>
                <c:pt idx="283">
                  <c:v>1416</c:v>
                </c:pt>
                <c:pt idx="284">
                  <c:v>1421</c:v>
                </c:pt>
                <c:pt idx="285">
                  <c:v>1426</c:v>
                </c:pt>
                <c:pt idx="286">
                  <c:v>1431</c:v>
                </c:pt>
                <c:pt idx="287">
                  <c:v>1436</c:v>
                </c:pt>
                <c:pt idx="288">
                  <c:v>1441</c:v>
                </c:pt>
                <c:pt idx="289">
                  <c:v>1446</c:v>
                </c:pt>
                <c:pt idx="290">
                  <c:v>1451</c:v>
                </c:pt>
                <c:pt idx="291">
                  <c:v>1456</c:v>
                </c:pt>
                <c:pt idx="292">
                  <c:v>1461</c:v>
                </c:pt>
                <c:pt idx="293">
                  <c:v>1466</c:v>
                </c:pt>
                <c:pt idx="294">
                  <c:v>1471</c:v>
                </c:pt>
                <c:pt idx="295">
                  <c:v>1476</c:v>
                </c:pt>
                <c:pt idx="296">
                  <c:v>1481</c:v>
                </c:pt>
                <c:pt idx="297">
                  <c:v>1486</c:v>
                </c:pt>
                <c:pt idx="298">
                  <c:v>1491</c:v>
                </c:pt>
                <c:pt idx="299">
                  <c:v>1496</c:v>
                </c:pt>
                <c:pt idx="300">
                  <c:v>1501</c:v>
                </c:pt>
                <c:pt idx="301">
                  <c:v>1506</c:v>
                </c:pt>
                <c:pt idx="302">
                  <c:v>1511</c:v>
                </c:pt>
                <c:pt idx="303">
                  <c:v>1516</c:v>
                </c:pt>
                <c:pt idx="304">
                  <c:v>1521</c:v>
                </c:pt>
                <c:pt idx="305">
                  <c:v>1526</c:v>
                </c:pt>
                <c:pt idx="306">
                  <c:v>1531</c:v>
                </c:pt>
                <c:pt idx="307">
                  <c:v>1536</c:v>
                </c:pt>
                <c:pt idx="308">
                  <c:v>1541</c:v>
                </c:pt>
                <c:pt idx="309">
                  <c:v>1546</c:v>
                </c:pt>
                <c:pt idx="310">
                  <c:v>1551</c:v>
                </c:pt>
                <c:pt idx="311">
                  <c:v>1556</c:v>
                </c:pt>
                <c:pt idx="312">
                  <c:v>1561</c:v>
                </c:pt>
                <c:pt idx="313">
                  <c:v>1566</c:v>
                </c:pt>
                <c:pt idx="314">
                  <c:v>1571</c:v>
                </c:pt>
                <c:pt idx="315">
                  <c:v>1576</c:v>
                </c:pt>
                <c:pt idx="316">
                  <c:v>1581</c:v>
                </c:pt>
                <c:pt idx="317">
                  <c:v>1586</c:v>
                </c:pt>
                <c:pt idx="318">
                  <c:v>1591</c:v>
                </c:pt>
                <c:pt idx="319">
                  <c:v>1596</c:v>
                </c:pt>
                <c:pt idx="320">
                  <c:v>1601</c:v>
                </c:pt>
                <c:pt idx="321">
                  <c:v>1606</c:v>
                </c:pt>
                <c:pt idx="322">
                  <c:v>1611</c:v>
                </c:pt>
                <c:pt idx="323">
                  <c:v>1616</c:v>
                </c:pt>
                <c:pt idx="324">
                  <c:v>1621</c:v>
                </c:pt>
                <c:pt idx="325">
                  <c:v>1626</c:v>
                </c:pt>
                <c:pt idx="326">
                  <c:v>1631</c:v>
                </c:pt>
                <c:pt idx="327">
                  <c:v>1636</c:v>
                </c:pt>
                <c:pt idx="328">
                  <c:v>1641</c:v>
                </c:pt>
                <c:pt idx="329">
                  <c:v>1646</c:v>
                </c:pt>
                <c:pt idx="330">
                  <c:v>1651</c:v>
                </c:pt>
                <c:pt idx="331">
                  <c:v>1656</c:v>
                </c:pt>
                <c:pt idx="332">
                  <c:v>1661</c:v>
                </c:pt>
                <c:pt idx="333">
                  <c:v>1666</c:v>
                </c:pt>
                <c:pt idx="334">
                  <c:v>1671</c:v>
                </c:pt>
                <c:pt idx="335">
                  <c:v>1676</c:v>
                </c:pt>
                <c:pt idx="336">
                  <c:v>1681</c:v>
                </c:pt>
                <c:pt idx="337">
                  <c:v>1686</c:v>
                </c:pt>
                <c:pt idx="338">
                  <c:v>1691</c:v>
                </c:pt>
                <c:pt idx="339">
                  <c:v>1696</c:v>
                </c:pt>
                <c:pt idx="340">
                  <c:v>1701</c:v>
                </c:pt>
                <c:pt idx="341">
                  <c:v>1706</c:v>
                </c:pt>
                <c:pt idx="342">
                  <c:v>1711</c:v>
                </c:pt>
                <c:pt idx="343">
                  <c:v>1716</c:v>
                </c:pt>
                <c:pt idx="344">
                  <c:v>1721</c:v>
                </c:pt>
                <c:pt idx="345">
                  <c:v>1726</c:v>
                </c:pt>
                <c:pt idx="346">
                  <c:v>1731</c:v>
                </c:pt>
                <c:pt idx="347">
                  <c:v>1736</c:v>
                </c:pt>
                <c:pt idx="348">
                  <c:v>1741</c:v>
                </c:pt>
                <c:pt idx="349">
                  <c:v>1746</c:v>
                </c:pt>
                <c:pt idx="350">
                  <c:v>1751</c:v>
                </c:pt>
                <c:pt idx="351">
                  <c:v>1756</c:v>
                </c:pt>
                <c:pt idx="352">
                  <c:v>1761</c:v>
                </c:pt>
                <c:pt idx="353">
                  <c:v>1766</c:v>
                </c:pt>
                <c:pt idx="354">
                  <c:v>1771</c:v>
                </c:pt>
                <c:pt idx="355">
                  <c:v>1776</c:v>
                </c:pt>
                <c:pt idx="356">
                  <c:v>1781</c:v>
                </c:pt>
                <c:pt idx="357">
                  <c:v>1786</c:v>
                </c:pt>
                <c:pt idx="358">
                  <c:v>1791</c:v>
                </c:pt>
                <c:pt idx="359">
                  <c:v>1796</c:v>
                </c:pt>
                <c:pt idx="360">
                  <c:v>1801</c:v>
                </c:pt>
                <c:pt idx="361">
                  <c:v>1806</c:v>
                </c:pt>
                <c:pt idx="362">
                  <c:v>1811</c:v>
                </c:pt>
                <c:pt idx="363">
                  <c:v>1816</c:v>
                </c:pt>
                <c:pt idx="364">
                  <c:v>1821</c:v>
                </c:pt>
                <c:pt idx="365">
                  <c:v>1826</c:v>
                </c:pt>
                <c:pt idx="366">
                  <c:v>1831</c:v>
                </c:pt>
                <c:pt idx="367">
                  <c:v>1836</c:v>
                </c:pt>
                <c:pt idx="368">
                  <c:v>1841</c:v>
                </c:pt>
                <c:pt idx="369">
                  <c:v>1846</c:v>
                </c:pt>
                <c:pt idx="370">
                  <c:v>1851</c:v>
                </c:pt>
                <c:pt idx="371">
                  <c:v>1856</c:v>
                </c:pt>
                <c:pt idx="372">
                  <c:v>1861</c:v>
                </c:pt>
                <c:pt idx="373">
                  <c:v>1866</c:v>
                </c:pt>
                <c:pt idx="374">
                  <c:v>1871</c:v>
                </c:pt>
                <c:pt idx="375">
                  <c:v>1876</c:v>
                </c:pt>
                <c:pt idx="376">
                  <c:v>1881</c:v>
                </c:pt>
                <c:pt idx="377">
                  <c:v>1886</c:v>
                </c:pt>
                <c:pt idx="378">
                  <c:v>1891</c:v>
                </c:pt>
                <c:pt idx="379">
                  <c:v>1896</c:v>
                </c:pt>
                <c:pt idx="380">
                  <c:v>1901</c:v>
                </c:pt>
                <c:pt idx="381">
                  <c:v>1906</c:v>
                </c:pt>
                <c:pt idx="382">
                  <c:v>1911</c:v>
                </c:pt>
                <c:pt idx="383">
                  <c:v>1916</c:v>
                </c:pt>
                <c:pt idx="384">
                  <c:v>1921</c:v>
                </c:pt>
                <c:pt idx="385">
                  <c:v>1926</c:v>
                </c:pt>
                <c:pt idx="386">
                  <c:v>1931</c:v>
                </c:pt>
                <c:pt idx="387">
                  <c:v>1936</c:v>
                </c:pt>
                <c:pt idx="388">
                  <c:v>1941</c:v>
                </c:pt>
                <c:pt idx="389">
                  <c:v>1946</c:v>
                </c:pt>
                <c:pt idx="390">
                  <c:v>1951</c:v>
                </c:pt>
                <c:pt idx="391">
                  <c:v>1956</c:v>
                </c:pt>
                <c:pt idx="392">
                  <c:v>1961</c:v>
                </c:pt>
                <c:pt idx="393">
                  <c:v>1966</c:v>
                </c:pt>
              </c:numCache>
            </c:numRef>
          </c:xVal>
          <c:yVal>
            <c:numRef>
              <c:f>'Energy Efficiency Calibrati (2)'!$AZ$4:$AZ$397</c:f>
              <c:numCache>
                <c:formatCode>General</c:formatCode>
                <c:ptCount val="394"/>
                <c:pt idx="0">
                  <c:v>-5993.3</c:v>
                </c:pt>
                <c:pt idx="1">
                  <c:v>-22.104411168831582</c:v>
                </c:pt>
                <c:pt idx="2">
                  <c:v>-2.9376864411574974</c:v>
                </c:pt>
                <c:pt idx="3">
                  <c:v>-0.69139396961210875</c:v>
                </c:pt>
                <c:pt idx="4">
                  <c:v>-0.15878020661664816</c:v>
                </c:pt>
                <c:pt idx="5">
                  <c:v>1.1239442404983646E-2</c:v>
                </c:pt>
                <c:pt idx="6">
                  <c:v>7.3262665765805868E-2</c:v>
                </c:pt>
                <c:pt idx="7">
                  <c:v>9.6241368470733085E-2</c:v>
                </c:pt>
                <c:pt idx="8">
                  <c:v>0.10336348886884714</c:v>
                </c:pt>
                <c:pt idx="9">
                  <c:v>0.10361805270905231</c:v>
                </c:pt>
                <c:pt idx="10">
                  <c:v>0.10084557869699719</c:v>
                </c:pt>
                <c:pt idx="11">
                  <c:v>9.6799056224919702E-2</c:v>
                </c:pt>
                <c:pt idx="12">
                  <c:v>9.2312246450248034E-2</c:v>
                </c:pt>
                <c:pt idx="13">
                  <c:v>8.7788486029268087E-2</c:v>
                </c:pt>
                <c:pt idx="14">
                  <c:v>8.3420325079328325E-2</c:v>
                </c:pt>
                <c:pt idx="15">
                  <c:v>7.9293907657887491E-2</c:v>
                </c:pt>
                <c:pt idx="16">
                  <c:v>7.5440803231471565E-2</c:v>
                </c:pt>
                <c:pt idx="17">
                  <c:v>7.1864624329171484E-2</c:v>
                </c:pt>
                <c:pt idx="18">
                  <c:v>6.8555031219995455E-2</c:v>
                </c:pt>
                <c:pt idx="19">
                  <c:v>6.5495210078838045E-2</c:v>
                </c:pt>
                <c:pt idx="20">
                  <c:v>6.2665882106514623E-2</c:v>
                </c:pt>
                <c:pt idx="21">
                  <c:v>6.0047430854877001E-2</c:v>
                </c:pt>
                <c:pt idx="22">
                  <c:v>5.7620994644269612E-2</c:v>
                </c:pt>
                <c:pt idx="23">
                  <c:v>5.5368986167230169E-2</c:v>
                </c:pt>
                <c:pt idx="24">
                  <c:v>5.3275295897740431E-2</c:v>
                </c:pt>
                <c:pt idx="25">
                  <c:v>5.132532365265037E-2</c:v>
                </c:pt>
                <c:pt idx="26">
                  <c:v>4.9505920113881448E-2</c:v>
                </c:pt>
                <c:pt idx="27">
                  <c:v>4.7805284736863858E-2</c:v>
                </c:pt>
                <c:pt idx="28">
                  <c:v>4.6212846210573241E-2</c:v>
                </c:pt>
                <c:pt idx="29">
                  <c:v>4.471913994025245E-2</c:v>
                </c:pt>
                <c:pt idx="30">
                  <c:v>4.3315690250072182E-2</c:v>
                </c:pt>
                <c:pt idx="31">
                  <c:v>4.1994901087448196E-2</c:v>
                </c:pt>
                <c:pt idx="32">
                  <c:v>4.0749956769217645E-2</c:v>
                </c:pt>
                <c:pt idx="33">
                  <c:v>3.9574733053488777E-2</c:v>
                </c:pt>
                <c:pt idx="34">
                  <c:v>3.8463718144745113E-2</c:v>
                </c:pt>
                <c:pt idx="35">
                  <c:v>3.7411942903692638E-2</c:v>
                </c:pt>
                <c:pt idx="36">
                  <c:v>3.6414919394356426E-2</c:v>
                </c:pt>
                <c:pt idx="37">
                  <c:v>3.5468586873612165E-2</c:v>
                </c:pt>
                <c:pt idx="38">
                  <c:v>3.4569264361699117E-2</c:v>
                </c:pt>
                <c:pt idx="39">
                  <c:v>3.371360899607382E-2</c:v>
                </c:pt>
                <c:pt idx="40">
                  <c:v>3.289857944753919E-2</c:v>
                </c:pt>
                <c:pt idx="41">
                  <c:v>3.2121403756811412E-2</c:v>
                </c:pt>
                <c:pt idx="42">
                  <c:v>3.1379551026029448E-2</c:v>
                </c:pt>
                <c:pt idx="43">
                  <c:v>3.0670706470367116E-2</c:v>
                </c:pt>
                <c:pt idx="44">
                  <c:v>2.9992749398685955E-2</c:v>
                </c:pt>
                <c:pt idx="45">
                  <c:v>2.9343733748810202E-2</c:v>
                </c:pt>
                <c:pt idx="46">
                  <c:v>2.8721870852764925E-2</c:v>
                </c:pt>
                <c:pt idx="47">
                  <c:v>2.8125514150709709E-2</c:v>
                </c:pt>
                <c:pt idx="48">
                  <c:v>2.7553145609948853E-2</c:v>
                </c:pt>
                <c:pt idx="49">
                  <c:v>2.7003363637956995E-2</c:v>
                </c:pt>
                <c:pt idx="50">
                  <c:v>2.6474872306455115E-2</c:v>
                </c:pt>
                <c:pt idx="51">
                  <c:v>2.596647172778898E-2</c:v>
                </c:pt>
                <c:pt idx="52">
                  <c:v>2.5477049445724126E-2</c:v>
                </c:pt>
                <c:pt idx="53">
                  <c:v>2.5005572720743479E-2</c:v>
                </c:pt>
                <c:pt idx="54">
                  <c:v>2.455108160542133E-2</c:v>
                </c:pt>
                <c:pt idx="55">
                  <c:v>2.4112682718803138E-2</c:v>
                </c:pt>
                <c:pt idx="56">
                  <c:v>2.3689543640248632E-2</c:v>
                </c:pt>
                <c:pt idx="57">
                  <c:v>2.3280887853155945E-2</c:v>
                </c:pt>
                <c:pt idx="58">
                  <c:v>2.2885990177601852E-2</c:v>
                </c:pt>
                <c:pt idx="59">
                  <c:v>2.2504172638397307E-2</c:v>
                </c:pt>
                <c:pt idx="60">
                  <c:v>2.2134800721532524E-2</c:v>
                </c:pt>
                <c:pt idx="61">
                  <c:v>2.1777279977610763E-2</c:v>
                </c:pt>
                <c:pt idx="62">
                  <c:v>2.1431052935763549E-2</c:v>
                </c:pt>
                <c:pt idx="63">
                  <c:v>2.1095596295804198E-2</c:v>
                </c:pt>
                <c:pt idx="64">
                  <c:v>2.0770418370097379E-2</c:v>
                </c:pt>
                <c:pt idx="65">
                  <c:v>2.0455056749875026E-2</c:v>
                </c:pt>
                <c:pt idx="66">
                  <c:v>2.0149076173575683E-2</c:v>
                </c:pt>
                <c:pt idx="67">
                  <c:v>1.9852066577280517E-2</c:v>
                </c:pt>
                <c:pt idx="68">
                  <c:v>1.9563641309511059E-2</c:v>
                </c:pt>
                <c:pt idx="69">
                  <c:v>1.9283435494581048E-2</c:v>
                </c:pt>
                <c:pt idx="70">
                  <c:v>1.9011104530392592E-2</c:v>
                </c:pt>
                <c:pt idx="71">
                  <c:v>1.8746322708064169E-2</c:v>
                </c:pt>
                <c:pt idx="72">
                  <c:v>1.8488781942100945E-2</c:v>
                </c:pt>
                <c:pt idx="73">
                  <c:v>1.8238190600987997E-2</c:v>
                </c:pt>
                <c:pt idx="74">
                  <c:v>1.7994272429124079E-2</c:v>
                </c:pt>
                <c:pt idx="75">
                  <c:v>1.775676555193309E-2</c:v>
                </c:pt>
                <c:pt idx="76">
                  <c:v>1.7525421556807915E-2</c:v>
                </c:pt>
                <c:pt idx="77">
                  <c:v>1.7300004643268196E-2</c:v>
                </c:pt>
                <c:pt idx="78">
                  <c:v>1.7080290836361312E-2</c:v>
                </c:pt>
                <c:pt idx="79">
                  <c:v>1.6866067257913665E-2</c:v>
                </c:pt>
                <c:pt idx="80">
                  <c:v>1.6657131450755348E-2</c:v>
                </c:pt>
                <c:pt idx="81">
                  <c:v>1.64532907515029E-2</c:v>
                </c:pt>
                <c:pt idx="82">
                  <c:v>1.6254361707897971E-2</c:v>
                </c:pt>
                <c:pt idx="83">
                  <c:v>1.6060169537070509E-2</c:v>
                </c:pt>
                <c:pt idx="84">
                  <c:v>1.5870547621427381E-2</c:v>
                </c:pt>
                <c:pt idx="85">
                  <c:v>1.5685337039166587E-2</c:v>
                </c:pt>
                <c:pt idx="86">
                  <c:v>1.5504386126685881E-2</c:v>
                </c:pt>
                <c:pt idx="87">
                  <c:v>1.5327550070397083E-2</c:v>
                </c:pt>
                <c:pt idx="88">
                  <c:v>1.5154690525675829E-2</c:v>
                </c:pt>
                <c:pt idx="89">
                  <c:v>1.4985675260873681E-2</c:v>
                </c:pt>
                <c:pt idx="90">
                  <c:v>1.4820377824497806E-2</c:v>
                </c:pt>
                <c:pt idx="91">
                  <c:v>1.4658677233824809E-2</c:v>
                </c:pt>
                <c:pt idx="92">
                  <c:v>1.4500457683361221E-2</c:v>
                </c:pt>
                <c:pt idx="93">
                  <c:v>1.4345608271695719E-2</c:v>
                </c:pt>
                <c:pt idx="94">
                  <c:v>1.4194022745408225E-2</c:v>
                </c:pt>
                <c:pt idx="95">
                  <c:v>1.4045599258810278E-2</c:v>
                </c:pt>
                <c:pt idx="96">
                  <c:v>1.3900240148390275E-2</c:v>
                </c:pt>
                <c:pt idx="97">
                  <c:v>1.3757851720927599E-2</c:v>
                </c:pt>
                <c:pt idx="98">
                  <c:v>1.361834405432188E-2</c:v>
                </c:pt>
                <c:pt idx="99">
                  <c:v>1.3481630810258736E-2</c:v>
                </c:pt>
                <c:pt idx="100">
                  <c:v>1.3347629057901831E-2</c:v>
                </c:pt>
                <c:pt idx="101">
                  <c:v>1.3216259107863603E-2</c:v>
                </c:pt>
                <c:pt idx="102">
                  <c:v>1.3087444355764311E-2</c:v>
                </c:pt>
                <c:pt idx="103">
                  <c:v>1.2961111134741247E-2</c:v>
                </c:pt>
                <c:pt idx="104">
                  <c:v>1.2837188576318052E-2</c:v>
                </c:pt>
                <c:pt idx="105">
                  <c:v>1.2715608479087861E-2</c:v>
                </c:pt>
                <c:pt idx="106">
                  <c:v>1.2596305184704398E-2</c:v>
                </c:pt>
                <c:pt idx="107">
                  <c:v>1.247921546071208E-2</c:v>
                </c:pt>
                <c:pt idx="108">
                  <c:v>1.236427838978019E-2</c:v>
                </c:pt>
                <c:pt idx="109">
                  <c:v>1.2251435264937442E-2</c:v>
                </c:pt>
                <c:pt idx="110">
                  <c:v>1.2140629490431973E-2</c:v>
                </c:pt>
                <c:pt idx="111">
                  <c:v>1.2031806487868304E-2</c:v>
                </c:pt>
                <c:pt idx="112">
                  <c:v>1.1924913607297208E-2</c:v>
                </c:pt>
                <c:pt idx="113">
                  <c:v>1.1819900042956882E-2</c:v>
                </c:pt>
                <c:pt idx="114">
                  <c:v>1.1716716753384621E-2</c:v>
                </c:pt>
                <c:pt idx="115">
                  <c:v>1.1615316385637311E-2</c:v>
                </c:pt>
                <c:pt idx="116">
                  <c:v>1.1515653203376847E-2</c:v>
                </c:pt>
                <c:pt idx="117">
                  <c:v>1.1417683018592858E-2</c:v>
                </c:pt>
                <c:pt idx="118">
                  <c:v>1.1321363126750346E-2</c:v>
                </c:pt>
                <c:pt idx="119">
                  <c:v>1.1226652245163881E-2</c:v>
                </c:pt>
                <c:pt idx="120">
                  <c:v>1.1133510454412923E-2</c:v>
                </c:pt>
                <c:pt idx="121">
                  <c:v>1.1041899142624986E-2</c:v>
                </c:pt>
                <c:pt idx="122">
                  <c:v>1.0951780952464428E-2</c:v>
                </c:pt>
                <c:pt idx="123">
                  <c:v>1.0863119730675157E-2</c:v>
                </c:pt>
                <c:pt idx="124">
                  <c:v>1.0775880480035048E-2</c:v>
                </c:pt>
                <c:pt idx="125">
                  <c:v>1.0690029313588912E-2</c:v>
                </c:pt>
                <c:pt idx="126">
                  <c:v>1.0605533411035125E-2</c:v>
                </c:pt>
                <c:pt idx="127">
                  <c:v>1.0522360977148836E-2</c:v>
                </c:pt>
                <c:pt idx="128">
                  <c:v>1.0440481202131801E-2</c:v>
                </c:pt>
                <c:pt idx="129">
                  <c:v>1.0359864223785683E-2</c:v>
                </c:pt>
                <c:pt idx="130">
                  <c:v>1.0280481091411862E-2</c:v>
                </c:pt>
                <c:pt idx="131">
                  <c:v>1.0202303731346656E-2</c:v>
                </c:pt>
                <c:pt idx="132">
                  <c:v>1.0125304914046316E-2</c:v>
                </c:pt>
                <c:pt idx="133">
                  <c:v>1.0049458222641187E-2</c:v>
                </c:pt>
                <c:pt idx="134">
                  <c:v>9.974738022883246E-3</c:v>
                </c:pt>
                <c:pt idx="135">
                  <c:v>9.9011194344155729E-3</c:v>
                </c:pt>
                <c:pt idx="136">
                  <c:v>9.8285783032965538E-3</c:v>
                </c:pt>
                <c:pt idx="137">
                  <c:v>9.7570911757153805E-3</c:v>
                </c:pt>
                <c:pt idx="138">
                  <c:v>9.6866352728391652E-3</c:v>
                </c:pt>
                <c:pt idx="139">
                  <c:v>9.6171884667352586E-3</c:v>
                </c:pt>
                <c:pt idx="140">
                  <c:v>9.548729257315626E-3</c:v>
                </c:pt>
                <c:pt idx="141">
                  <c:v>9.4812367502530928E-3</c:v>
                </c:pt>
                <c:pt idx="142">
                  <c:v>9.4146906358220407E-3</c:v>
                </c:pt>
                <c:pt idx="143">
                  <c:v>9.3490711686187861E-3</c:v>
                </c:pt>
                <c:pt idx="144">
                  <c:v>9.2843591481193231E-3</c:v>
                </c:pt>
                <c:pt idx="145">
                  <c:v>9.2205359000344187E-3</c:v>
                </c:pt>
                <c:pt idx="146">
                  <c:v>9.1575832584242043E-3</c:v>
                </c:pt>
                <c:pt idx="147">
                  <c:v>9.0954835485364573E-3</c:v>
                </c:pt>
                <c:pt idx="148">
                  <c:v>9.0342195703347044E-3</c:v>
                </c:pt>
                <c:pt idx="149">
                  <c:v>8.9737745826839951E-3</c:v>
                </c:pt>
                <c:pt idx="150">
                  <c:v>8.9141322881640273E-3</c:v>
                </c:pt>
                <c:pt idx="151">
                  <c:v>8.8552768184807194E-3</c:v>
                </c:pt>
                <c:pt idx="152">
                  <c:v>8.797192720449017E-3</c:v>
                </c:pt>
                <c:pt idx="153">
                  <c:v>8.7398649425209692E-3</c:v>
                </c:pt>
                <c:pt idx="154">
                  <c:v>8.6832788218345388E-3</c:v>
                </c:pt>
                <c:pt idx="155">
                  <c:v>8.6274200717598639E-3</c:v>
                </c:pt>
                <c:pt idx="156">
                  <c:v>8.5722747699207794E-3</c:v>
                </c:pt>
                <c:pt idx="157">
                  <c:v>8.5178293466706811E-3</c:v>
                </c:pt>
                <c:pt idx="158">
                  <c:v>8.4640705740026845E-3</c:v>
                </c:pt>
                <c:pt idx="159">
                  <c:v>8.4109855548751885E-3</c:v>
                </c:pt>
                <c:pt idx="160">
                  <c:v>8.3585617129347915E-3</c:v>
                </c:pt>
                <c:pt idx="161">
                  <c:v>8.3067867826194346E-3</c:v>
                </c:pt>
                <c:pt idx="162">
                  <c:v>8.2556487996254622E-3</c:v>
                </c:pt>
                <c:pt idx="163">
                  <c:v>8.2051360917231274E-3</c:v>
                </c:pt>
                <c:pt idx="164">
                  <c:v>8.1552372699057445E-3</c:v>
                </c:pt>
                <c:pt idx="165">
                  <c:v>8.1059412198584944E-3</c:v>
                </c:pt>
                <c:pt idx="166">
                  <c:v>8.0572370937334655E-3</c:v>
                </c:pt>
                <c:pt idx="167">
                  <c:v>8.0091143022182239E-3</c:v>
                </c:pt>
                <c:pt idx="168">
                  <c:v>7.9615625068857505E-3</c:v>
                </c:pt>
                <c:pt idx="169">
                  <c:v>7.9145716128141922E-3</c:v>
                </c:pt>
                <c:pt idx="170">
                  <c:v>7.8681317614654016E-3</c:v>
                </c:pt>
                <c:pt idx="171">
                  <c:v>7.8222333238117392E-3</c:v>
                </c:pt>
                <c:pt idx="172">
                  <c:v>7.7768668937011143E-3</c:v>
                </c:pt>
                <c:pt idx="173">
                  <c:v>7.7320232814506876E-3</c:v>
                </c:pt>
                <c:pt idx="174">
                  <c:v>7.6876935076601151E-3</c:v>
                </c:pt>
                <c:pt idx="175">
                  <c:v>7.643868797235589E-3</c:v>
                </c:pt>
                <c:pt idx="176">
                  <c:v>7.6005405736163838E-3</c:v>
                </c:pt>
                <c:pt idx="177">
                  <c:v>7.5577004531959119E-3</c:v>
                </c:pt>
                <c:pt idx="178">
                  <c:v>7.5153402399297338E-3</c:v>
                </c:pt>
                <c:pt idx="179">
                  <c:v>7.4734519201232275E-3</c:v>
                </c:pt>
                <c:pt idx="180">
                  <c:v>7.4320276573919914E-3</c:v>
                </c:pt>
                <c:pt idx="181">
                  <c:v>7.3910597877883503E-3</c:v>
                </c:pt>
                <c:pt idx="182">
                  <c:v>7.3505408150875981E-3</c:v>
                </c:pt>
                <c:pt idx="183">
                  <c:v>7.3104634062279199E-3</c:v>
                </c:pt>
                <c:pt idx="184">
                  <c:v>7.2708203868981922E-3</c:v>
                </c:pt>
                <c:pt idx="185">
                  <c:v>7.2316047372680712E-3</c:v>
                </c:pt>
                <c:pt idx="186">
                  <c:v>7.1928095878550846E-3</c:v>
                </c:pt>
                <c:pt idx="187">
                  <c:v>7.1544282155235998E-3</c:v>
                </c:pt>
                <c:pt idx="188">
                  <c:v>7.1164540396108011E-3</c:v>
                </c:pt>
                <c:pt idx="189">
                  <c:v>7.0788806181750086E-3</c:v>
                </c:pt>
                <c:pt idx="190">
                  <c:v>7.0417016443618374E-3</c:v>
                </c:pt>
                <c:pt idx="191">
                  <c:v>7.0049109428839173E-3</c:v>
                </c:pt>
                <c:pt idx="192">
                  <c:v>6.9685024666100619E-3</c:v>
                </c:pt>
                <c:pt idx="193">
                  <c:v>6.9324702932599212E-3</c:v>
                </c:pt>
                <c:pt idx="194">
                  <c:v>6.8968086222003589E-3</c:v>
                </c:pt>
                <c:pt idx="195">
                  <c:v>6.861511771339898E-3</c:v>
                </c:pt>
                <c:pt idx="196">
                  <c:v>6.8265741741177681E-3</c:v>
                </c:pt>
                <c:pt idx="197">
                  <c:v>6.7919903765842103E-3</c:v>
                </c:pt>
                <c:pt idx="198">
                  <c:v>6.7577550345688259E-3</c:v>
                </c:pt>
                <c:pt idx="199">
                  <c:v>6.7238629109338827E-3</c:v>
                </c:pt>
                <c:pt idx="200">
                  <c:v>6.6903088729096446E-3</c:v>
                </c:pt>
                <c:pt idx="201">
                  <c:v>6.6570878895088536E-3</c:v>
                </c:pt>
                <c:pt idx="202">
                  <c:v>6.6241950290176661E-3</c:v>
                </c:pt>
                <c:pt idx="203">
                  <c:v>6.5916254565603818E-3</c:v>
                </c:pt>
                <c:pt idx="204">
                  <c:v>6.5593744317354987E-3</c:v>
                </c:pt>
                <c:pt idx="205">
                  <c:v>6.5274373063206126E-3</c:v>
                </c:pt>
                <c:pt idx="206">
                  <c:v>6.4958095220438898E-3</c:v>
                </c:pt>
                <c:pt idx="207">
                  <c:v>6.4644866084198234E-3</c:v>
                </c:pt>
                <c:pt idx="208">
                  <c:v>6.4334641806471629E-3</c:v>
                </c:pt>
                <c:pt idx="209">
                  <c:v>6.4027379375669099E-3</c:v>
                </c:pt>
                <c:pt idx="210">
                  <c:v>6.3723036596784136E-3</c:v>
                </c:pt>
                <c:pt idx="211">
                  <c:v>6.3421572072116308E-3</c:v>
                </c:pt>
                <c:pt idx="212">
                  <c:v>6.3122945182537199E-3</c:v>
                </c:pt>
                <c:pt idx="213">
                  <c:v>6.2827116069281777E-3</c:v>
                </c:pt>
                <c:pt idx="214">
                  <c:v>6.2534045616248124E-3</c:v>
                </c:pt>
                <c:pt idx="215">
                  <c:v>6.224369543278911E-3</c:v>
                </c:pt>
                <c:pt idx="216">
                  <c:v>6.1956027836980133E-3</c:v>
                </c:pt>
                <c:pt idx="217">
                  <c:v>6.1671005839347573E-3</c:v>
                </c:pt>
                <c:pt idx="218">
                  <c:v>6.1388593127043234E-3</c:v>
                </c:pt>
                <c:pt idx="219">
                  <c:v>6.1108754048450741E-3</c:v>
                </c:pt>
                <c:pt idx="220">
                  <c:v>6.0831453598209967E-3</c:v>
                </c:pt>
                <c:pt idx="221">
                  <c:v>6.0556657402646465E-3</c:v>
                </c:pt>
                <c:pt idx="222">
                  <c:v>6.0284331705593259E-3</c:v>
                </c:pt>
                <c:pt idx="223">
                  <c:v>6.0014443354592436E-3</c:v>
                </c:pt>
                <c:pt idx="224">
                  <c:v>5.9746959787465121E-3</c:v>
                </c:pt>
                <c:pt idx="225">
                  <c:v>5.9481849019238078E-3</c:v>
                </c:pt>
                <c:pt idx="226">
                  <c:v>5.9219079629416133E-3</c:v>
                </c:pt>
                <c:pt idx="227">
                  <c:v>5.8958620749589713E-3</c:v>
                </c:pt>
                <c:pt idx="228">
                  <c:v>5.8700442051367362E-3</c:v>
                </c:pt>
                <c:pt idx="229">
                  <c:v>5.8444513734623189E-3</c:v>
                </c:pt>
                <c:pt idx="230">
                  <c:v>5.81908065160498E-3</c:v>
                </c:pt>
                <c:pt idx="231">
                  <c:v>5.7939291618007488E-3</c:v>
                </c:pt>
                <c:pt idx="232">
                  <c:v>5.7689940757660778E-3</c:v>
                </c:pt>
                <c:pt idx="233">
                  <c:v>5.7442726136393693E-3</c:v>
                </c:pt>
                <c:pt idx="234">
                  <c:v>5.7197620429495482E-3</c:v>
                </c:pt>
                <c:pt idx="235">
                  <c:v>5.6954596776108719E-3</c:v>
                </c:pt>
                <c:pt idx="236">
                  <c:v>5.6713628769432126E-3</c:v>
                </c:pt>
                <c:pt idx="237">
                  <c:v>5.6474690447170543E-3</c:v>
                </c:pt>
                <c:pt idx="238">
                  <c:v>5.6237756282224785E-3</c:v>
                </c:pt>
                <c:pt idx="239">
                  <c:v>5.6002801173614513E-3</c:v>
                </c:pt>
                <c:pt idx="240">
                  <c:v>5.5769800437627188E-3</c:v>
                </c:pt>
                <c:pt idx="241">
                  <c:v>5.553872979918671E-3</c:v>
                </c:pt>
                <c:pt idx="242">
                  <c:v>5.5309565383435226E-3</c:v>
                </c:pt>
                <c:pt idx="243">
                  <c:v>5.508228370752228E-3</c:v>
                </c:pt>
                <c:pt idx="244">
                  <c:v>5.4856861672595075E-3</c:v>
                </c:pt>
                <c:pt idx="245">
                  <c:v>5.4633276555984284E-3</c:v>
                </c:pt>
                <c:pt idx="246">
                  <c:v>5.4411506003579843E-3</c:v>
                </c:pt>
                <c:pt idx="247">
                  <c:v>5.4191528022391362E-3</c:v>
                </c:pt>
                <c:pt idx="248">
                  <c:v>5.3973320973287955E-3</c:v>
                </c:pt>
                <c:pt idx="249">
                  <c:v>5.3756863563912396E-3</c:v>
                </c:pt>
                <c:pt idx="250">
                  <c:v>5.3542134841764923E-3</c:v>
                </c:pt>
                <c:pt idx="251">
                  <c:v>5.3329114187451714E-3</c:v>
                </c:pt>
                <c:pt idx="252">
                  <c:v>5.3117781308093743E-3</c:v>
                </c:pt>
                <c:pt idx="253">
                  <c:v>5.2908116230891379E-3</c:v>
                </c:pt>
                <c:pt idx="254">
                  <c:v>5.2700099296840563E-3</c:v>
                </c:pt>
                <c:pt idx="255">
                  <c:v>5.2493711154596428E-3</c:v>
                </c:pt>
                <c:pt idx="256">
                  <c:v>5.2288932754480264E-3</c:v>
                </c:pt>
                <c:pt idx="257">
                  <c:v>5.2085745342625965E-3</c:v>
                </c:pt>
                <c:pt idx="258">
                  <c:v>5.1884130455262306E-3</c:v>
                </c:pt>
                <c:pt idx="259">
                  <c:v>5.168406991312712E-3</c:v>
                </c:pt>
                <c:pt idx="260">
                  <c:v>5.1485545816010161E-3</c:v>
                </c:pt>
                <c:pt idx="261">
                  <c:v>5.1288540537420988E-3</c:v>
                </c:pt>
                <c:pt idx="262">
                  <c:v>5.1093036719378551E-3</c:v>
                </c:pt>
                <c:pt idx="263">
                  <c:v>5.089901726731942E-3</c:v>
                </c:pt>
                <c:pt idx="264">
                  <c:v>5.0706465345121306E-3</c:v>
                </c:pt>
                <c:pt idx="265">
                  <c:v>5.0515364370239029E-3</c:v>
                </c:pt>
                <c:pt idx="266">
                  <c:v>5.0325698008949794E-3</c:v>
                </c:pt>
                <c:pt idx="267">
                  <c:v>5.0137450171705089E-3</c:v>
                </c:pt>
                <c:pt idx="268">
                  <c:v>4.9950605008586375E-3</c:v>
                </c:pt>
                <c:pt idx="269">
                  <c:v>4.976514690486173E-3</c:v>
                </c:pt>
                <c:pt idx="270">
                  <c:v>4.958106047664116E-3</c:v>
                </c:pt>
                <c:pt idx="271">
                  <c:v>4.9398330566627659E-3</c:v>
                </c:pt>
                <c:pt idx="272">
                  <c:v>4.9216942239961852E-3</c:v>
                </c:pt>
                <c:pt idx="273">
                  <c:v>4.9036880780157699E-3</c:v>
                </c:pt>
                <c:pt idx="274">
                  <c:v>4.8858131685126892E-3</c:v>
                </c:pt>
                <c:pt idx="275">
                  <c:v>4.8680680663289949E-3</c:v>
                </c:pt>
                <c:pt idx="276">
                  <c:v>4.850451362977134E-3</c:v>
                </c:pt>
                <c:pt idx="277">
                  <c:v>4.8329616702677105E-3</c:v>
                </c:pt>
                <c:pt idx="278">
                  <c:v>4.8155976199452423E-3</c:v>
                </c:pt>
                <c:pt idx="279">
                  <c:v>4.7983578633317347E-3</c:v>
                </c:pt>
                <c:pt idx="280">
                  <c:v>4.7812410709778775E-3</c:v>
                </c:pt>
                <c:pt idx="281">
                  <c:v>4.7642459323216663E-3</c:v>
                </c:pt>
                <c:pt idx="282">
                  <c:v>4.7473711553542679E-3</c:v>
                </c:pt>
                <c:pt idx="283">
                  <c:v>4.7306154662929544E-3</c:v>
                </c:pt>
                <c:pt idx="284">
                  <c:v>4.7139776092609302E-3</c:v>
                </c:pt>
                <c:pt idx="285">
                  <c:v>4.6974563459738841E-3</c:v>
                </c:pt>
                <c:pt idx="286">
                  <c:v>4.6810504554330949E-3</c:v>
                </c:pt>
                <c:pt idx="287">
                  <c:v>4.6647587336249427E-3</c:v>
                </c:pt>
                <c:pt idx="288">
                  <c:v>4.6485799932266657E-3</c:v>
                </c:pt>
                <c:pt idx="289">
                  <c:v>4.6325130633182079E-3</c:v>
                </c:pt>
                <c:pt idx="290">
                  <c:v>4.6165567891000153E-3</c:v>
                </c:pt>
                <c:pt idx="291">
                  <c:v>4.600710031616639E-3</c:v>
                </c:pt>
                <c:pt idx="292">
                  <c:v>4.5849716674859981E-3</c:v>
                </c:pt>
                <c:pt idx="293">
                  <c:v>4.5693405886341847E-3</c:v>
                </c:pt>
                <c:pt idx="294">
                  <c:v>4.5538157020356554E-3</c:v>
                </c:pt>
                <c:pt idx="295">
                  <c:v>4.5383959294587051E-3</c:v>
                </c:pt>
                <c:pt idx="296">
                  <c:v>4.5230802072160816E-3</c:v>
                </c:pt>
                <c:pt idx="297">
                  <c:v>4.5078674859206323E-3</c:v>
                </c:pt>
                <c:pt idx="298">
                  <c:v>4.4927567302458522E-3</c:v>
                </c:pt>
                <c:pt idx="299">
                  <c:v>4.4777469186912337E-3</c:v>
                </c:pt>
                <c:pt idx="300">
                  <c:v>4.4628370433522947E-3</c:v>
                </c:pt>
                <c:pt idx="301">
                  <c:v>4.4480261096951808E-3</c:v>
                </c:pt>
                <c:pt idx="302">
                  <c:v>4.4333131363357373E-3</c:v>
                </c:pt>
                <c:pt idx="303">
                  <c:v>4.4186971548229419E-3</c:v>
                </c:pt>
                <c:pt idx="304">
                  <c:v>4.4041772094266093E-3</c:v>
                </c:pt>
                <c:pt idx="305">
                  <c:v>4.3897523569292607E-3</c:v>
                </c:pt>
                <c:pt idx="306">
                  <c:v>4.3754216664220556E-3</c:v>
                </c:pt>
                <c:pt idx="307">
                  <c:v>4.3611842191047202E-3</c:v>
                </c:pt>
                <c:pt idx="308">
                  <c:v>4.3470391080893548E-3</c:v>
                </c:pt>
                <c:pt idx="309">
                  <c:v>4.3329854382080403E-3</c:v>
                </c:pt>
                <c:pt idx="310">
                  <c:v>4.3190223258241667E-3</c:v>
                </c:pt>
                <c:pt idx="311">
                  <c:v>4.3051488986473926E-3</c:v>
                </c:pt>
                <c:pt idx="312">
                  <c:v>4.2913642955521528E-3</c:v>
                </c:pt>
                <c:pt idx="313">
                  <c:v>4.2776676663996418E-3</c:v>
                </c:pt>
                <c:pt idx="314">
                  <c:v>4.2640581718631863E-3</c:v>
                </c:pt>
                <c:pt idx="315">
                  <c:v>4.2505349832569405E-3</c:v>
                </c:pt>
                <c:pt idx="316">
                  <c:v>4.2370972823678327E-3</c:v>
                </c:pt>
                <c:pt idx="317">
                  <c:v>4.2237442612906729E-3</c:v>
                </c:pt>
                <c:pt idx="318">
                  <c:v>4.2104751222663784E-3</c:v>
                </c:pt>
                <c:pt idx="319">
                  <c:v>4.1972890775232299E-3</c:v>
                </c:pt>
                <c:pt idx="320">
                  <c:v>4.1841853491210931E-3</c:v>
                </c:pt>
                <c:pt idx="321">
                  <c:v>4.1711631687985631E-3</c:v>
                </c:pt>
                <c:pt idx="322">
                  <c:v>4.1582217778229269E-3</c:v>
                </c:pt>
                <c:pt idx="323">
                  <c:v>4.1453604268429324E-3</c:v>
                </c:pt>
                <c:pt idx="324">
                  <c:v>4.1325783757442591E-3</c:v>
                </c:pt>
                <c:pt idx="325">
                  <c:v>4.1198748935076628E-3</c:v>
                </c:pt>
                <c:pt idx="326">
                  <c:v>4.107249258069723E-3</c:v>
                </c:pt>
                <c:pt idx="327">
                  <c:v>4.0947007561861395E-3</c:v>
                </c:pt>
                <c:pt idx="328">
                  <c:v>4.0822286832975256E-3</c:v>
                </c:pt>
                <c:pt idx="329">
                  <c:v>4.0698323433976426E-3</c:v>
                </c:pt>
                <c:pt idx="330">
                  <c:v>4.0575110489040316E-3</c:v>
                </c:pt>
                <c:pt idx="331">
                  <c:v>4.0452641205309774E-3</c:v>
                </c:pt>
                <c:pt idx="332">
                  <c:v>4.0330908871647675E-3</c:v>
                </c:pt>
                <c:pt idx="333">
                  <c:v>4.0209906857411985E-3</c:v>
                </c:pt>
                <c:pt idx="334">
                  <c:v>4.0089628611252714E-3</c:v>
                </c:pt>
                <c:pt idx="335">
                  <c:v>3.997006765993045E-3</c:v>
                </c:pt>
                <c:pt idx="336">
                  <c:v>3.9851217607155855E-3</c:v>
                </c:pt>
                <c:pt idx="337">
                  <c:v>3.9733072132449943E-3</c:v>
                </c:pt>
                <c:pt idx="338">
                  <c:v>3.9615624990024358E-3</c:v>
                </c:pt>
                <c:pt idx="339">
                  <c:v>3.9498870007681581E-3</c:v>
                </c:pt>
                <c:pt idx="340">
                  <c:v>3.938280108573446E-3</c:v>
                </c:pt>
                <c:pt idx="341">
                  <c:v>3.926741219594472E-3</c:v>
                </c:pt>
                <c:pt idx="342">
                  <c:v>3.9152697380480019E-3</c:v>
                </c:pt>
                <c:pt idx="343">
                  <c:v>3.9038650750889315E-3</c:v>
                </c:pt>
                <c:pt idx="344">
                  <c:v>3.8925266487095981E-3</c:v>
                </c:pt>
                <c:pt idx="345">
                  <c:v>3.8812538836408431E-3</c:v>
                </c:pt>
                <c:pt idx="346">
                  <c:v>3.8700462112547887E-3</c:v>
                </c:pt>
                <c:pt idx="347">
                  <c:v>3.8589030694692918E-3</c:v>
                </c:pt>
                <c:pt idx="348">
                  <c:v>3.8478239026540411E-3</c:v>
                </c:pt>
                <c:pt idx="349">
                  <c:v>3.8368081615382677E-3</c:v>
                </c:pt>
                <c:pt idx="350">
                  <c:v>3.8258553031200329E-3</c:v>
                </c:pt>
                <c:pt idx="351">
                  <c:v>3.8149647905770675E-3</c:v>
                </c:pt>
                <c:pt idx="352">
                  <c:v>3.8041360931791238E-3</c:v>
                </c:pt>
                <c:pt idx="353">
                  <c:v>3.7933686862018194E-3</c:v>
                </c:pt>
                <c:pt idx="354">
                  <c:v>3.7826620508419348E-3</c:v>
                </c:pt>
                <c:pt idx="355">
                  <c:v>3.7720156741341427E-3</c:v>
                </c:pt>
                <c:pt idx="356">
                  <c:v>3.7614290488691376E-3</c:v>
                </c:pt>
                <c:pt idx="357">
                  <c:v>3.7509016735131386E-3</c:v>
                </c:pt>
                <c:pt idx="358">
                  <c:v>3.7404330521287415E-3</c:v>
                </c:pt>
                <c:pt idx="359">
                  <c:v>3.7300226942970872E-3</c:v>
                </c:pt>
                <c:pt idx="360">
                  <c:v>3.7196701150413298E-3</c:v>
                </c:pt>
                <c:pt idx="361">
                  <c:v>3.7093748347513701E-3</c:v>
                </c:pt>
                <c:pt idx="362">
                  <c:v>3.6991363791098399E-3</c:v>
                </c:pt>
                <c:pt idx="363">
                  <c:v>3.688954279019302E-3</c:v>
                </c:pt>
                <c:pt idx="364">
                  <c:v>3.6788280705306524E-3</c:v>
                </c:pt>
                <c:pt idx="365">
                  <c:v>3.6687572947726971E-3</c:v>
                </c:pt>
                <c:pt idx="366">
                  <c:v>3.6587414978828791E-3</c:v>
                </c:pt>
                <c:pt idx="367">
                  <c:v>3.6487802309391375E-3</c:v>
                </c:pt>
                <c:pt idx="368">
                  <c:v>3.6388730498928784E-3</c:v>
                </c:pt>
                <c:pt idx="369">
                  <c:v>3.6290195155030285E-3</c:v>
                </c:pt>
                <c:pt idx="370">
                  <c:v>3.6192191932711629E-3</c:v>
                </c:pt>
                <c:pt idx="371">
                  <c:v>3.609471653377674E-3</c:v>
                </c:pt>
                <c:pt idx="372">
                  <c:v>3.5997764706189733E-3</c:v>
                </c:pt>
                <c:pt idx="373">
                  <c:v>3.5901332243456993E-3</c:v>
                </c:pt>
                <c:pt idx="374">
                  <c:v>3.5805414984019165E-3</c:v>
                </c:pt>
                <c:pt idx="375">
                  <c:v>3.5710008810652841E-3</c:v>
                </c:pt>
                <c:pt idx="376">
                  <c:v>3.56151096498818E-3</c:v>
                </c:pt>
                <c:pt idx="377">
                  <c:v>3.5520713471397583E-3</c:v>
                </c:pt>
                <c:pt idx="378">
                  <c:v>3.5426816287489264E-3</c:v>
                </c:pt>
                <c:pt idx="379">
                  <c:v>3.5333414152482253E-3</c:v>
                </c:pt>
                <c:pt idx="380">
                  <c:v>3.524050316218589E-3</c:v>
                </c:pt>
                <c:pt idx="381">
                  <c:v>3.51480794533498E-3</c:v>
                </c:pt>
                <c:pt idx="382">
                  <c:v>3.5056139203128714E-3</c:v>
                </c:pt>
                <c:pt idx="383">
                  <c:v>3.4964678628555683E-3</c:v>
                </c:pt>
                <c:pt idx="384">
                  <c:v>3.4873693986023522E-3</c:v>
                </c:pt>
                <c:pt idx="385">
                  <c:v>3.4783181570774333E-3</c:v>
                </c:pt>
                <c:pt idx="386">
                  <c:v>3.4693137716396874E-3</c:v>
                </c:pt>
                <c:pt idx="387">
                  <c:v>3.4603558794331821E-3</c:v>
                </c:pt>
                <c:pt idx="388">
                  <c:v>3.4514441213384615E-3</c:v>
                </c:pt>
                <c:pt idx="389">
                  <c:v>3.4425781419245775E-3</c:v>
                </c:pt>
                <c:pt idx="390">
                  <c:v>3.4337575894018649E-3</c:v>
                </c:pt>
                <c:pt idx="391">
                  <c:v>3.4249821155754368E-3</c:v>
                </c:pt>
                <c:pt idx="392">
                  <c:v>3.4162513757993902E-3</c:v>
                </c:pt>
                <c:pt idx="393">
                  <c:v>3.4075650289317116E-3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51-4896-B723-142E3F8A9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553656"/>
        <c:axId val="434556608"/>
      </c:scatterChart>
      <c:valAx>
        <c:axId val="434553656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Channel</a:t>
                </a:r>
                <a:r>
                  <a:rPr lang="en-GB" baseline="0"/>
                  <a:t> no. (approx. Energy/keV)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56608"/>
        <c:crosses val="autoZero"/>
        <c:crossBetween val="midCat"/>
      </c:valAx>
      <c:valAx>
        <c:axId val="434556608"/>
        <c:scaling>
          <c:orientation val="minMax"/>
          <c:max val="0.1200000000000000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5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Residual</a:t>
            </a:r>
            <a:r>
              <a:rPr lang="en-GB" baseline="0"/>
              <a:t> plot of efficiency against energy (excluding Ba, Bi, low-energy Eu)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'Energy Efficiency Calibrati (2)'!$Z$12:$Z$28</c:f>
                <c:numCache>
                  <c:formatCode>General</c:formatCode>
                  <c:ptCount val="17"/>
                  <c:pt idx="0">
                    <c:v>6.8136770955571193E-4</c:v>
                  </c:pt>
                  <c:pt idx="1">
                    <c:v>6.0854811508070049E-4</c:v>
                  </c:pt>
                  <c:pt idx="2">
                    <c:v>9.4124811681421498E-4</c:v>
                  </c:pt>
                  <c:pt idx="3">
                    <c:v>2.4163115078028974E-3</c:v>
                  </c:pt>
                  <c:pt idx="4">
                    <c:v>1.2689407247030058E-3</c:v>
                  </c:pt>
                  <c:pt idx="5">
                    <c:v>1.0147997491996264E-3</c:v>
                  </c:pt>
                  <c:pt idx="6">
                    <c:v>1.2852007534111831E-3</c:v>
                  </c:pt>
                  <c:pt idx="7">
                    <c:v>8.0245366019697268E-4</c:v>
                  </c:pt>
                  <c:pt idx="8">
                    <c:v>7.8433164709087587E-4</c:v>
                  </c:pt>
                  <c:pt idx="9">
                    <c:v>4.4086979857495501E-4</c:v>
                  </c:pt>
                  <c:pt idx="10">
                    <c:v>3.5111143283408431E-4</c:v>
                  </c:pt>
                  <c:pt idx="11">
                    <c:v>3.4723489083552295E-4</c:v>
                  </c:pt>
                  <c:pt idx="12">
                    <c:v>3.6678340045643573E-4</c:v>
                  </c:pt>
                  <c:pt idx="13">
                    <c:v>3.1049719619652888E-4</c:v>
                  </c:pt>
                  <c:pt idx="14">
                    <c:v>2.4544467164126262E-4</c:v>
                  </c:pt>
                  <c:pt idx="15">
                    <c:v>1.3253560625545383E-3</c:v>
                  </c:pt>
                  <c:pt idx="16">
                    <c:v>6.0317333155785163E-4</c:v>
                  </c:pt>
                </c:numCache>
              </c:numRef>
            </c:plus>
            <c:minus>
              <c:numRef>
                <c:f>'Energy Efficiency Calibrati (2)'!$Z$12:$Z$28</c:f>
                <c:numCache>
                  <c:formatCode>General</c:formatCode>
                  <c:ptCount val="17"/>
                  <c:pt idx="0">
                    <c:v>6.8136770955571193E-4</c:v>
                  </c:pt>
                  <c:pt idx="1">
                    <c:v>6.0854811508070049E-4</c:v>
                  </c:pt>
                  <c:pt idx="2">
                    <c:v>9.4124811681421498E-4</c:v>
                  </c:pt>
                  <c:pt idx="3">
                    <c:v>2.4163115078028974E-3</c:v>
                  </c:pt>
                  <c:pt idx="4">
                    <c:v>1.2689407247030058E-3</c:v>
                  </c:pt>
                  <c:pt idx="5">
                    <c:v>1.0147997491996264E-3</c:v>
                  </c:pt>
                  <c:pt idx="6">
                    <c:v>1.2852007534111831E-3</c:v>
                  </c:pt>
                  <c:pt idx="7">
                    <c:v>8.0245366019697268E-4</c:v>
                  </c:pt>
                  <c:pt idx="8">
                    <c:v>7.8433164709087587E-4</c:v>
                  </c:pt>
                  <c:pt idx="9">
                    <c:v>4.4086979857495501E-4</c:v>
                  </c:pt>
                  <c:pt idx="10">
                    <c:v>3.5111143283408431E-4</c:v>
                  </c:pt>
                  <c:pt idx="11">
                    <c:v>3.4723489083552295E-4</c:v>
                  </c:pt>
                  <c:pt idx="12">
                    <c:v>3.6678340045643573E-4</c:v>
                  </c:pt>
                  <c:pt idx="13">
                    <c:v>3.1049719619652888E-4</c:v>
                  </c:pt>
                  <c:pt idx="14">
                    <c:v>2.4544467164126262E-4</c:v>
                  </c:pt>
                  <c:pt idx="15">
                    <c:v>1.3253560625545383E-3</c:v>
                  </c:pt>
                  <c:pt idx="16">
                    <c:v>6.0317333155785163E-4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'Energy Efficiency Calibrati (2)'!$K$12:$K$28</c:f>
              <c:numCache>
                <c:formatCode>General</c:formatCode>
                <c:ptCount val="17"/>
                <c:pt idx="0">
                  <c:v>1176.78899999999</c:v>
                </c:pt>
                <c:pt idx="1">
                  <c:v>1336.5129999999899</c:v>
                </c:pt>
                <c:pt idx="2" formatCode="0.000">
                  <c:v>662.74699999999905</c:v>
                </c:pt>
                <c:pt idx="3" formatCode="0.000">
                  <c:v>122.20699999999999</c:v>
                </c:pt>
                <c:pt idx="4" formatCode="0.000">
                  <c:v>245.390999999999</c:v>
                </c:pt>
                <c:pt idx="5" formatCode="0.000">
                  <c:v>345.094999999999</c:v>
                </c:pt>
                <c:pt idx="6" formatCode="0.000">
                  <c:v>368.29899999999998</c:v>
                </c:pt>
                <c:pt idx="7" formatCode="0.000">
                  <c:v>412.015999999999</c:v>
                </c:pt>
                <c:pt idx="8" formatCode="0.000">
                  <c:v>444.87299999999902</c:v>
                </c:pt>
                <c:pt idx="9" formatCode="0.000">
                  <c:v>780.077</c:v>
                </c:pt>
                <c:pt idx="10" formatCode="0.000">
                  <c:v>868.65099999999904</c:v>
                </c:pt>
                <c:pt idx="11" formatCode="0.000">
                  <c:v>965.35399999999902</c:v>
                </c:pt>
                <c:pt idx="12" formatCode="0.000">
                  <c:v>1087.3799999999901</c:v>
                </c:pt>
                <c:pt idx="13" formatCode="0.000">
                  <c:v>1113.48099999999</c:v>
                </c:pt>
                <c:pt idx="14" formatCode="0.000">
                  <c:v>1409.7179999999901</c:v>
                </c:pt>
                <c:pt idx="15" formatCode="0.000">
                  <c:v>511.86899999999901</c:v>
                </c:pt>
                <c:pt idx="16" formatCode="0.000">
                  <c:v>1276.02099999999</c:v>
                </c:pt>
              </c:numCache>
            </c:numRef>
          </c:xVal>
          <c:yVal>
            <c:numRef>
              <c:f>'Energy Efficiency Calibrati (2)'!$AW$12:$AW$28</c:f>
              <c:numCache>
                <c:formatCode>General</c:formatCode>
                <c:ptCount val="17"/>
                <c:pt idx="0">
                  <c:v>2.2551904461889051E-3</c:v>
                </c:pt>
                <c:pt idx="1">
                  <c:v>2.0853854820532987E-3</c:v>
                </c:pt>
                <c:pt idx="2">
                  <c:v>2.1857948616632733E-3</c:v>
                </c:pt>
                <c:pt idx="3">
                  <c:v>-8.5838902560415459E-3</c:v>
                </c:pt>
                <c:pt idx="4">
                  <c:v>-3.914184652935436E-3</c:v>
                </c:pt>
                <c:pt idx="5">
                  <c:v>-7.7235739450265753E-4</c:v>
                </c:pt>
                <c:pt idx="6">
                  <c:v>4.9357994502394267E-3</c:v>
                </c:pt>
                <c:pt idx="7">
                  <c:v>-1.6648762800357611E-3</c:v>
                </c:pt>
                <c:pt idx="8">
                  <c:v>-8.5093663743176715E-4</c:v>
                </c:pt>
                <c:pt idx="9">
                  <c:v>-5.4066772863394126E-4</c:v>
                </c:pt>
                <c:pt idx="10">
                  <c:v>-1.3712263348307444E-3</c:v>
                </c:pt>
                <c:pt idx="11">
                  <c:v>-6.0348892850171573E-4</c:v>
                </c:pt>
                <c:pt idx="12">
                  <c:v>4.9721673138525269E-4</c:v>
                </c:pt>
                <c:pt idx="13">
                  <c:v>-3.5926836546407506E-4</c:v>
                </c:pt>
                <c:pt idx="14">
                  <c:v>-2.7468130091040481E-4</c:v>
                </c:pt>
                <c:pt idx="15">
                  <c:v>-4.0286509330365178E-3</c:v>
                </c:pt>
                <c:pt idx="16">
                  <c:v>-1.1402587671447261E-3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EA-4808-B3E4-55D8C2608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749896"/>
        <c:axId val="422746944"/>
      </c:scatterChart>
      <c:valAx>
        <c:axId val="422749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Channel</a:t>
                </a:r>
                <a:r>
                  <a:rPr lang="en-GB" baseline="0"/>
                  <a:t> no. (approx. Energy/keV)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46944"/>
        <c:crosses val="autoZero"/>
        <c:crossBetween val="midCat"/>
      </c:valAx>
      <c:valAx>
        <c:axId val="4227469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749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</a:t>
            </a:r>
            <a:r>
              <a:rPr lang="en-GB" baseline="0"/>
              <a:t> of Efficiency against distance from detector in the z direction for different r values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'Geometry Efficiency Calibration'!$AD$4:$AD$9</c:f>
                <c:numCache>
                  <c:formatCode>General</c:formatCode>
                  <c:ptCount val="6"/>
                  <c:pt idx="0">
                    <c:v>4.608634331179403E-2</c:v>
                  </c:pt>
                  <c:pt idx="1">
                    <c:v>3.3097015508729219E-2</c:v>
                  </c:pt>
                  <c:pt idx="2">
                    <c:v>2.4329391804585775E-2</c:v>
                  </c:pt>
                  <c:pt idx="3">
                    <c:v>1.8709777651718624E-2</c:v>
                  </c:pt>
                  <c:pt idx="4">
                    <c:v>1.4688255573838621E-2</c:v>
                  </c:pt>
                  <c:pt idx="5">
                    <c:v>1.1518657080236252E-2</c:v>
                  </c:pt>
                </c:numCache>
              </c:numRef>
            </c:plus>
            <c:minus>
              <c:numRef>
                <c:f>'Geometry Efficiency Calibration'!$AD$4:$AD$9</c:f>
                <c:numCache>
                  <c:formatCode>General</c:formatCode>
                  <c:ptCount val="6"/>
                  <c:pt idx="0">
                    <c:v>4.608634331179403E-2</c:v>
                  </c:pt>
                  <c:pt idx="1">
                    <c:v>3.3097015508729219E-2</c:v>
                  </c:pt>
                  <c:pt idx="2">
                    <c:v>2.4329391804585775E-2</c:v>
                  </c:pt>
                  <c:pt idx="3">
                    <c:v>1.8709777651718624E-2</c:v>
                  </c:pt>
                  <c:pt idx="4">
                    <c:v>1.4688255573838621E-2</c:v>
                  </c:pt>
                  <c:pt idx="5">
                    <c:v>1.1518657080236252E-2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'Geometry Efficiency Calibration'!$D$4:$D$9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xVal>
          <c:yVal>
            <c:numRef>
              <c:f>'Geometry Efficiency Calibration'!$AI$4:$AI$9</c:f>
              <c:numCache>
                <c:formatCode>General</c:formatCode>
                <c:ptCount val="6"/>
                <c:pt idx="0">
                  <c:v>1</c:v>
                </c:pt>
                <c:pt idx="1">
                  <c:v>0.71806697828518562</c:v>
                </c:pt>
                <c:pt idx="2">
                  <c:v>0.52782847637242813</c:v>
                </c:pt>
                <c:pt idx="3">
                  <c:v>0.40583858977937437</c:v>
                </c:pt>
                <c:pt idx="4">
                  <c:v>0.31854730175000001</c:v>
                </c:pt>
                <c:pt idx="5">
                  <c:v>0.24960088814155143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F-48AD-9161-769DC633C218}"/>
            </c:ext>
          </c:extLst>
        </c:ser>
        <c:ser>
          <c:idx val="2"/>
          <c:order val="1"/>
          <c:tx>
            <c:v>0mm fit</c:v>
          </c:tx>
          <c:spPr>
            <a:ln w="25400" cap="rnd">
              <a:solidFill>
                <a:srgbClr val="0070C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'Geometry Efficiency Calibration'!$BD$6:$BD$146</c:f>
              <c:numCache>
                <c:formatCode>General</c:formatCode>
                <c:ptCount val="1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</c:numCache>
            </c:numRef>
          </c:xVal>
          <c:yVal>
            <c:numRef>
              <c:f>'Geometry Efficiency Calibration'!$BE$6:$BE$146</c:f>
              <c:numCache>
                <c:formatCode>General</c:formatCode>
                <c:ptCount val="141"/>
                <c:pt idx="0">
                  <c:v>1.8090169943749472</c:v>
                </c:pt>
                <c:pt idx="1">
                  <c:v>1.7864060483564204</c:v>
                </c:pt>
                <c:pt idx="2">
                  <c:v>1.7638056958394723</c:v>
                </c:pt>
                <c:pt idx="3">
                  <c:v>1.7412265055278369</c:v>
                </c:pt>
                <c:pt idx="4">
                  <c:v>1.7186789966648599</c:v>
                </c:pt>
                <c:pt idx="5">
                  <c:v>1.6961736146402422</c:v>
                </c:pt>
                <c:pt idx="6">
                  <c:v>1.6737207069974083</c:v>
                </c:pt>
                <c:pt idx="7">
                  <c:v>1.6513304999689451</c:v>
                </c:pt>
                <c:pt idx="8">
                  <c:v>1.6290130756624506</c:v>
                </c:pt>
                <c:pt idx="9">
                  <c:v>1.6067783500128883</c:v>
                </c:pt>
                <c:pt idx="10">
                  <c:v>1.5846360516102831</c:v>
                </c:pt>
                <c:pt idx="11">
                  <c:v>1.5625957015033751</c:v>
                </c:pt>
                <c:pt idx="12">
                  <c:v>1.5406665940708579</c:v>
                </c:pt>
                <c:pt idx="13">
                  <c:v>1.5188577790421134</c:v>
                </c:pt>
                <c:pt idx="14">
                  <c:v>1.497178044739139</c:v>
                </c:pt>
                <c:pt idx="15">
                  <c:v>1.4756359026006987</c:v>
                </c:pt>
                <c:pt idx="16">
                  <c:v>1.4542395730388384</c:v>
                </c:pt>
                <c:pt idx="17">
                  <c:v>1.4329969726668539</c:v>
                </c:pt>
                <c:pt idx="18">
                  <c:v>1.4119157029267881</c:v>
                </c:pt>
                <c:pt idx="19">
                  <c:v>1.3910030401336431</c:v>
                </c:pt>
                <c:pt idx="20">
                  <c:v>1.370265926942871</c:v>
                </c:pt>
                <c:pt idx="21">
                  <c:v>1.3497109652374633</c:v>
                </c:pt>
                <c:pt idx="22">
                  <c:v>1.3293444104211896</c:v>
                </c:pt>
                <c:pt idx="23">
                  <c:v>1.3091721670953349</c:v>
                </c:pt>
                <c:pt idx="24">
                  <c:v>1.2891997860877209</c:v>
                </c:pt>
                <c:pt idx="25">
                  <c:v>1.2694324627949489</c:v>
                </c:pt>
                <c:pt idx="26">
                  <c:v>1.2498750367917002</c:v>
                </c:pt>
                <c:pt idx="27">
                  <c:v>1.2305319926546212</c:v>
                </c:pt>
                <c:pt idx="28">
                  <c:v>1.2114074619428215</c:v>
                </c:pt>
                <c:pt idx="29">
                  <c:v>1.1925052262723472</c:v>
                </c:pt>
                <c:pt idx="30">
                  <c:v>1.1738287214181276</c:v>
                </c:pt>
                <c:pt idx="31">
                  <c:v>1.1553810423738522</c:v>
                </c:pt>
                <c:pt idx="32">
                  <c:v>1.1371649492979676</c:v>
                </c:pt>
                <c:pt idx="33">
                  <c:v>1.1191828742724763</c:v>
                </c:pt>
                <c:pt idx="34">
                  <c:v>1.1014369288004116</c:v>
                </c:pt>
                <c:pt idx="35">
                  <c:v>1.0839289119677447</c:v>
                </c:pt>
                <c:pt idx="36">
                  <c:v>1.0666603191959603</c:v>
                </c:pt>
                <c:pt idx="37">
                  <c:v>1.049632351512586</c:v>
                </c:pt>
                <c:pt idx="38">
                  <c:v>1.0328459252685345</c:v>
                </c:pt>
                <c:pt idx="39">
                  <c:v>1.0163016822331166</c:v>
                </c:pt>
                <c:pt idx="40">
                  <c:v>1</c:v>
                </c:pt>
                <c:pt idx="41">
                  <c:v>0.98394100264012496</c:v>
                </c:pt>
                <c:pt idx="42">
                  <c:v>0.96812457154061371</c:v>
                </c:pt>
                <c:pt idx="43">
                  <c:v>0.95255035637195629</c:v>
                </c:pt>
                <c:pt idx="44">
                  <c:v>0.93721778612918949</c:v>
                </c:pt>
                <c:pt idx="45">
                  <c:v>0.92212608019631959</c:v>
                </c:pt>
                <c:pt idx="46">
                  <c:v>0.90727425938688944</c:v>
                </c:pt>
                <c:pt idx="47">
                  <c:v>0.89266115691725001</c:v>
                </c:pt>
                <c:pt idx="48">
                  <c:v>0.87828542927277531</c:v>
                </c:pt>
                <c:pt idx="49">
                  <c:v>0.86414556693090672</c:v>
                </c:pt>
                <c:pt idx="50">
                  <c:v>0.85023990490848667</c:v>
                </c:pt>
                <c:pt idx="51">
                  <c:v>0.83656663310434298</c:v>
                </c:pt>
                <c:pt idx="52">
                  <c:v>0.82312380641147131</c:v>
                </c:pt>
                <c:pt idx="53">
                  <c:v>0.80990935457641333</c:v>
                </c:pt>
                <c:pt idx="54">
                  <c:v>0.79692109178655457</c:v>
                </c:pt>
                <c:pt idx="55">
                  <c:v>0.78415672596901176</c:v>
                </c:pt>
                <c:pt idx="56">
                  <c:v>0.771613867787588</c:v>
                </c:pt>
                <c:pt idx="57">
                  <c:v>0.75929003932688666</c:v>
                </c:pt>
                <c:pt idx="58">
                  <c:v>0.74718268245513175</c:v>
                </c:pt>
                <c:pt idx="59">
                  <c:v>0.73528916685951407</c:v>
                </c:pt>
                <c:pt idx="60">
                  <c:v>0.72360679774997894</c:v>
                </c:pt>
                <c:pt idx="61">
                  <c:v>0.71213282322929472</c:v>
                </c:pt>
                <c:pt idx="62">
                  <c:v>0.70086444132899528</c:v>
                </c:pt>
                <c:pt idx="63">
                  <c:v>0.68979880671237315</c:v>
                </c:pt>
                <c:pt idx="64">
                  <c:v>0.67893303704712782</c:v>
                </c:pt>
                <c:pt idx="65">
                  <c:v>0.66826421905154898</c:v>
                </c:pt>
                <c:pt idx="66">
                  <c:v>0.65778941421922876</c:v>
                </c:pt>
                <c:pt idx="67">
                  <c:v>0.64750566422829892</c:v>
                </c:pt>
                <c:pt idx="68">
                  <c:v>0.63740999604202941</c:v>
                </c:pt>
                <c:pt idx="69">
                  <c:v>0.62749942670836423</c:v>
                </c:pt>
                <c:pt idx="70">
                  <c:v>0.61777096786658725</c:v>
                </c:pt>
                <c:pt idx="71">
                  <c:v>0.60822162996981932</c:v>
                </c:pt>
                <c:pt idx="72">
                  <c:v>0.59884842623245993</c:v>
                </c:pt>
                <c:pt idx="73">
                  <c:v>0.58964837631201494</c:v>
                </c:pt>
                <c:pt idx="74">
                  <c:v>0.58061850973498108</c:v>
                </c:pt>
                <c:pt idx="75">
                  <c:v>0.57175586907663545</c:v>
                </c:pt>
                <c:pt idx="76">
                  <c:v>0.5630575129046671</c:v>
                </c:pt>
                <c:pt idx="77">
                  <c:v>0.55452051849662454</c:v>
                </c:pt>
                <c:pt idx="78">
                  <c:v>0.54614198434114558</c:v>
                </c:pt>
                <c:pt idx="79">
                  <c:v>0.53791903243285388</c:v>
                </c:pt>
                <c:pt idx="80">
                  <c:v>0.52984881037071563</c:v>
                </c:pt>
                <c:pt idx="81">
                  <c:v>0.52192849326949298</c:v>
                </c:pt>
                <c:pt idx="82">
                  <c:v>0.51415528549376177</c:v>
                </c:pt>
                <c:pt idx="83">
                  <c:v>0.50652642222375344</c:v>
                </c:pt>
                <c:pt idx="84">
                  <c:v>0.4990391708620544</c:v>
                </c:pt>
                <c:pt idx="85">
                  <c:v>0.49169083228995442</c:v>
                </c:pt>
                <c:pt idx="86">
                  <c:v>0.48447874198196894</c:v>
                </c:pt>
                <c:pt idx="87">
                  <c:v>0.47740027098679039</c:v>
                </c:pt>
                <c:pt idx="88">
                  <c:v>0.47045282678263928</c:v>
                </c:pt>
                <c:pt idx="89">
                  <c:v>0.46363385401469681</c:v>
                </c:pt>
                <c:pt idx="90">
                  <c:v>0.4569408351220059</c:v>
                </c:pt>
                <c:pt idx="91">
                  <c:v>0.45037129086093353</c:v>
                </c:pt>
                <c:pt idx="92">
                  <c:v>0.44392278073198643</c:v>
                </c:pt>
                <c:pt idx="93">
                  <c:v>0.4375929033164821</c:v>
                </c:pt>
                <c:pt idx="94">
                  <c:v>0.43137929652928203</c:v>
                </c:pt>
                <c:pt idx="95">
                  <c:v>0.42527963779350025</c:v>
                </c:pt>
                <c:pt idx="96">
                  <c:v>0.41929164414282638</c:v>
                </c:pt>
                <c:pt idx="97">
                  <c:v>0.41341307225681745</c:v>
                </c:pt>
                <c:pt idx="98">
                  <c:v>0.40764171843423735</c:v>
                </c:pt>
                <c:pt idx="99">
                  <c:v>0.40197541850927176</c:v>
                </c:pt>
                <c:pt idx="100">
                  <c:v>0.39641204771517297</c:v>
                </c:pt>
                <c:pt idx="101">
                  <c:v>0.39094952049965592</c:v>
                </c:pt>
                <c:pt idx="102">
                  <c:v>0.38558579029611245</c:v>
                </c:pt>
                <c:pt idx="103">
                  <c:v>0.38031884925449183</c:v>
                </c:pt>
                <c:pt idx="104">
                  <c:v>0.37514672793546289</c:v>
                </c:pt>
                <c:pt idx="105">
                  <c:v>0.37006749497126185</c:v>
                </c:pt>
                <c:pt idx="106">
                  <c:v>0.36507925669643337</c:v>
                </c:pt>
                <c:pt idx="107">
                  <c:v>0.36018015675145376</c:v>
                </c:pt>
                <c:pt idx="108">
                  <c:v>0.35536837566206697</c:v>
                </c:pt>
                <c:pt idx="109">
                  <c:v>0.3506421303969568</c:v>
                </c:pt>
                <c:pt idx="110">
                  <c:v>0.34599967390622915</c:v>
                </c:pt>
                <c:pt idx="111">
                  <c:v>0.3414392946430011</c:v>
                </c:pt>
                <c:pt idx="112">
                  <c:v>0.33695931607024682</c:v>
                </c:pt>
                <c:pt idx="113">
                  <c:v>0.33255809615490378</c:v>
                </c:pt>
                <c:pt idx="114">
                  <c:v>0.32823402685109521</c:v>
                </c:pt>
                <c:pt idx="115">
                  <c:v>0.32398553357420562</c:v>
                </c:pt>
                <c:pt idx="116">
                  <c:v>0.31981107466741265</c:v>
                </c:pt>
                <c:pt idx="117">
                  <c:v>0.31570914086216068</c:v>
                </c:pt>
                <c:pt idx="118">
                  <c:v>0.311678254733955</c:v>
                </c:pt>
                <c:pt idx="119">
                  <c:v>0.30771697015475247</c:v>
                </c:pt>
                <c:pt idx="120">
                  <c:v>0.30382387174311098</c:v>
                </c:pt>
                <c:pt idx="121">
                  <c:v>0.2999975743131903</c:v>
                </c:pt>
                <c:pt idx="122">
                  <c:v>0.29623672232358644</c:v>
                </c:pt>
                <c:pt idx="123">
                  <c:v>0.29253998932691627</c:v>
                </c:pt>
                <c:pt idx="124">
                  <c:v>0.2889060774209824</c:v>
                </c:pt>
                <c:pt idx="125">
                  <c:v>0.28533371670228314</c:v>
                </c:pt>
                <c:pt idx="126">
                  <c:v>0.28182166472255221</c:v>
                </c:pt>
                <c:pt idx="127">
                  <c:v>0.27836870594897117</c:v>
                </c:pt>
                <c:pt idx="128">
                  <c:v>0.27497365122861012</c:v>
                </c:pt>
                <c:pt idx="129">
                  <c:v>0.27163533725762523</c:v>
                </c:pt>
                <c:pt idx="130">
                  <c:v>0.26835262605566623</c:v>
                </c:pt>
                <c:pt idx="131">
                  <c:v>0.26512440444591567</c:v>
                </c:pt>
                <c:pt idx="132">
                  <c:v>0.26194958354112546</c:v>
                </c:pt>
                <c:pt idx="133">
                  <c:v>0.25882709823598327</c:v>
                </c:pt>
                <c:pt idx="134">
                  <c:v>0.25575590670609533</c:v>
                </c:pt>
                <c:pt idx="135">
                  <c:v>0.25273498991383936</c:v>
                </c:pt>
                <c:pt idx="136">
                  <c:v>0.24976335112131001</c:v>
                </c:pt>
                <c:pt idx="137">
                  <c:v>0.24684001541054074</c:v>
                </c:pt>
                <c:pt idx="138">
                  <c:v>0.24396402921117014</c:v>
                </c:pt>
                <c:pt idx="139">
                  <c:v>0.24113445983567625</c:v>
                </c:pt>
                <c:pt idx="140">
                  <c:v>0.23835039502229774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5F-48AD-9161-769DC633C218}"/>
            </c:ext>
          </c:extLst>
        </c:ser>
        <c:ser>
          <c:idx val="1"/>
          <c:order val="2"/>
          <c:tx>
            <c:v>10mm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'Geometry Efficiency Calibration'!$AD$10:$AD$15</c:f>
                <c:numCache>
                  <c:formatCode>General</c:formatCode>
                  <c:ptCount val="6"/>
                  <c:pt idx="0">
                    <c:v>4.5793730789967409E-2</c:v>
                  </c:pt>
                  <c:pt idx="1">
                    <c:v>3.2343176023955665E-2</c:v>
                  </c:pt>
                  <c:pt idx="2">
                    <c:v>2.3362200124881983E-2</c:v>
                  </c:pt>
                  <c:pt idx="3">
                    <c:v>1.8143788817997643E-2</c:v>
                  </c:pt>
                  <c:pt idx="4">
                    <c:v>1.4925081950827944E-2</c:v>
                  </c:pt>
                  <c:pt idx="5">
                    <c:v>1.1777470061558418E-2</c:v>
                  </c:pt>
                </c:numCache>
              </c:numRef>
            </c:plus>
            <c:minus>
              <c:numRef>
                <c:f>'Geometry Efficiency Calibration'!$AD$10:$AD$15</c:f>
                <c:numCache>
                  <c:formatCode>General</c:formatCode>
                  <c:ptCount val="6"/>
                  <c:pt idx="0">
                    <c:v>4.5793730789967409E-2</c:v>
                  </c:pt>
                  <c:pt idx="1">
                    <c:v>3.2343176023955665E-2</c:v>
                  </c:pt>
                  <c:pt idx="2">
                    <c:v>2.3362200124881983E-2</c:v>
                  </c:pt>
                  <c:pt idx="3">
                    <c:v>1.8143788817997643E-2</c:v>
                  </c:pt>
                  <c:pt idx="4">
                    <c:v>1.4925081950827944E-2</c:v>
                  </c:pt>
                  <c:pt idx="5">
                    <c:v>1.1777470061558418E-2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'Geometry Efficiency Calibration'!$D$4:$D$9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xVal>
          <c:yVal>
            <c:numRef>
              <c:f>'Geometry Efficiency Calibration'!$AJ$4:$AJ$9</c:f>
              <c:numCache>
                <c:formatCode>General</c:formatCode>
                <c:ptCount val="6"/>
                <c:pt idx="0">
                  <c:v>0.99365078195142897</c:v>
                </c:pt>
                <c:pt idx="1">
                  <c:v>0.70165986852838202</c:v>
                </c:pt>
                <c:pt idx="2">
                  <c:v>0.5068085730221481</c:v>
                </c:pt>
                <c:pt idx="3">
                  <c:v>0.39357689622496628</c:v>
                </c:pt>
                <c:pt idx="4">
                  <c:v>0.32355300631715522</c:v>
                </c:pt>
                <c:pt idx="5">
                  <c:v>0.2553182285268788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5F-48AD-9161-769DC633C218}"/>
            </c:ext>
          </c:extLst>
        </c:ser>
        <c:ser>
          <c:idx val="3"/>
          <c:order val="3"/>
          <c:tx>
            <c:v>10mm fit</c:v>
          </c:tx>
          <c:spPr>
            <a:ln w="25400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'Geometry Efficiency Calibration'!$BD$6:$BD$146</c:f>
              <c:numCache>
                <c:formatCode>General</c:formatCode>
                <c:ptCount val="1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</c:numCache>
            </c:numRef>
          </c:xVal>
          <c:yVal>
            <c:numRef>
              <c:f>'Geometry Efficiency Calibration'!$BF$6:$BF$146</c:f>
              <c:numCache>
                <c:formatCode>General</c:formatCode>
                <c:ptCount val="141"/>
                <c:pt idx="0">
                  <c:v>1.8276277497891287</c:v>
                </c:pt>
                <c:pt idx="1">
                  <c:v>1.8041985501893454</c:v>
                </c:pt>
                <c:pt idx="2">
                  <c:v>1.7807808972813961</c:v>
                </c:pt>
                <c:pt idx="3">
                  <c:v>1.7573863093259334</c:v>
                </c:pt>
                <c:pt idx="4">
                  <c:v>1.7340262478844168</c:v>
                </c:pt>
                <c:pt idx="5">
                  <c:v>1.7107120898757484</c:v>
                </c:pt>
                <c:pt idx="6">
                  <c:v>1.6874551001157123</c:v>
                </c:pt>
                <c:pt idx="7">
                  <c:v>1.6642664044924096</c:v>
                </c:pt>
                <c:pt idx="8">
                  <c:v>1.6411569639244403</c:v>
                </c:pt>
                <c:pt idx="9">
                  <c:v>1.6181375492406784</c:v>
                </c:pt>
                <c:pt idx="10">
                  <c:v>1.5952187171113215</c:v>
                </c:pt>
                <c:pt idx="11">
                  <c:v>1.572410787149553</c:v>
                </c:pt>
                <c:pt idx="12">
                  <c:v>1.5497238202918273</c:v>
                </c:pt>
                <c:pt idx="13">
                  <c:v>1.527167598552627</c:v>
                </c:pt>
                <c:pt idx="14">
                  <c:v>1.5047516062367381</c:v>
                </c:pt>
                <c:pt idx="15">
                  <c:v>1.4824850126788098</c:v>
                </c:pt>
                <c:pt idx="16">
                  <c:v>1.4603766565664087</c:v>
                </c:pt>
                <c:pt idx="17">
                  <c:v>1.4384350318891099</c:v>
                </c:pt>
                <c:pt idx="18">
                  <c:v>1.4166682755425832</c:v>
                </c:pt>
                <c:pt idx="19">
                  <c:v>1.3950841566032688</c:v>
                </c:pt>
                <c:pt idx="20">
                  <c:v>1.3736900672762784</c:v>
                </c:pt>
                <c:pt idx="21">
                  <c:v>1.3524930155067292</c:v>
                </c:pt>
                <c:pt idx="22">
                  <c:v>1.3314996192329394</c:v>
                </c:pt>
                <c:pt idx="23">
                  <c:v>1.3107161022489109</c:v>
                </c:pt>
                <c:pt idx="24">
                  <c:v>1.2901482916333806</c:v>
                </c:pt>
                <c:pt idx="25">
                  <c:v>1.2698016166934949</c:v>
                </c:pt>
                <c:pt idx="26">
                  <c:v>1.2496811093629319</c:v>
                </c:pt>
                <c:pt idx="27">
                  <c:v>1.2297914059870845</c:v>
                </c:pt>
                <c:pt idx="28">
                  <c:v>1.2101367504217351</c:v>
                </c:pt>
                <c:pt idx="29">
                  <c:v>1.1907209983665354</c:v>
                </c:pt>
                <c:pt idx="30">
                  <c:v>1.1715476228504871</c:v>
                </c:pt>
                <c:pt idx="31">
                  <c:v>1.1526197207835354</c:v>
                </c:pt>
                <c:pt idx="32">
                  <c:v>1.1339400204862551</c:v>
                </c:pt>
                <c:pt idx="33">
                  <c:v>1.1155108901083977</c:v>
                </c:pt>
                <c:pt idx="34">
                  <c:v>1.0973343468467154</c:v>
                </c:pt>
                <c:pt idx="35">
                  <c:v>1.0794120668729432</c:v>
                </c:pt>
                <c:pt idx="36">
                  <c:v>1.0617453958839826</c:v>
                </c:pt>
                <c:pt idx="37">
                  <c:v>1.0443353601881806</c:v>
                </c:pt>
                <c:pt idx="38">
                  <c:v>1.0271826782440165</c:v>
                </c:pt>
                <c:pt idx="39">
                  <c:v>1.0102877725704349</c:v>
                </c:pt>
                <c:pt idx="40">
                  <c:v>0.99365078195142897</c:v>
                </c:pt>
                <c:pt idx="41">
                  <c:v>0.97727157386119801</c:v>
                </c:pt>
                <c:pt idx="42">
                  <c:v>0.96114975704021566</c:v>
                </c:pt>
                <c:pt idx="43">
                  <c:v>0.94528469415678473</c:v>
                </c:pt>
                <c:pt idx="44">
                  <c:v>0.92967551449304042</c:v>
                </c:pt>
                <c:pt idx="45">
                  <c:v>0.9143211265988701</c:v>
                </c:pt>
                <c:pt idx="46">
                  <c:v>0.89922023086175296</c:v>
                </c:pt>
                <c:pt idx="47">
                  <c:v>0.88437133194507134</c:v>
                </c:pt>
                <c:pt idx="48">
                  <c:v>0.86977275105194551</c:v>
                </c:pt>
                <c:pt idx="49">
                  <c:v>0.85542263797604989</c:v>
                </c:pt>
                <c:pt idx="50">
                  <c:v>0.84131898290518392</c:v>
                </c:pt>
                <c:pt idx="51">
                  <c:v>0.82745962794751726</c:v>
                </c:pt>
                <c:pt idx="52">
                  <c:v>0.81384227835442502</c:v>
                </c:pt>
                <c:pt idx="53">
                  <c:v>0.80046451341762959</c:v>
                </c:pt>
                <c:pt idx="54">
                  <c:v>0.78732379702197464</c:v>
                </c:pt>
                <c:pt idx="55">
                  <c:v>0.7744174878385478</c:v>
                </c:pt>
                <c:pt idx="56">
                  <c:v>0.76174284914603907</c:v>
                </c:pt>
                <c:pt idx="57">
                  <c:v>0.7492970582711862</c:v>
                </c:pt>
                <c:pt idx="58">
                  <c:v>0.7370772156418709</c:v>
                </c:pt>
                <c:pt idx="59">
                  <c:v>0.72508035344895083</c:v>
                </c:pt>
                <c:pt idx="60">
                  <c:v>0.71330344391518785</c:v>
                </c:pt>
                <c:pt idx="61">
                  <c:v>0.7017434071717108</c:v>
                </c:pt>
                <c:pt idx="62">
                  <c:v>0.6903971187443152</c:v>
                </c:pt>
                <c:pt idx="63">
                  <c:v>0.67926141665356865</c:v>
                </c:pt>
                <c:pt idx="64">
                  <c:v>0.66833310813415936</c:v>
                </c:pt>
                <c:pt idx="65">
                  <c:v>0.65760897598023116</c:v>
                </c:pt>
                <c:pt idx="66">
                  <c:v>0.64708578452455934</c:v>
                </c:pt>
                <c:pt idx="67">
                  <c:v>0.63676028526039075</c:v>
                </c:pt>
                <c:pt idx="68">
                  <c:v>0.62662922211558336</c:v>
                </c:pt>
                <c:pt idx="69">
                  <c:v>0.61668933638935974</c:v>
                </c:pt>
                <c:pt idx="70">
                  <c:v>0.60693737136252368</c:v>
                </c:pt>
                <c:pt idx="71">
                  <c:v>0.59737007659243668</c:v>
                </c:pt>
                <c:pt idx="72">
                  <c:v>0.58798421190435657</c:v>
                </c:pt>
                <c:pt idx="73">
                  <c:v>0.5787765510909727</c:v>
                </c:pt>
                <c:pt idx="74">
                  <c:v>0.56974388533211251</c:v>
                </c:pt>
                <c:pt idx="75">
                  <c:v>0.56088302634664788</c:v>
                </c:pt>
                <c:pt idx="76">
                  <c:v>0.55219080928861697</c:v>
                </c:pt>
                <c:pt idx="77">
                  <c:v>0.54366409539950844</c:v>
                </c:pt>
                <c:pt idx="78">
                  <c:v>0.53529977442852494</c:v>
                </c:pt>
                <c:pt idx="79">
                  <c:v>0.52709476683246581</c:v>
                </c:pt>
                <c:pt idx="80">
                  <c:v>0.51904602576665149</c:v>
                </c:pt>
                <c:pt idx="81">
                  <c:v>0.51115053887806849</c:v>
                </c:pt>
                <c:pt idx="82">
                  <c:v>0.50340532991162212</c:v>
                </c:pt>
                <c:pt idx="83">
                  <c:v>0.49580746014008925</c:v>
                </c:pt>
                <c:pt idx="84">
                  <c:v>0.48835402962803665</c:v>
                </c:pt>
                <c:pt idx="85">
                  <c:v>0.48104217833962482</c:v>
                </c:pt>
                <c:pt idx="86">
                  <c:v>0.47386908709987763</c:v>
                </c:pt>
                <c:pt idx="87">
                  <c:v>0.46683197841863339</c:v>
                </c:pt>
                <c:pt idx="88">
                  <c:v>0.4599281171860205</c:v>
                </c:pt>
                <c:pt idx="89">
                  <c:v>0.45315481124795465</c:v>
                </c:pt>
                <c:pt idx="90">
                  <c:v>0.44650941186976378</c:v>
                </c:pt>
                <c:pt idx="91">
                  <c:v>0.43998931409570224</c:v>
                </c:pt>
                <c:pt idx="92">
                  <c:v>0.4335919570117418</c:v>
                </c:pt>
                <c:pt idx="93">
                  <c:v>0.42731482391867637</c:v>
                </c:pt>
                <c:pt idx="94">
                  <c:v>0.42115544242222835</c:v>
                </c:pt>
                <c:pt idx="95">
                  <c:v>0.41511138444650292</c:v>
                </c:pt>
                <c:pt idx="96">
                  <c:v>0.40918026617679876</c:v>
                </c:pt>
                <c:pt idx="97">
                  <c:v>0.4033597479374687</c:v>
                </c:pt>
                <c:pt idx="98">
                  <c:v>0.39764753401020492</c:v>
                </c:pt>
                <c:pt idx="99">
                  <c:v>0.392041372397818</c:v>
                </c:pt>
                <c:pt idx="100">
                  <c:v>0.38653905453829435</c:v>
                </c:pt>
                <c:pt idx="101">
                  <c:v>0.38113841497362616</c:v>
                </c:pt>
                <c:pt idx="102">
                  <c:v>0.3758373309776471</c:v>
                </c:pt>
                <c:pt idx="103">
                  <c:v>0.37063372214683771</c:v>
                </c:pt>
                <c:pt idx="104">
                  <c:v>0.36552554995782566</c:v>
                </c:pt>
                <c:pt idx="105">
                  <c:v>0.36051081729506579</c:v>
                </c:pt>
                <c:pt idx="106">
                  <c:v>0.35558756795195356</c:v>
                </c:pt>
                <c:pt idx="107">
                  <c:v>0.35075388610842412</c:v>
                </c:pt>
                <c:pt idx="108">
                  <c:v>0.34600789578786717</c:v>
                </c:pt>
                <c:pt idx="109">
                  <c:v>0.34134776029600866</c:v>
                </c:pt>
                <c:pt idx="110">
                  <c:v>0.33677168164421678</c:v>
                </c:pt>
                <c:pt idx="111">
                  <c:v>0.33227789995952089</c:v>
                </c:pt>
                <c:pt idx="112">
                  <c:v>0.32786469288346071</c:v>
                </c:pt>
                <c:pt idx="113">
                  <c:v>0.32353037496173592</c:v>
                </c:pt>
                <c:pt idx="114">
                  <c:v>0.31927329702647006</c:v>
                </c:pt>
                <c:pt idx="115">
                  <c:v>0.31509184557276887</c:v>
                </c:pt>
                <c:pt idx="116">
                  <c:v>0.31098444213112181</c:v>
                </c:pt>
                <c:pt idx="117">
                  <c:v>0.30694954263707319</c:v>
                </c:pt>
                <c:pt idx="118">
                  <c:v>0.30298563679946905</c:v>
                </c:pt>
                <c:pt idx="119">
                  <c:v>0.29909124746848559</c:v>
                </c:pt>
                <c:pt idx="120">
                  <c:v>0.2952649300045358</c:v>
                </c:pt>
                <c:pt idx="121">
                  <c:v>0.29150527164905615</c:v>
                </c:pt>
                <c:pt idx="122">
                  <c:v>0.28781089089809575</c:v>
                </c:pt>
                <c:pt idx="123">
                  <c:v>0.28418043687952826</c:v>
                </c:pt>
                <c:pt idx="124">
                  <c:v>0.28061258873464984</c:v>
                </c:pt>
                <c:pt idx="125">
                  <c:v>0.27710605500483437</c:v>
                </c:pt>
                <c:pt idx="126">
                  <c:v>0.2736595730238684</c:v>
                </c:pt>
                <c:pt idx="127">
                  <c:v>0.27027190831650161</c:v>
                </c:pt>
                <c:pt idx="128">
                  <c:v>0.26694185400371728</c:v>
                </c:pt>
                <c:pt idx="129">
                  <c:v>0.26366823021514613</c:v>
                </c:pt>
                <c:pt idx="130">
                  <c:v>0.26044988350901505</c:v>
                </c:pt>
                <c:pt idx="131">
                  <c:v>0.25728568629996501</c:v>
                </c:pt>
                <c:pt idx="132">
                  <c:v>0.25417453629503223</c:v>
                </c:pt>
                <c:pt idx="133">
                  <c:v>0.25111535593804674</c:v>
                </c:pt>
                <c:pt idx="134">
                  <c:v>0.24810709186266044</c:v>
                </c:pt>
                <c:pt idx="135">
                  <c:v>0.24514871435419169</c:v>
                </c:pt>
                <c:pt idx="136">
                  <c:v>0.24223921682042818</c:v>
                </c:pt>
                <c:pt idx="137">
                  <c:v>0.23937761527151472</c:v>
                </c:pt>
                <c:pt idx="138">
                  <c:v>0.23656294780901352</c:v>
                </c:pt>
                <c:pt idx="139">
                  <c:v>0.23379427412420872</c:v>
                </c:pt>
                <c:pt idx="140">
                  <c:v>0.23107067500569695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5F-48AD-9161-769DC633C218}"/>
            </c:ext>
          </c:extLst>
        </c:ser>
        <c:ser>
          <c:idx val="5"/>
          <c:order val="4"/>
          <c:tx>
            <c:v>20mm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'Geometry Efficiency Calibration'!$AD$16:$AD$21</c:f>
                <c:numCache>
                  <c:formatCode>General</c:formatCode>
                  <c:ptCount val="6"/>
                  <c:pt idx="0">
                    <c:v>3.9886502805344171E-2</c:v>
                  </c:pt>
                  <c:pt idx="1">
                    <c:v>2.7631462330332639E-2</c:v>
                  </c:pt>
                  <c:pt idx="2">
                    <c:v>2.2780687102843263E-2</c:v>
                  </c:pt>
                  <c:pt idx="3">
                    <c:v>1.717521937851986E-2</c:v>
                  </c:pt>
                  <c:pt idx="4">
                    <c:v>1.3148838245800225E-2</c:v>
                  </c:pt>
                  <c:pt idx="5">
                    <c:v>1.1135654595207149E-2</c:v>
                  </c:pt>
                </c:numCache>
              </c:numRef>
            </c:plus>
            <c:minus>
              <c:numRef>
                <c:f>'Geometry Efficiency Calibration'!$AD$16:$AD$21</c:f>
                <c:numCache>
                  <c:formatCode>General</c:formatCode>
                  <c:ptCount val="6"/>
                  <c:pt idx="0">
                    <c:v>3.9886502805344171E-2</c:v>
                  </c:pt>
                  <c:pt idx="1">
                    <c:v>2.7631462330332639E-2</c:v>
                  </c:pt>
                  <c:pt idx="2">
                    <c:v>2.2780687102843263E-2</c:v>
                  </c:pt>
                  <c:pt idx="3">
                    <c:v>1.717521937851986E-2</c:v>
                  </c:pt>
                  <c:pt idx="4">
                    <c:v>1.3148838245800225E-2</c:v>
                  </c:pt>
                  <c:pt idx="5">
                    <c:v>1.1135654595207149E-2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'Geometry Efficiency Calibration'!$D$4:$D$9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xVal>
          <c:yVal>
            <c:numRef>
              <c:f>'Geometry Efficiency Calibration'!$AK$4:$AK$9</c:f>
              <c:numCache>
                <c:formatCode>General</c:formatCode>
                <c:ptCount val="6"/>
                <c:pt idx="0">
                  <c:v>0.86545743622190296</c:v>
                </c:pt>
                <c:pt idx="1">
                  <c:v>0.59949588856050195</c:v>
                </c:pt>
                <c:pt idx="2">
                  <c:v>0.49422366731400302</c:v>
                </c:pt>
                <c:pt idx="3">
                  <c:v>0.37249550485585214</c:v>
                </c:pt>
                <c:pt idx="4">
                  <c:v>0.28503621349413133</c:v>
                </c:pt>
                <c:pt idx="5">
                  <c:v>0.24140271476833933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A5F-48AD-9161-769DC633C218}"/>
            </c:ext>
          </c:extLst>
        </c:ser>
        <c:ser>
          <c:idx val="4"/>
          <c:order val="5"/>
          <c:tx>
            <c:v>20mm fit</c:v>
          </c:tx>
          <c:spPr>
            <a:ln w="25400" cap="rnd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'Geometry Efficiency Calibration'!$BD$6:$BD$146</c:f>
              <c:numCache>
                <c:formatCode>General</c:formatCode>
                <c:ptCount val="1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</c:numCache>
            </c:numRef>
          </c:xVal>
          <c:yVal>
            <c:numRef>
              <c:f>'Geometry Efficiency Calibration'!$BG$6:$BG$146</c:f>
              <c:numCache>
                <c:formatCode>General</c:formatCode>
                <c:ptCount val="141"/>
                <c:pt idx="0">
                  <c:v>1.4763933523858723</c:v>
                </c:pt>
                <c:pt idx="1">
                  <c:v>1.4596172383332244</c:v>
                </c:pt>
                <c:pt idx="2">
                  <c:v>1.4428476205654039</c:v>
                </c:pt>
                <c:pt idx="3">
                  <c:v>1.4260909827968924</c:v>
                </c:pt>
                <c:pt idx="4">
                  <c:v>1.4093537836581855</c:v>
                </c:pt>
                <c:pt idx="5">
                  <c:v>1.3926424442951071</c:v>
                </c:pt>
                <c:pt idx="6">
                  <c:v>1.3759633361364076</c:v>
                </c:pt>
                <c:pt idx="7">
                  <c:v>1.3593227688836251</c:v>
                </c:pt>
                <c:pt idx="8">
                  <c:v>1.3427269787754024</c:v>
                </c:pt>
                <c:pt idx="9">
                  <c:v>1.3261821171762664</c:v>
                </c:pt>
                <c:pt idx="10">
                  <c:v>1.3096942395373254</c:v>
                </c:pt>
                <c:pt idx="11">
                  <c:v>1.293269294773419</c:v>
                </c:pt>
                <c:pt idx="12">
                  <c:v>1.2769131150980568</c:v>
                </c:pt>
                <c:pt idx="13">
                  <c:v>1.2606314063539901</c:v>
                </c:pt>
                <c:pt idx="14">
                  <c:v>1.2444297388735415</c:v>
                </c:pt>
                <c:pt idx="15">
                  <c:v>1.2283135388989321</c:v>
                </c:pt>
                <c:pt idx="16">
                  <c:v>1.2122880805887835</c:v>
                </c:pt>
                <c:pt idx="17">
                  <c:v>1.1963584786328416</c:v>
                </c:pt>
                <c:pt idx="18">
                  <c:v>1.1805296814927726</c:v>
                </c:pt>
                <c:pt idx="19">
                  <c:v>1.1648064652826642</c:v>
                </c:pt>
                <c:pt idx="20">
                  <c:v>1.1491934282986989</c:v>
                </c:pt>
                <c:pt idx="21">
                  <c:v>1.1336949862033532</c:v>
                </c:pt>
                <c:pt idx="22">
                  <c:v>1.1183153678654778</c:v>
                </c:pt>
                <c:pt idx="23">
                  <c:v>1.1030586118537611</c:v>
                </c:pt>
                <c:pt idx="24">
                  <c:v>1.0879285635773868</c:v>
                </c:pt>
                <c:pt idx="25">
                  <c:v>1.0729288730642206</c:v>
                </c:pt>
                <c:pt idx="26">
                  <c:v>1.0580629933635894</c:v>
                </c:pt>
                <c:pt idx="27">
                  <c:v>1.0433341795577173</c:v>
                </c:pt>
                <c:pt idx="28">
                  <c:v>1.0287454883631033</c:v>
                </c:pt>
                <c:pt idx="29">
                  <c:v>1.0142997783006622</c:v>
                </c:pt>
                <c:pt idx="30">
                  <c:v>0.99999971041122537</c:v>
                </c:pt>
                <c:pt idx="31">
                  <c:v>0.98584774949109333</c:v>
                </c:pt>
                <c:pt idx="32">
                  <c:v>0.97184616582067607</c:v>
                </c:pt>
                <c:pt idx="33">
                  <c:v>0.95799703735792163</c:v>
                </c:pt>
                <c:pt idx="34">
                  <c:v>0.94430225236713961</c:v>
                </c:pt>
                <c:pt idx="35">
                  <c:v>0.93076351245303102</c:v>
                </c:pt>
                <c:pt idx="36">
                  <c:v>0.91738233596917451</c:v>
                </c:pt>
                <c:pt idx="37">
                  <c:v>0.90416006176992902</c:v>
                </c:pt>
                <c:pt idx="38">
                  <c:v>0.89109785327463042</c:v>
                </c:pt>
                <c:pt idx="39">
                  <c:v>0.87819670281310824</c:v>
                </c:pt>
                <c:pt idx="40">
                  <c:v>0.86545743622190296</c:v>
                </c:pt>
                <c:pt idx="41">
                  <c:v>0.85288071766107765</c:v>
                </c:pt>
                <c:pt idx="42">
                  <c:v>0.84046705462221993</c:v>
                </c:pt>
                <c:pt idx="43">
                  <c:v>0.82821680309906731</c:v>
                </c:pt>
                <c:pt idx="44">
                  <c:v>0.81613017289315004</c:v>
                </c:pt>
                <c:pt idx="45">
                  <c:v>0.80420723302793007</c:v>
                </c:pt>
                <c:pt idx="46">
                  <c:v>0.79244791724607866</c:v>
                </c:pt>
                <c:pt idx="47">
                  <c:v>0.7808520295657817</c:v>
                </c:pt>
                <c:pt idx="48">
                  <c:v>0.76941924987326282</c:v>
                </c:pt>
                <c:pt idx="49">
                  <c:v>0.75814913953007668</c:v>
                </c:pt>
                <c:pt idx="50">
                  <c:v>0.74704114697508328</c:v>
                </c:pt>
                <c:pt idx="51">
                  <c:v>0.73609461330243098</c:v>
                </c:pt>
                <c:pt idx="52">
                  <c:v>0.72530877779826197</c:v>
                </c:pt>
                <c:pt idx="53">
                  <c:v>0.71468278342025859</c:v>
                </c:pt>
                <c:pt idx="54">
                  <c:v>0.70421568220552011</c:v>
                </c:pt>
                <c:pt idx="55">
                  <c:v>0.69390644059361861</c:v>
                </c:pt>
                <c:pt idx="56">
                  <c:v>0.68375394465299877</c:v>
                </c:pt>
                <c:pt idx="57">
                  <c:v>0.67375700520017001</c:v>
                </c:pt>
                <c:pt idx="58">
                  <c:v>0.66391436280237703</c:v>
                </c:pt>
                <c:pt idx="59">
                  <c:v>0.65422469265561256</c:v>
                </c:pt>
                <c:pt idx="60">
                  <c:v>0.64468660933098154</c:v>
                </c:pt>
                <c:pt idx="61">
                  <c:v>0.63529867138349017</c:v>
                </c:pt>
                <c:pt idx="62">
                  <c:v>0.6260593858183563</c:v>
                </c:pt>
                <c:pt idx="63">
                  <c:v>0.61696721241089458</c:v>
                </c:pt>
                <c:pt idx="64">
                  <c:v>0.60802056787692105</c:v>
                </c:pt>
                <c:pt idx="65">
                  <c:v>0.59921782989146632</c:v>
                </c:pt>
                <c:pt idx="66">
                  <c:v>0.59055734095434886</c:v>
                </c:pt>
                <c:pt idx="67">
                  <c:v>0.58203741210188509</c:v>
                </c:pt>
                <c:pt idx="68">
                  <c:v>0.57365632646465881</c:v>
                </c:pt>
                <c:pt idx="69">
                  <c:v>0.56541234267188101</c:v>
                </c:pt>
                <c:pt idx="70">
                  <c:v>0.55730369810340363</c:v>
                </c:pt>
                <c:pt idx="71">
                  <c:v>0.54932861199094574</c:v>
                </c:pt>
                <c:pt idx="72">
                  <c:v>0.54148528837053034</c:v>
                </c:pt>
                <c:pt idx="73">
                  <c:v>0.53377191888851472</c:v>
                </c:pt>
                <c:pt idx="74">
                  <c:v>0.52618668546394276</c:v>
                </c:pt>
                <c:pt idx="75">
                  <c:v>0.51872776281024668</c:v>
                </c:pt>
                <c:pt idx="76">
                  <c:v>0.51139332081958577</c:v>
                </c:pt>
                <c:pt idx="77">
                  <c:v>0.50418152681332673</c:v>
                </c:pt>
                <c:pt idx="78">
                  <c:v>0.49709054766235189</c:v>
                </c:pt>
                <c:pt idx="79">
                  <c:v>0.49011855178104208</c:v>
                </c:pt>
                <c:pt idx="80">
                  <c:v>0.48326371099888532</c:v>
                </c:pt>
                <c:pt idx="81">
                  <c:v>0.47652420231376746</c:v>
                </c:pt>
                <c:pt idx="82">
                  <c:v>0.4698982095310606</c:v>
                </c:pt>
                <c:pt idx="83">
                  <c:v>0.46338392479266022</c:v>
                </c:pt>
                <c:pt idx="84">
                  <c:v>0.45697955000015694</c:v>
                </c:pt>
                <c:pt idx="85">
                  <c:v>0.45068329813631391</c:v>
                </c:pt>
                <c:pt idx="86">
                  <c:v>0.44449339448901282</c:v>
                </c:pt>
                <c:pt idx="87">
                  <c:v>0.43840807778179497</c:v>
                </c:pt>
                <c:pt idx="88">
                  <c:v>0.43242560121508183</c:v>
                </c:pt>
                <c:pt idx="89">
                  <c:v>0.42654423342209491</c:v>
                </c:pt>
                <c:pt idx="90">
                  <c:v>0.42076225934342831</c:v>
                </c:pt>
                <c:pt idx="91">
                  <c:v>0.41507798102415122</c:v>
                </c:pt>
                <c:pt idx="92">
                  <c:v>0.40948971833722814</c:v>
                </c:pt>
                <c:pt idx="93">
                  <c:v>0.40399580963694925</c:v>
                </c:pt>
                <c:pt idx="94">
                  <c:v>0.39859461234597399</c:v>
                </c:pt>
                <c:pt idx="95">
                  <c:v>0.39328450347947452</c:v>
                </c:pt>
                <c:pt idx="96">
                  <c:v>0.38806388010977433</c:v>
                </c:pt>
                <c:pt idx="97">
                  <c:v>0.3829311597747509</c:v>
                </c:pt>
                <c:pt idx="98">
                  <c:v>0.37788478083317956</c:v>
                </c:pt>
                <c:pt idx="99">
                  <c:v>0.37292320277006324</c:v>
                </c:pt>
                <c:pt idx="100">
                  <c:v>0.36804490645489746</c:v>
                </c:pt>
                <c:pt idx="101">
                  <c:v>0.36324839435569495</c:v>
                </c:pt>
                <c:pt idx="102">
                  <c:v>0.35853219071148829</c:v>
                </c:pt>
                <c:pt idx="103">
                  <c:v>0.35389484166591273</c:v>
                </c:pt>
                <c:pt idx="104">
                  <c:v>0.34933491536436723</c:v>
                </c:pt>
                <c:pt idx="105">
                  <c:v>0.34485100201713809</c:v>
                </c:pt>
                <c:pt idx="106">
                  <c:v>0.34044171393076439</c:v>
                </c:pt>
                <c:pt idx="107">
                  <c:v>0.33610568550981973</c:v>
                </c:pt>
                <c:pt idx="108">
                  <c:v>0.33184157323118835</c:v>
                </c:pt>
                <c:pt idx="109">
                  <c:v>0.32764805559279997</c:v>
                </c:pt>
                <c:pt idx="110">
                  <c:v>0.32352383303871174</c:v>
                </c:pt>
                <c:pt idx="111">
                  <c:v>0.31946762786231275</c:v>
                </c:pt>
                <c:pt idx="112">
                  <c:v>0.31547818408934569</c:v>
                </c:pt>
                <c:pt idx="113">
                  <c:v>0.31155426734235125</c:v>
                </c:pt>
                <c:pt idx="114">
                  <c:v>0.3076946646880559</c:v>
                </c:pt>
                <c:pt idx="115">
                  <c:v>0.30389818446913552</c:v>
                </c:pt>
                <c:pt idx="116">
                  <c:v>0.30016365612172219</c:v>
                </c:pt>
                <c:pt idx="117">
                  <c:v>0.29648992997992885</c:v>
                </c:pt>
                <c:pt idx="118">
                  <c:v>0.29287587706860913</c:v>
                </c:pt>
                <c:pt idx="119">
                  <c:v>0.28932038888549</c:v>
                </c:pt>
                <c:pt idx="120">
                  <c:v>0.28582237717375186</c:v>
                </c:pt>
                <c:pt idx="121">
                  <c:v>0.28238077368606435</c:v>
                </c:pt>
                <c:pt idx="122">
                  <c:v>0.27899452994103291</c:v>
                </c:pt>
                <c:pt idx="123">
                  <c:v>0.27566261697293887</c:v>
                </c:pt>
                <c:pt idx="124">
                  <c:v>0.27238402507561377</c:v>
                </c:pt>
                <c:pt idx="125">
                  <c:v>0.26915776354123033</c:v>
                </c:pt>
                <c:pt idx="126">
                  <c:v>0.26598286039473634</c:v>
                </c:pt>
                <c:pt idx="127">
                  <c:v>0.26285836212462355</c:v>
                </c:pt>
                <c:pt idx="128">
                  <c:v>0.25978333341066306</c:v>
                </c:pt>
                <c:pt idx="129">
                  <c:v>0.25675685684920596</c:v>
                </c:pt>
                <c:pt idx="130">
                  <c:v>0.25377803267660182</c:v>
                </c:pt>
                <c:pt idx="131">
                  <c:v>0.25084597849125134</c:v>
                </c:pt>
                <c:pt idx="132">
                  <c:v>0.24795982897477142</c:v>
                </c:pt>
                <c:pt idx="133">
                  <c:v>0.2451187356127156</c:v>
                </c:pt>
                <c:pt idx="134">
                  <c:v>0.24232186641526049</c:v>
                </c:pt>
                <c:pt idx="135">
                  <c:v>0.23956840563823995</c:v>
                </c:pt>
                <c:pt idx="136">
                  <c:v>0.23685755350487409</c:v>
                </c:pt>
                <c:pt idx="137">
                  <c:v>0.23418852592851971</c:v>
                </c:pt>
                <c:pt idx="138">
                  <c:v>0.23156055423673241</c:v>
                </c:pt>
                <c:pt idx="139">
                  <c:v>0.22897288489691983</c:v>
                </c:pt>
                <c:pt idx="140">
                  <c:v>0.22642477924383048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5F-48AD-9161-769DC633C218}"/>
            </c:ext>
          </c:extLst>
        </c:ser>
        <c:ser>
          <c:idx val="6"/>
          <c:order val="6"/>
          <c:tx>
            <c:v>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'Geometry Efficiency Calibration'!$AD$22:$AD$27</c:f>
                <c:numCache>
                  <c:formatCode>General</c:formatCode>
                  <c:ptCount val="6"/>
                  <c:pt idx="0">
                    <c:v>3.2495645290608097E-2</c:v>
                  </c:pt>
                  <c:pt idx="1">
                    <c:v>2.4927626288110103E-2</c:v>
                  </c:pt>
                  <c:pt idx="2">
                    <c:v>1.9269508806217969E-2</c:v>
                  </c:pt>
                  <c:pt idx="3">
                    <c:v>1.3892532995148234E-2</c:v>
                  </c:pt>
                  <c:pt idx="4">
                    <c:v>1.1238401959656136E-2</c:v>
                  </c:pt>
                  <c:pt idx="5">
                    <c:v>1.0254809210828825E-2</c:v>
                  </c:pt>
                </c:numCache>
              </c:numRef>
            </c:plus>
            <c:minus>
              <c:numRef>
                <c:f>'Geometry Efficiency Calibration'!$AD$22:$AD$27</c:f>
                <c:numCache>
                  <c:formatCode>General</c:formatCode>
                  <c:ptCount val="6"/>
                  <c:pt idx="0">
                    <c:v>3.2495645290608097E-2</c:v>
                  </c:pt>
                  <c:pt idx="1">
                    <c:v>2.4927626288110103E-2</c:v>
                  </c:pt>
                  <c:pt idx="2">
                    <c:v>1.9269508806217969E-2</c:v>
                  </c:pt>
                  <c:pt idx="3">
                    <c:v>1.3892532995148234E-2</c:v>
                  </c:pt>
                  <c:pt idx="4">
                    <c:v>1.1238401959656136E-2</c:v>
                  </c:pt>
                  <c:pt idx="5">
                    <c:v>1.0254809210828825E-2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'Geometry Efficiency Calibration'!$D$4:$D$9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xVal>
          <c:yVal>
            <c:numRef>
              <c:f>'Geometry Efficiency Calibration'!$AL$4:$AL$9</c:f>
              <c:numCache>
                <c:formatCode>General</c:formatCode>
                <c:ptCount val="6"/>
                <c:pt idx="0">
                  <c:v>0.70503217638844595</c:v>
                </c:pt>
                <c:pt idx="1">
                  <c:v>0.54081044333582429</c:v>
                </c:pt>
                <c:pt idx="2">
                  <c:v>0.41773244790339636</c:v>
                </c:pt>
                <c:pt idx="3">
                  <c:v>0.30124563378230274</c:v>
                </c:pt>
                <c:pt idx="4">
                  <c:v>0.24361698849535818</c:v>
                </c:pt>
                <c:pt idx="5">
                  <c:v>0.22208161169107699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A5F-48AD-9161-769DC633C218}"/>
            </c:ext>
          </c:extLst>
        </c:ser>
        <c:ser>
          <c:idx val="7"/>
          <c:order val="7"/>
          <c:tx>
            <c:v>30mm fit</c:v>
          </c:tx>
          <c:spPr>
            <a:ln w="25400" cap="rnd">
              <a:solidFill>
                <a:srgbClr val="FF00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'Geometry Efficiency Calibration'!$BD$6:$BD$146</c:f>
              <c:numCache>
                <c:formatCode>General</c:formatCode>
                <c:ptCount val="1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</c:numCache>
            </c:numRef>
          </c:xVal>
          <c:yVal>
            <c:numRef>
              <c:f>'Geometry Efficiency Calibration'!$BH$6:$BH$146</c:f>
              <c:numCache>
                <c:formatCode>General</c:formatCode>
                <c:ptCount val="141"/>
                <c:pt idx="0">
                  <c:v>1.1215744817453577</c:v>
                </c:pt>
                <c:pt idx="1">
                  <c:v>1.1103592976730896</c:v>
                </c:pt>
                <c:pt idx="2">
                  <c:v>1.0991474770629366</c:v>
                </c:pt>
                <c:pt idx="3">
                  <c:v>1.0879423783358124</c:v>
                </c:pt>
                <c:pt idx="4">
                  <c:v>1.0767473498478435</c:v>
                </c:pt>
                <c:pt idx="5">
                  <c:v>1.0655657249019137</c:v>
                </c:pt>
                <c:pt idx="6">
                  <c:v>1.0544008168116188</c:v>
                </c:pt>
                <c:pt idx="7">
                  <c:v>1.0432559140345965</c:v>
                </c:pt>
                <c:pt idx="8">
                  <c:v>1.0321342753917571</c:v>
                </c:pt>
                <c:pt idx="9">
                  <c:v>1.0210391253884081</c:v>
                </c:pt>
                <c:pt idx="10">
                  <c:v>1.0099736496526452</c:v>
                </c:pt>
                <c:pt idx="11">
                  <c:v>0.99894099050565743</c:v>
                </c:pt>
                <c:pt idx="12">
                  <c:v>0.98794424267780501</c:v>
                </c:pt>
                <c:pt idx="13">
                  <c:v>0.9769864491834479</c:v>
                </c:pt>
                <c:pt idx="14">
                  <c:v>0.96607059736657019</c:v>
                </c:pt>
                <c:pt idx="15">
                  <c:v>0.95519961512824691</c:v>
                </c:pt>
                <c:pt idx="16">
                  <c:v>0.94437636734595176</c:v>
                </c:pt>
                <c:pt idx="17">
                  <c:v>0.93360365249362132</c:v>
                </c:pt>
                <c:pt idx="18">
                  <c:v>0.922884199470278</c:v>
                </c:pt>
                <c:pt idx="19">
                  <c:v>0.91222066464386975</c:v>
                </c:pt>
                <c:pt idx="20">
                  <c:v>0.90161562911584647</c:v>
                </c:pt>
                <c:pt idx="21">
                  <c:v>0.89107159621083398</c:v>
                </c:pt>
                <c:pt idx="22">
                  <c:v>0.88059098919462653</c:v>
                </c:pt>
                <c:pt idx="23">
                  <c:v>0.87017614922259068</c:v>
                </c:pt>
                <c:pt idx="24">
                  <c:v>0.85982933351946211</c:v>
                </c:pt>
                <c:pt idx="25">
                  <c:v>0.84955271379044606</c:v>
                </c:pt>
                <c:pt idx="26">
                  <c:v>0.83934837486249481</c:v>
                </c:pt>
                <c:pt idx="27">
                  <c:v>0.82921831355363151</c:v>
                </c:pt>
                <c:pt idx="28">
                  <c:v>0.81916443776725689</c:v>
                </c:pt>
                <c:pt idx="29">
                  <c:v>0.80918856580747778</c:v>
                </c:pt>
                <c:pt idx="30">
                  <c:v>0.79929242591065952</c:v>
                </c:pt>
                <c:pt idx="31">
                  <c:v>0.78947765598764552</c:v>
                </c:pt>
                <c:pt idx="32">
                  <c:v>0.77974580357036694</c:v>
                </c:pt>
                <c:pt idx="33">
                  <c:v>0.77009832595593697</c:v>
                </c:pt>
                <c:pt idx="34">
                  <c:v>0.76053659054074596</c:v>
                </c:pt>
                <c:pt idx="35">
                  <c:v>0.75106187533657331</c:v>
                </c:pt>
                <c:pt idx="36">
                  <c:v>0.74167536966029435</c:v>
                </c:pt>
                <c:pt idx="37">
                  <c:v>0.73237817498839841</c:v>
                </c:pt>
                <c:pt idx="38">
                  <c:v>0.72317130596722778</c:v>
                </c:pt>
                <c:pt idx="39">
                  <c:v>0.71405569156961846</c:v>
                </c:pt>
                <c:pt idx="40">
                  <c:v>0.70503217638844595</c:v>
                </c:pt>
                <c:pt idx="41">
                  <c:v>0.69610152205747133</c:v>
                </c:pt>
                <c:pt idx="42">
                  <c:v>0.6872644087898282</c:v>
                </c:pt>
                <c:pt idx="43">
                  <c:v>0.67852143702448964</c:v>
                </c:pt>
                <c:pt idx="44">
                  <c:v>0.66987312917110631</c:v>
                </c:pt>
                <c:pt idx="45">
                  <c:v>0.66131993144371026</c:v>
                </c:pt>
                <c:pt idx="46">
                  <c:v>0.6528622157739119</c:v>
                </c:pt>
                <c:pt idx="47">
                  <c:v>0.64450028179441077</c:v>
                </c:pt>
                <c:pt idx="48">
                  <c:v>0.63623435888385249</c:v>
                </c:pt>
                <c:pt idx="49">
                  <c:v>0.62806460826431876</c:v>
                </c:pt>
                <c:pt idx="50">
                  <c:v>0.61999112514301447</c:v>
                </c:pt>
                <c:pt idx="51">
                  <c:v>0.6120139408900217</c:v>
                </c:pt>
                <c:pt idx="52">
                  <c:v>0.60413302524431589</c:v>
                </c:pt>
                <c:pt idx="53">
                  <c:v>0.59634828854057997</c:v>
                </c:pt>
                <c:pt idx="54">
                  <c:v>0.58865958394971107</c:v>
                </c:pt>
                <c:pt idx="55">
                  <c:v>0.58106670972628127</c:v>
                </c:pt>
                <c:pt idx="56">
                  <c:v>0.57356941145658991</c:v>
                </c:pt>
                <c:pt idx="57">
                  <c:v>0.56616738430132396</c:v>
                </c:pt>
                <c:pt idx="58">
                  <c:v>0.5588602752272287</c:v>
                </c:pt>
                <c:pt idx="59">
                  <c:v>0.55164768522256824</c:v>
                </c:pt>
                <c:pt idx="60">
                  <c:v>0.54452917149154323</c:v>
                </c:pt>
                <c:pt idx="61">
                  <c:v>0.53750424962320209</c:v>
                </c:pt>
                <c:pt idx="62">
                  <c:v>0.53057239573075377</c:v>
                </c:pt>
                <c:pt idx="63">
                  <c:v>0.52373304855755665</c:v>
                </c:pt>
                <c:pt idx="64">
                  <c:v>0.5169856115464001</c:v>
                </c:pt>
                <c:pt idx="65">
                  <c:v>0.5103294548690489</c:v>
                </c:pt>
                <c:pt idx="66">
                  <c:v>0.50376391741334126</c:v>
                </c:pt>
                <c:pt idx="67">
                  <c:v>0.49728830872545665</c:v>
                </c:pt>
                <c:pt idx="68">
                  <c:v>0.49090191090526764</c:v>
                </c:pt>
                <c:pt idx="69">
                  <c:v>0.48460398045298475</c:v>
                </c:pt>
                <c:pt idx="70">
                  <c:v>0.47839375006557994</c:v>
                </c:pt>
                <c:pt idx="71">
                  <c:v>0.472270430381734</c:v>
                </c:pt>
                <c:pt idx="72">
                  <c:v>0.46623321167430326</c:v>
                </c:pt>
                <c:pt idx="73">
                  <c:v>0.46028126548953208</c:v>
                </c:pt>
                <c:pt idx="74">
                  <c:v>0.45441374623245545</c:v>
                </c:pt>
                <c:pt idx="75">
                  <c:v>0.44862979269814313</c:v>
                </c:pt>
                <c:pt idx="76">
                  <c:v>0.44292852954861983</c:v>
                </c:pt>
                <c:pt idx="77">
                  <c:v>0.43730906873547848</c:v>
                </c:pt>
                <c:pt idx="78">
                  <c:v>0.43177051086835744</c:v>
                </c:pt>
                <c:pt idx="79">
                  <c:v>0.42631194652960869</c:v>
                </c:pt>
                <c:pt idx="80">
                  <c:v>0.4209324575356127</c:v>
                </c:pt>
                <c:pt idx="81">
                  <c:v>0.41563111814532255</c:v>
                </c:pt>
                <c:pt idx="82">
                  <c:v>0.41040699621672949</c:v>
                </c:pt>
                <c:pt idx="83">
                  <c:v>0.40525915431204179</c:v>
                </c:pt>
                <c:pt idx="84">
                  <c:v>0.40018665075245974</c:v>
                </c:pt>
                <c:pt idx="85">
                  <c:v>0.39518854062350217</c:v>
                </c:pt>
                <c:pt idx="86">
                  <c:v>0.39026387673191848</c:v>
                </c:pt>
                <c:pt idx="87">
                  <c:v>0.38541171051526757</c:v>
                </c:pt>
                <c:pt idx="88">
                  <c:v>0.3806310929053085</c:v>
                </c:pt>
                <c:pt idx="89">
                  <c:v>0.37592107514637974</c:v>
                </c:pt>
                <c:pt idx="90">
                  <c:v>0.37128070956998649</c:v>
                </c:pt>
                <c:pt idx="91">
                  <c:v>0.36670905032683987</c:v>
                </c:pt>
                <c:pt idx="92">
                  <c:v>0.36220515407761578</c:v>
                </c:pt>
                <c:pt idx="93">
                  <c:v>0.35776808064371279</c:v>
                </c:pt>
                <c:pt idx="94">
                  <c:v>0.35339689361930671</c:v>
                </c:pt>
                <c:pt idx="95">
                  <c:v>0.34909066094599189</c:v>
                </c:pt>
                <c:pt idx="96">
                  <c:v>0.34484845545131471</c:v>
                </c:pt>
                <c:pt idx="97">
                  <c:v>0.34066935535248605</c:v>
                </c:pt>
                <c:pt idx="98">
                  <c:v>0.33655244472656259</c:v>
                </c:pt>
                <c:pt idx="99">
                  <c:v>0.33249681394836966</c:v>
                </c:pt>
                <c:pt idx="100">
                  <c:v>0.3285015600974277</c:v>
                </c:pt>
                <c:pt idx="101">
                  <c:v>0.32456578733512154</c:v>
                </c:pt>
                <c:pt idx="102">
                  <c:v>0.32068860725334086</c:v>
                </c:pt>
                <c:pt idx="103">
                  <c:v>0.31686913919578902</c:v>
                </c:pt>
                <c:pt idx="104">
                  <c:v>0.31310651055314082</c:v>
                </c:pt>
                <c:pt idx="105">
                  <c:v>0.30939985703320211</c:v>
                </c:pt>
                <c:pt idx="106">
                  <c:v>0.30574832290719445</c:v>
                </c:pt>
                <c:pt idx="107">
                  <c:v>0.3021510612332674</c:v>
                </c:pt>
                <c:pt idx="108">
                  <c:v>0.29860723405830492</c:v>
                </c:pt>
                <c:pt idx="109">
                  <c:v>0.29511601259906756</c:v>
                </c:pt>
                <c:pt idx="110">
                  <c:v>0.29167657740368019</c:v>
                </c:pt>
                <c:pt idx="111">
                  <c:v>0.2882881184944448</c:v>
                </c:pt>
                <c:pt idx="112">
                  <c:v>0.2849498354929284</c:v>
                </c:pt>
                <c:pt idx="113">
                  <c:v>0.28166093772824369</c:v>
                </c:pt>
                <c:pt idx="114">
                  <c:v>0.27842064432940777</c:v>
                </c:pt>
                <c:pt idx="115">
                  <c:v>0.27522818430263984</c:v>
                </c:pt>
                <c:pt idx="116">
                  <c:v>0.27208279659441947</c:v>
                </c:pt>
                <c:pt idx="117">
                  <c:v>0.26898373014110338</c:v>
                </c:pt>
                <c:pt idx="118">
                  <c:v>0.26593024390586562</c:v>
                </c:pt>
                <c:pt idx="119">
                  <c:v>0.2629216069036977</c:v>
                </c:pt>
                <c:pt idx="120">
                  <c:v>0.25995709821517538</c:v>
                </c:pt>
                <c:pt idx="121">
                  <c:v>0.25703600698967</c:v>
                </c:pt>
                <c:pt idx="122">
                  <c:v>0.25415763243865597</c:v>
                </c:pt>
                <c:pt idx="123">
                  <c:v>0.25132128381973678</c:v>
                </c:pt>
                <c:pt idx="124">
                  <c:v>0.24852628041198652</c:v>
                </c:pt>
                <c:pt idx="125">
                  <c:v>0.2457719514831764</c:v>
                </c:pt>
                <c:pt idx="126">
                  <c:v>0.24305763624943269</c:v>
                </c:pt>
                <c:pt idx="127">
                  <c:v>0.24038268382784458</c:v>
                </c:pt>
                <c:pt idx="128">
                  <c:v>0.23774645318252047</c:v>
                </c:pt>
                <c:pt idx="129">
                  <c:v>0.23514831306456524</c:v>
                </c:pt>
                <c:pt idx="130">
                  <c:v>0.23258764194642784</c:v>
                </c:pt>
                <c:pt idx="131">
                  <c:v>0.23006382795105113</c:v>
                </c:pt>
                <c:pt idx="132">
                  <c:v>0.22757626877622972</c:v>
                </c:pt>
                <c:pt idx="133">
                  <c:v>0.22512437161456439</c:v>
                </c:pt>
                <c:pt idx="134">
                  <c:v>0.22270755306938214</c:v>
                </c:pt>
                <c:pt idx="135">
                  <c:v>0.2203252390669703</c:v>
                </c:pt>
                <c:pt idx="136">
                  <c:v>0.21797686476545666</c:v>
                </c:pt>
                <c:pt idx="137">
                  <c:v>0.21566187446064924</c:v>
                </c:pt>
                <c:pt idx="138">
                  <c:v>0.21337972148913278</c:v>
                </c:pt>
                <c:pt idx="139">
                  <c:v>0.21112986812890483</c:v>
                </c:pt>
                <c:pt idx="140">
                  <c:v>0.20891178549781306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A5F-48AD-9161-769DC633C218}"/>
            </c:ext>
          </c:extLst>
        </c:ser>
        <c:ser>
          <c:idx val="8"/>
          <c:order val="8"/>
          <c:tx>
            <c:v>40mm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'Geometry Efficiency Calibration'!$AD$28:$AD$33</c:f>
                <c:numCache>
                  <c:formatCode>General</c:formatCode>
                  <c:ptCount val="6"/>
                  <c:pt idx="0">
                    <c:v>2.5198045499524344E-2</c:v>
                  </c:pt>
                  <c:pt idx="1">
                    <c:v>2.1498963255092964E-2</c:v>
                  </c:pt>
                  <c:pt idx="2">
                    <c:v>1.7189526801021846E-2</c:v>
                  </c:pt>
                  <c:pt idx="3">
                    <c:v>1.4282828411747996E-2</c:v>
                  </c:pt>
                  <c:pt idx="4">
                    <c:v>1.1590194118245615E-2</c:v>
                  </c:pt>
                  <c:pt idx="5">
                    <c:v>9.4965016845131277E-3</c:v>
                  </c:pt>
                </c:numCache>
              </c:numRef>
            </c:plus>
            <c:minus>
              <c:numRef>
                <c:f>'Geometry Efficiency Calibration'!$AD$28:$AD$33</c:f>
                <c:numCache>
                  <c:formatCode>General</c:formatCode>
                  <c:ptCount val="6"/>
                  <c:pt idx="0">
                    <c:v>2.5198045499524344E-2</c:v>
                  </c:pt>
                  <c:pt idx="1">
                    <c:v>2.1498963255092964E-2</c:v>
                  </c:pt>
                  <c:pt idx="2">
                    <c:v>1.7189526801021846E-2</c:v>
                  </c:pt>
                  <c:pt idx="3">
                    <c:v>1.4282828411747996E-2</c:v>
                  </c:pt>
                  <c:pt idx="4">
                    <c:v>1.1590194118245615E-2</c:v>
                  </c:pt>
                  <c:pt idx="5">
                    <c:v>9.4965016845131277E-3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'Geometry Efficiency Calibration'!$D$4:$D$9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xVal>
          <c:yVal>
            <c:numRef>
              <c:f>'Geometry Efficiency Calibration'!$AM$4:$AM$9</c:f>
              <c:numCache>
                <c:formatCode>General</c:formatCode>
                <c:ptCount val="6"/>
                <c:pt idx="0">
                  <c:v>0.54664707888171793</c:v>
                </c:pt>
                <c:pt idx="1">
                  <c:v>0.4664003212356439</c:v>
                </c:pt>
                <c:pt idx="2">
                  <c:v>0.37284255222895424</c:v>
                </c:pt>
                <c:pt idx="3">
                  <c:v>0.30962420073667818</c:v>
                </c:pt>
                <c:pt idx="4">
                  <c:v>0.25102574755828494</c:v>
                </c:pt>
                <c:pt idx="5">
                  <c:v>0.20577941956933654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A5F-48AD-9161-769DC633C218}"/>
            </c:ext>
          </c:extLst>
        </c:ser>
        <c:ser>
          <c:idx val="9"/>
          <c:order val="9"/>
          <c:tx>
            <c:v>40mm fit</c:v>
          </c:tx>
          <c:spPr>
            <a:ln w="25400" cap="rnd">
              <a:solidFill>
                <a:schemeClr val="tx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'Geometry Efficiency Calibration'!$BD$6:$BD$146</c:f>
              <c:numCache>
                <c:formatCode>General</c:formatCode>
                <c:ptCount val="1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</c:numCache>
            </c:numRef>
          </c:xVal>
          <c:yVal>
            <c:numRef>
              <c:f>'Geometry Efficiency Calibration'!$BI$6:$BI$146</c:f>
              <c:numCache>
                <c:formatCode>General</c:formatCode>
                <c:ptCount val="141"/>
                <c:pt idx="0">
                  <c:v>0.77438181113314841</c:v>
                </c:pt>
                <c:pt idx="1">
                  <c:v>0.76842520419895322</c:v>
                </c:pt>
                <c:pt idx="2">
                  <c:v>0.76246965444730208</c:v>
                </c:pt>
                <c:pt idx="3">
                  <c:v>0.75651621812285075</c:v>
                </c:pt>
                <c:pt idx="4">
                  <c:v>0.75056594959641865</c:v>
                </c:pt>
                <c:pt idx="5">
                  <c:v>0.74461990043291626</c:v>
                </c:pt>
                <c:pt idx="6">
                  <c:v>0.73867911846506373</c:v>
                </c:pt>
                <c:pt idx="7">
                  <c:v>0.73274464687480245</c:v>
                </c:pt>
                <c:pt idx="8">
                  <c:v>0.72681752328426441</c:v>
                </c:pt>
                <c:pt idx="9">
                  <c:v>0.72089877885813747</c:v>
                </c:pt>
                <c:pt idx="10">
                  <c:v>0.71498943741921417</c:v>
                </c:pt>
                <c:pt idx="11">
                  <c:v>0.70909051457887107</c:v>
                </c:pt>
                <c:pt idx="12">
                  <c:v>0.70320301688416598</c:v>
                </c:pt>
                <c:pt idx="13">
                  <c:v>0.6973279409831834</c:v>
                </c:pt>
                <c:pt idx="14">
                  <c:v>0.69146627281019102</c:v>
                </c:pt>
                <c:pt idx="15">
                  <c:v>0.68561898679210154</c:v>
                </c:pt>
                <c:pt idx="16">
                  <c:v>0.6797870450776542</c:v>
                </c:pt>
                <c:pt idx="17">
                  <c:v>0.67397139679066076</c:v>
                </c:pt>
                <c:pt idx="18">
                  <c:v>0.66817297730856196</c:v>
                </c:pt>
                <c:pt idx="19">
                  <c:v>0.66239270756747093</c:v>
                </c:pt>
                <c:pt idx="20">
                  <c:v>0.65663149339477456</c:v>
                </c:pt>
                <c:pt idx="21">
                  <c:v>0.65089022487028536</c:v>
                </c:pt>
                <c:pt idx="22">
                  <c:v>0.64516977571682921</c:v>
                </c:pt>
                <c:pt idx="23">
                  <c:v>0.63947100272107116</c:v>
                </c:pt>
                <c:pt idx="24">
                  <c:v>0.63379474518527301</c:v>
                </c:pt>
                <c:pt idx="25">
                  <c:v>0.62814182441059041</c:v>
                </c:pt>
                <c:pt idx="26">
                  <c:v>0.62251304321240819</c:v>
                </c:pt>
                <c:pt idx="27">
                  <c:v>0.61690918546812568</c:v>
                </c:pt>
                <c:pt idx="28">
                  <c:v>0.61133101569770121</c:v>
                </c:pt>
                <c:pt idx="29">
                  <c:v>0.60577927867716952</c:v>
                </c:pt>
                <c:pt idx="30">
                  <c:v>0.60025469908525753</c:v>
                </c:pt>
                <c:pt idx="31">
                  <c:v>0.59475798118312684</c:v>
                </c:pt>
                <c:pt idx="32">
                  <c:v>0.58928980852718182</c:v>
                </c:pt>
                <c:pt idx="33">
                  <c:v>0.58385084371480056</c:v>
                </c:pt>
                <c:pt idx="34">
                  <c:v>0.57844172816275441</c:v>
                </c:pt>
                <c:pt idx="35">
                  <c:v>0.57306308191800925</c:v>
                </c:pt>
                <c:pt idx="36">
                  <c:v>0.56771550350051714</c:v>
                </c:pt>
                <c:pt idx="37">
                  <c:v>0.5623995697775368</c:v>
                </c:pt>
                <c:pt idx="38">
                  <c:v>0.55711583586895419</c:v>
                </c:pt>
                <c:pt idx="39">
                  <c:v>0.5518648350830011</c:v>
                </c:pt>
                <c:pt idx="40">
                  <c:v>0.54664707888171793</c:v>
                </c:pt>
                <c:pt idx="41">
                  <c:v>0.54146305687544016</c:v>
                </c:pt>
                <c:pt idx="42">
                  <c:v>0.53631323684554388</c:v>
                </c:pt>
                <c:pt idx="43">
                  <c:v>0.53119806479462883</c:v>
                </c:pt>
                <c:pt idx="44">
                  <c:v>0.52611796502328179</c:v>
                </c:pt>
                <c:pt idx="45">
                  <c:v>0.52107334023251661</c:v>
                </c:pt>
                <c:pt idx="46">
                  <c:v>0.51606457165095687</c:v>
                </c:pt>
                <c:pt idx="47">
                  <c:v>0.51109201918579383</c:v>
                </c:pt>
                <c:pt idx="48">
                  <c:v>0.50615602159652806</c:v>
                </c:pt>
                <c:pt idx="49">
                  <c:v>0.50125689669048012</c:v>
                </c:pt>
                <c:pt idx="50">
                  <c:v>0.49639494153903629</c:v>
                </c:pt>
                <c:pt idx="51">
                  <c:v>0.4915704327135858</c:v>
                </c:pt>
                <c:pt idx="52">
                  <c:v>0.48678362654009261</c:v>
                </c:pt>
                <c:pt idx="53">
                  <c:v>0.4820347593712383</c:v>
                </c:pt>
                <c:pt idx="54">
                  <c:v>0.47732404787507526</c:v>
                </c:pt>
                <c:pt idx="55">
                  <c:v>0.47265168933912294</c:v>
                </c:pt>
                <c:pt idx="56">
                  <c:v>0.46801786198885209</c:v>
                </c:pt>
                <c:pt idx="57">
                  <c:v>0.46342272531950335</c:v>
                </c:pt>
                <c:pt idx="58">
                  <c:v>0.45886642044019982</c:v>
                </c:pt>
                <c:pt idx="59">
                  <c:v>0.45434907042932643</c:v>
                </c:pt>
                <c:pt idx="60">
                  <c:v>0.4498707807001644</c:v>
                </c:pt>
                <c:pt idx="61">
                  <c:v>0.44543163937578684</c:v>
                </c:pt>
                <c:pt idx="62">
                  <c:v>0.4410317176722402</c:v>
                </c:pt>
                <c:pt idx="63">
                  <c:v>0.43667107028906427</c:v>
                </c:pt>
                <c:pt idx="64">
                  <c:v>0.43234973580621977</c:v>
                </c:pt>
                <c:pt idx="65">
                  <c:v>0.42806773708652368</c:v>
                </c:pt>
                <c:pt idx="66">
                  <c:v>0.42382508168271782</c:v>
                </c:pt>
                <c:pt idx="67">
                  <c:v>0.41962176224832404</c:v>
                </c:pt>
                <c:pt idx="68">
                  <c:v>0.41545775695146903</c:v>
                </c:pt>
                <c:pt idx="69">
                  <c:v>0.41133302989089326</c:v>
                </c:pt>
                <c:pt idx="70">
                  <c:v>0.40724753151338633</c:v>
                </c:pt>
                <c:pt idx="71">
                  <c:v>0.40320119903192625</c:v>
                </c:pt>
                <c:pt idx="72">
                  <c:v>0.39919395684383002</c:v>
                </c:pt>
                <c:pt idx="73">
                  <c:v>0.39522571694825537</c:v>
                </c:pt>
                <c:pt idx="74">
                  <c:v>0.39129637936242667</c:v>
                </c:pt>
                <c:pt idx="75">
                  <c:v>0.38740583253598904</c:v>
                </c:pt>
                <c:pt idx="76">
                  <c:v>0.38355395376292883</c:v>
                </c:pt>
                <c:pt idx="77">
                  <c:v>0.37974060959052897</c:v>
                </c:pt>
                <c:pt idx="78">
                  <c:v>0.375965656224863</c:v>
                </c:pt>
                <c:pt idx="79">
                  <c:v>0.37222893993235578</c:v>
                </c:pt>
                <c:pt idx="80">
                  <c:v>0.36853029743698024</c:v>
                </c:pt>
                <c:pt idx="81">
                  <c:v>0.36486955631268042</c:v>
                </c:pt>
                <c:pt idx="82">
                  <c:v>0.3612465353706466</c:v>
                </c:pt>
                <c:pt idx="83">
                  <c:v>0.35766104504109575</c:v>
                </c:pt>
                <c:pt idx="84">
                  <c:v>0.35411288774923833</c:v>
                </c:pt>
                <c:pt idx="85">
                  <c:v>0.35060185828514118</c:v>
                </c:pt>
                <c:pt idx="86">
                  <c:v>0.34712774416722358</c:v>
                </c:pt>
                <c:pt idx="87">
                  <c:v>0.34369032599914617</c:v>
                </c:pt>
                <c:pt idx="88">
                  <c:v>0.340289377819883</c:v>
                </c:pt>
                <c:pt idx="89">
                  <c:v>0.33692466744678518</c:v>
                </c:pt>
                <c:pt idx="90">
                  <c:v>0.33359595681147325</c:v>
                </c:pt>
                <c:pt idx="91">
                  <c:v>0.33030300228841292</c:v>
                </c:pt>
                <c:pt idx="92">
                  <c:v>0.32704555501605453</c:v>
                </c:pt>
                <c:pt idx="93">
                  <c:v>0.32382336121043248</c:v>
                </c:pt>
                <c:pt idx="94">
                  <c:v>0.32063616247114468</c:v>
                </c:pt>
                <c:pt idx="95">
                  <c:v>0.31748369607964727</c:v>
                </c:pt>
                <c:pt idx="96">
                  <c:v>0.31436569528981934</c:v>
                </c:pt>
                <c:pt idx="97">
                  <c:v>0.3112818896107673</c:v>
                </c:pt>
                <c:pt idx="98">
                  <c:v>0.30823200508185544</c:v>
                </c:pt>
                <c:pt idx="99">
                  <c:v>0.30521576453996507</c:v>
                </c:pt>
                <c:pt idx="100">
                  <c:v>0.30223288787899366</c:v>
                </c:pt>
                <c:pt idx="101">
                  <c:v>0.29928309230162564</c:v>
                </c:pt>
                <c:pt idx="102">
                  <c:v>0.29636609256341168</c:v>
                </c:pt>
                <c:pt idx="103">
                  <c:v>0.29348160120920908</c:v>
                </c:pt>
                <c:pt idx="104">
                  <c:v>0.29062932880204506</c:v>
                </c:pt>
                <c:pt idx="105">
                  <c:v>0.2878089841444732</c:v>
                </c:pt>
                <c:pt idx="106">
                  <c:v>0.28502027449250433</c:v>
                </c:pt>
                <c:pt idx="107">
                  <c:v>0.28226290576219953</c:v>
                </c:pt>
                <c:pt idx="108">
                  <c:v>0.27953658272902243</c:v>
                </c:pt>
                <c:pt idx="109">
                  <c:v>0.27684100922005223</c:v>
                </c:pt>
                <c:pt idx="110">
                  <c:v>0.27417588829916723</c:v>
                </c:pt>
                <c:pt idx="111">
                  <c:v>0.27154092244531358</c:v>
                </c:pt>
                <c:pt idx="112">
                  <c:v>0.26893581372397901</c:v>
                </c:pt>
                <c:pt idx="113">
                  <c:v>0.26636026395199369</c:v>
                </c:pt>
                <c:pt idx="114">
                  <c:v>0.26381397485578939</c:v>
                </c:pt>
                <c:pt idx="115">
                  <c:v>0.26129664822324544</c:v>
                </c:pt>
                <c:pt idx="116">
                  <c:v>0.2588079860492557</c:v>
                </c:pt>
                <c:pt idx="117">
                  <c:v>0.25634769067515517</c:v>
                </c:pt>
                <c:pt idx="118">
                  <c:v>0.25391546492214334</c:v>
                </c:pt>
                <c:pt idx="119">
                  <c:v>0.25151101221884287</c:v>
                </c:pt>
                <c:pt idx="120">
                  <c:v>0.24913403672313891</c:v>
                </c:pt>
                <c:pt idx="121">
                  <c:v>0.24678424343843727</c:v>
                </c:pt>
                <c:pt idx="122">
                  <c:v>0.24446133832448605</c:v>
                </c:pt>
                <c:pt idx="123">
                  <c:v>0.24216502840290358</c:v>
                </c:pt>
                <c:pt idx="124">
                  <c:v>0.23989502185755512</c:v>
                </c:pt>
                <c:pt idx="125">
                  <c:v>0.23765102812991998</c:v>
                </c:pt>
                <c:pt idx="126">
                  <c:v>0.23543275800959335</c:v>
                </c:pt>
                <c:pt idx="127">
                  <c:v>0.23323992372005981</c:v>
                </c:pt>
                <c:pt idx="128">
                  <c:v>0.23107223899988277</c:v>
                </c:pt>
                <c:pt idx="129">
                  <c:v>0.22892941917944493</c:v>
                </c:pt>
                <c:pt idx="130">
                  <c:v>0.22681118125337887</c:v>
                </c:pt>
                <c:pt idx="131">
                  <c:v>0.2247172439488232</c:v>
                </c:pt>
                <c:pt idx="132">
                  <c:v>0.22264732778963708</c:v>
                </c:pt>
                <c:pt idx="133">
                  <c:v>0.2206011551567067</c:v>
                </c:pt>
                <c:pt idx="134">
                  <c:v>0.21857845034447115</c:v>
                </c:pt>
                <c:pt idx="135">
                  <c:v>0.21657893961379923</c:v>
                </c:pt>
                <c:pt idx="136">
                  <c:v>0.21460235124133845</c:v>
                </c:pt>
                <c:pt idx="137">
                  <c:v>0.21264841556546396</c:v>
                </c:pt>
                <c:pt idx="138">
                  <c:v>0.21071686502894435</c:v>
                </c:pt>
                <c:pt idx="139">
                  <c:v>0.20880743421844611</c:v>
                </c:pt>
                <c:pt idx="140">
                  <c:v>0.20691985990099124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A5F-48AD-9161-769DC633C218}"/>
            </c:ext>
          </c:extLst>
        </c:ser>
        <c:ser>
          <c:idx val="10"/>
          <c:order val="10"/>
          <c:tx>
            <c:v>50mm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'Geometry Efficiency Calibration'!$AD$34:$AD$39</c:f>
                <c:numCache>
                  <c:formatCode>General</c:formatCode>
                  <c:ptCount val="6"/>
                  <c:pt idx="0">
                    <c:v>2.0382322056756851E-2</c:v>
                  </c:pt>
                  <c:pt idx="1">
                    <c:v>1.7876927790194765E-2</c:v>
                  </c:pt>
                  <c:pt idx="2">
                    <c:v>1.4699303413790029E-2</c:v>
                  </c:pt>
                  <c:pt idx="3">
                    <c:v>1.2596528948276689E-2</c:v>
                  </c:pt>
                  <c:pt idx="4">
                    <c:v>9.8816866403039025E-3</c:v>
                  </c:pt>
                  <c:pt idx="5">
                    <c:v>9.0621387447556625E-3</c:v>
                  </c:pt>
                </c:numCache>
              </c:numRef>
            </c:plus>
            <c:minus>
              <c:numRef>
                <c:f>'Geometry Efficiency Calibration'!$AD$34:$AD$39</c:f>
                <c:numCache>
                  <c:formatCode>General</c:formatCode>
                  <c:ptCount val="6"/>
                  <c:pt idx="0">
                    <c:v>2.0382322056756851E-2</c:v>
                  </c:pt>
                  <c:pt idx="1">
                    <c:v>1.7876927790194765E-2</c:v>
                  </c:pt>
                  <c:pt idx="2">
                    <c:v>1.4699303413790029E-2</c:v>
                  </c:pt>
                  <c:pt idx="3">
                    <c:v>1.2596528948276689E-2</c:v>
                  </c:pt>
                  <c:pt idx="4">
                    <c:v>9.8816866403039025E-3</c:v>
                  </c:pt>
                  <c:pt idx="5">
                    <c:v>9.0621387447556625E-3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'Geometry Efficiency Calibration'!$D$4:$D$9</c:f>
              <c:numCache>
                <c:formatCode>General</c:formatCode>
                <c:ptCount val="6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</c:numCache>
            </c:numRef>
          </c:xVal>
          <c:yVal>
            <c:numRef>
              <c:f>'Geometry Efficiency Calibration'!$AN$4:$AN$9</c:f>
              <c:numCache>
                <c:formatCode>General</c:formatCode>
                <c:ptCount val="6"/>
                <c:pt idx="0">
                  <c:v>0.44214187761880441</c:v>
                </c:pt>
                <c:pt idx="1">
                  <c:v>0.38768446031241105</c:v>
                </c:pt>
                <c:pt idx="2">
                  <c:v>0.31873458907078123</c:v>
                </c:pt>
                <c:pt idx="3">
                  <c:v>0.27308617929783618</c:v>
                </c:pt>
                <c:pt idx="4">
                  <c:v>0.21406417471406591</c:v>
                </c:pt>
                <c:pt idx="5">
                  <c:v>0.19629558389692112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A5F-48AD-9161-769DC633C218}"/>
            </c:ext>
          </c:extLst>
        </c:ser>
        <c:ser>
          <c:idx val="11"/>
          <c:order val="11"/>
          <c:tx>
            <c:v>50mm fit</c:v>
          </c:tx>
          <c:spPr>
            <a:ln w="25400" cap="rnd">
              <a:solidFill>
                <a:srgbClr val="FFFF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'Geometry Efficiency Calibration'!$BD$6:$BD$146</c:f>
              <c:numCache>
                <c:formatCode>General</c:formatCode>
                <c:ptCount val="1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</c:numCache>
            </c:numRef>
          </c:xVal>
          <c:yVal>
            <c:numRef>
              <c:f>'Geometry Efficiency Calibration'!$BJ$6:$BJ$146</c:f>
              <c:numCache>
                <c:formatCode>General</c:formatCode>
                <c:ptCount val="141"/>
                <c:pt idx="0">
                  <c:v>0.59560774889279466</c:v>
                </c:pt>
                <c:pt idx="1">
                  <c:v>0.59163711880208669</c:v>
                </c:pt>
                <c:pt idx="2">
                  <c:v>0.58766701805226418</c:v>
                </c:pt>
                <c:pt idx="3">
                  <c:v>0.58369797563144332</c:v>
                </c:pt>
                <c:pt idx="4">
                  <c:v>0.57973051982274859</c:v>
                </c:pt>
                <c:pt idx="5">
                  <c:v>0.57576517785318726</c:v>
                </c:pt>
                <c:pt idx="6">
                  <c:v>0.57180247554416253</c:v>
                </c:pt>
                <c:pt idx="7">
                  <c:v>0.56784293696416366</c:v>
                </c:pt>
                <c:pt idx="8">
                  <c:v>0.56388708408416988</c:v>
                </c:pt>
                <c:pt idx="9">
                  <c:v>0.55993543643628962</c:v>
                </c:pt>
                <c:pt idx="10">
                  <c:v>0.55598851077615363</c:v>
                </c:pt>
                <c:pt idx="11">
                  <c:v>0.55204682074956912</c:v>
                </c:pt>
                <c:pt idx="12">
                  <c:v>0.54811087656392699</c:v>
                </c:pt>
                <c:pt idx="13">
                  <c:v>0.54418118466484744</c:v>
                </c:pt>
                <c:pt idx="14">
                  <c:v>0.54025824741852557</c:v>
                </c:pt>
                <c:pt idx="15">
                  <c:v>0.5363425628002364</c:v>
                </c:pt>
                <c:pt idx="16">
                  <c:v>0.53243462408942688</c:v>
                </c:pt>
                <c:pt idx="17">
                  <c:v>0.52853491957181853</c:v>
                </c:pt>
                <c:pt idx="18">
                  <c:v>0.52464393224891581</c:v>
                </c:pt>
                <c:pt idx="19">
                  <c:v>0.52076213955530315</c:v>
                </c:pt>
                <c:pt idx="20">
                  <c:v>0.51689001308408611</c:v>
                </c:pt>
                <c:pt idx="21">
                  <c:v>0.5130280183208189</c:v>
                </c:pt>
                <c:pt idx="22">
                  <c:v>0.50917661438623174</c:v>
                </c:pt>
                <c:pt idx="23">
                  <c:v>0.50533625378805413</c:v>
                </c:pt>
                <c:pt idx="24">
                  <c:v>0.5015073821822047</c:v>
                </c:pt>
                <c:pt idx="25">
                  <c:v>0.4976904381435957</c:v>
                </c:pt>
                <c:pt idx="26">
                  <c:v>0.49388585294677878</c:v>
                </c:pt>
                <c:pt idx="27">
                  <c:v>0.49009405035663062</c:v>
                </c:pt>
                <c:pt idx="28">
                  <c:v>0.48631544642925834</c:v>
                </c:pt>
                <c:pt idx="29">
                  <c:v>0.48255044932327645</c:v>
                </c:pt>
                <c:pt idx="30">
                  <c:v>0.47879945912158584</c:v>
                </c:pt>
                <c:pt idx="31">
                  <c:v>0.47506286766376016</c:v>
                </c:pt>
                <c:pt idx="32">
                  <c:v>0.4713410583891231</c:v>
                </c:pt>
                <c:pt idx="33">
                  <c:v>0.46763440619057378</c:v>
                </c:pt>
                <c:pt idx="34">
                  <c:v>0.46394327727919848</c:v>
                </c:pt>
                <c:pt idx="35">
                  <c:v>0.46026802905968084</c:v>
                </c:pt>
                <c:pt idx="36">
                  <c:v>0.45660901001650173</c:v>
                </c:pt>
                <c:pt idx="37">
                  <c:v>0.45296655961090121</c:v>
                </c:pt>
                <c:pt idx="38">
                  <c:v>0.44934100818854816</c:v>
                </c:pt>
                <c:pt idx="39">
                  <c:v>0.44573267689784918</c:v>
                </c:pt>
                <c:pt idx="40">
                  <c:v>0.44214187761880441</c:v>
                </c:pt>
                <c:pt idx="41">
                  <c:v>0.43856891290230027</c:v>
                </c:pt>
                <c:pt idx="42">
                  <c:v>0.43501407591971297</c:v>
                </c:pt>
                <c:pt idx="43">
                  <c:v>0.43147765042267583</c:v>
                </c:pt>
                <c:pt idx="44">
                  <c:v>0.42795991071284967</c:v>
                </c:pt>
                <c:pt idx="45">
                  <c:v>0.42446112162151939</c:v>
                </c:pt>
                <c:pt idx="46">
                  <c:v>0.4209815384988248</c:v>
                </c:pt>
                <c:pt idx="47">
                  <c:v>0.41752140721242043</c:v>
                </c:pt>
                <c:pt idx="48">
                  <c:v>0.4140809641553454</c:v>
                </c:pt>
                <c:pt idx="49">
                  <c:v>0.41066043626287441</c:v>
                </c:pt>
                <c:pt idx="50">
                  <c:v>0.40726004103810848</c:v>
                </c:pt>
                <c:pt idx="51">
                  <c:v>0.40387998658605345</c:v>
                </c:pt>
                <c:pt idx="52">
                  <c:v>0.40052047165592808</c:v>
                </c:pt>
                <c:pt idx="53">
                  <c:v>0.3971816856914327</c:v>
                </c:pt>
                <c:pt idx="54">
                  <c:v>0.39386380888870265</c:v>
                </c:pt>
                <c:pt idx="55">
                  <c:v>0.39056701226166757</c:v>
                </c:pt>
                <c:pt idx="56">
                  <c:v>0.387291457714526</c:v>
                </c:pt>
                <c:pt idx="57">
                  <c:v>0.38403729812104898</c:v>
                </c:pt>
                <c:pt idx="58">
                  <c:v>0.38080467741041374</c:v>
                </c:pt>
                <c:pt idx="59">
                  <c:v>0.37759373065927193</c:v>
                </c:pt>
                <c:pt idx="60">
                  <c:v>0.37440458418975453</c:v>
                </c:pt>
                <c:pt idx="61">
                  <c:v>0.37123735567311</c:v>
                </c:pt>
                <c:pt idx="62">
                  <c:v>0.36809215423867758</c:v>
                </c:pt>
                <c:pt idx="63">
                  <c:v>0.36496908058789418</c:v>
                </c:pt>
                <c:pt idx="64">
                  <c:v>0.36186822711303601</c:v>
                </c:pt>
                <c:pt idx="65">
                  <c:v>0.3587896780203968</c:v>
                </c:pt>
                <c:pt idx="66">
                  <c:v>0.35573350945760884</c:v>
                </c:pt>
                <c:pt idx="67">
                  <c:v>0.35269978964481319</c:v>
                </c:pt>
                <c:pt idx="68">
                  <c:v>0.34968857900939121</c:v>
                </c:pt>
                <c:pt idx="69">
                  <c:v>0.34669993032397312</c:v>
                </c:pt>
                <c:pt idx="70">
                  <c:v>0.3437338888474421</c:v>
                </c:pt>
                <c:pt idx="71">
                  <c:v>0.34079049246866161</c:v>
                </c:pt>
                <c:pt idx="72">
                  <c:v>0.33786977185265332</c:v>
                </c:pt>
                <c:pt idx="73">
                  <c:v>0.33497175058896356</c:v>
                </c:pt>
                <c:pt idx="74">
                  <c:v>0.33209644534196081</c:v>
                </c:pt>
                <c:pt idx="75">
                  <c:v>0.32924386600281197</c:v>
                </c:pt>
                <c:pt idx="76">
                  <c:v>0.32641401584289387</c:v>
                </c:pt>
                <c:pt idx="77">
                  <c:v>0.32360689166840251</c:v>
                </c:pt>
                <c:pt idx="78">
                  <c:v>0.320822483975929</c:v>
                </c:pt>
                <c:pt idx="79">
                  <c:v>0.31806077710878106</c:v>
                </c:pt>
                <c:pt idx="80">
                  <c:v>0.31532174941383256</c:v>
                </c:pt>
                <c:pt idx="81">
                  <c:v>0.31260537339869604</c:v>
                </c:pt>
                <c:pt idx="82">
                  <c:v>0.30991161588901678</c:v>
                </c:pt>
                <c:pt idx="83">
                  <c:v>0.30724043818569646</c:v>
                </c:pt>
                <c:pt idx="84">
                  <c:v>0.30459179622186394</c:v>
                </c:pt>
                <c:pt idx="85">
                  <c:v>0.30196564071941567</c:v>
                </c:pt>
                <c:pt idx="86">
                  <c:v>0.29936191734495821</c:v>
                </c:pt>
                <c:pt idx="87">
                  <c:v>0.29678056686499249</c:v>
                </c:pt>
                <c:pt idx="88">
                  <c:v>0.29422152530018802</c:v>
                </c:pt>
                <c:pt idx="89">
                  <c:v>0.29168472407860213</c:v>
                </c:pt>
                <c:pt idx="90">
                  <c:v>0.28917009018770778</c:v>
                </c:pt>
                <c:pt idx="91">
                  <c:v>0.2866775463251004</c:v>
                </c:pt>
                <c:pt idx="92">
                  <c:v>0.28420701104776358</c:v>
                </c:pt>
                <c:pt idx="93">
                  <c:v>0.28175839891977766</c:v>
                </c:pt>
                <c:pt idx="94">
                  <c:v>0.2793316206583667</c:v>
                </c:pt>
                <c:pt idx="95">
                  <c:v>0.27692658327818231</c:v>
                </c:pt>
                <c:pt idx="96">
                  <c:v>0.27454319023373303</c:v>
                </c:pt>
                <c:pt idx="97">
                  <c:v>0.27218134155987289</c:v>
                </c:pt>
                <c:pt idx="98">
                  <c:v>0.26984093401027087</c:v>
                </c:pt>
                <c:pt idx="99">
                  <c:v>0.26752186119378762</c:v>
                </c:pt>
                <c:pt idx="100">
                  <c:v>0.26522401370869447</c:v>
                </c:pt>
                <c:pt idx="101">
                  <c:v>0.26294727927467371</c:v>
                </c:pt>
                <c:pt idx="102">
                  <c:v>0.26069154286254603</c:v>
                </c:pt>
                <c:pt idx="103">
                  <c:v>0.25845668682167777</c:v>
                </c:pt>
                <c:pt idx="104">
                  <c:v>0.25624259100502372</c:v>
                </c:pt>
                <c:pt idx="105">
                  <c:v>0.25404913289176811</c:v>
                </c:pt>
                <c:pt idx="106">
                  <c:v>0.25187618770753256</c:v>
                </c:pt>
                <c:pt idx="107">
                  <c:v>0.24972362854212224</c:v>
                </c:pt>
                <c:pt idx="108">
                  <c:v>0.24759132646478746</c:v>
                </c:pt>
                <c:pt idx="109">
                  <c:v>0.24547915063698342</c:v>
                </c:pt>
                <c:pt idx="110">
                  <c:v>0.24338696842261326</c:v>
                </c:pt>
                <c:pt idx="111">
                  <c:v>0.24131464549574469</c:v>
                </c:pt>
                <c:pt idx="112">
                  <c:v>0.23926204594579475</c:v>
                </c:pt>
                <c:pt idx="113">
                  <c:v>0.23722903238018053</c:v>
                </c:pt>
                <c:pt idx="114">
                  <c:v>0.23521546602443566</c:v>
                </c:pt>
                <c:pt idx="115">
                  <c:v>0.23322120681980008</c:v>
                </c:pt>
                <c:pt idx="116">
                  <c:v>0.23124611351828822</c:v>
                </c:pt>
                <c:pt idx="117">
                  <c:v>0.22929004377524809</c:v>
                </c:pt>
                <c:pt idx="118">
                  <c:v>0.22735285423942447</c:v>
                </c:pt>
                <c:pt idx="119">
                  <c:v>0.22543440064054179</c:v>
                </c:pt>
                <c:pt idx="120">
                  <c:v>0.22353453787442673</c:v>
                </c:pt>
                <c:pt idx="121">
                  <c:v>0.22165312008569057</c:v>
                </c:pt>
                <c:pt idx="122">
                  <c:v>0.21979000074799493</c:v>
                </c:pt>
                <c:pt idx="123">
                  <c:v>0.21794503274192539</c:v>
                </c:pt>
                <c:pt idx="124">
                  <c:v>0.2161180684305011</c:v>
                </c:pt>
                <c:pt idx="125">
                  <c:v>0.21430895973234868</c:v>
                </c:pt>
                <c:pt idx="126">
                  <c:v>0.21251755819256904</c:v>
                </c:pt>
                <c:pt idx="127">
                  <c:v>0.21074371505133213</c:v>
                </c:pt>
                <c:pt idx="128">
                  <c:v>0.20898728131022881</c:v>
                </c:pt>
                <c:pt idx="129">
                  <c:v>0.20724810779641761</c:v>
                </c:pt>
                <c:pt idx="130">
                  <c:v>0.20552604522459791</c:v>
                </c:pt>
                <c:pt idx="131">
                  <c:v>0.2038209442568491</c:v>
                </c:pt>
                <c:pt idx="132">
                  <c:v>0.20213265556037013</c:v>
                </c:pt>
                <c:pt idx="133">
                  <c:v>0.20046102986315853</c:v>
                </c:pt>
                <c:pt idx="134">
                  <c:v>0.19880591800766681</c:v>
                </c:pt>
                <c:pt idx="135">
                  <c:v>0.19716717100247488</c:v>
                </c:pt>
                <c:pt idx="136">
                  <c:v>0.19554464007201805</c:v>
                </c:pt>
                <c:pt idx="137">
                  <c:v>0.19393817670441049</c:v>
                </c:pt>
                <c:pt idx="138">
                  <c:v>0.19234763269740329</c:v>
                </c:pt>
                <c:pt idx="139">
                  <c:v>0.19077286020251857</c:v>
                </c:pt>
                <c:pt idx="140">
                  <c:v>0.18921371176739815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A5F-48AD-9161-769DC633C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555624"/>
        <c:axId val="434555952"/>
      </c:scatterChart>
      <c:valAx>
        <c:axId val="434555624"/>
        <c:scaling>
          <c:orientation val="minMax"/>
          <c:max val="7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z/mm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55952"/>
        <c:crosses val="autoZero"/>
        <c:crossBetween val="midCat"/>
      </c:valAx>
      <c:valAx>
        <c:axId val="434555952"/>
        <c:scaling>
          <c:orientation val="minMax"/>
          <c:max val="1.1500000000000001"/>
          <c:min val="0.15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</a:t>
                </a:r>
                <a:r>
                  <a:rPr lang="en-GB" baseline="0"/>
                  <a:t> of Efficiency vs Efficiency @ 1x1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555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  <a:r>
              <a:rPr lang="en-US" baseline="0"/>
              <a:t> of Efficiency aganst distance from the detector in r direction for different z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15mm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('Geometry Efficiency Calibration'!$AD$4,'Geometry Efficiency Calibration'!$AD$10,'Geometry Efficiency Calibration'!$AD$16,'Geometry Efficiency Calibration'!$AD$22,'Geometry Efficiency Calibration'!$AD$28,'Geometry Efficiency Calibration'!$AD$34)</c:f>
                <c:numCache>
                  <c:formatCode>General</c:formatCode>
                  <c:ptCount val="6"/>
                  <c:pt idx="0">
                    <c:v>4.608634331179403E-2</c:v>
                  </c:pt>
                  <c:pt idx="1">
                    <c:v>4.5793730789967409E-2</c:v>
                  </c:pt>
                  <c:pt idx="2">
                    <c:v>3.9886502805344171E-2</c:v>
                  </c:pt>
                  <c:pt idx="3">
                    <c:v>3.2495645290608097E-2</c:v>
                  </c:pt>
                  <c:pt idx="4">
                    <c:v>2.5198045499524344E-2</c:v>
                  </c:pt>
                  <c:pt idx="5">
                    <c:v>2.0382322056756851E-2</c:v>
                  </c:pt>
                </c:numCache>
              </c:numRef>
            </c:plus>
            <c:minus>
              <c:numRef>
                <c:f>('Geometry Efficiency Calibration'!$AD$4,'Geometry Efficiency Calibration'!$AD$10,'Geometry Efficiency Calibration'!$AD$16,'Geometry Efficiency Calibration'!$AD$22,'Geometry Efficiency Calibration'!$AD$28,'Geometry Efficiency Calibration'!$AD$34)</c:f>
                <c:numCache>
                  <c:formatCode>General</c:formatCode>
                  <c:ptCount val="6"/>
                  <c:pt idx="0">
                    <c:v>4.608634331179403E-2</c:v>
                  </c:pt>
                  <c:pt idx="1">
                    <c:v>4.5793730789967409E-2</c:v>
                  </c:pt>
                  <c:pt idx="2">
                    <c:v>3.9886502805344171E-2</c:v>
                  </c:pt>
                  <c:pt idx="3">
                    <c:v>3.2495645290608097E-2</c:v>
                  </c:pt>
                  <c:pt idx="4">
                    <c:v>2.5198045499524344E-2</c:v>
                  </c:pt>
                  <c:pt idx="5">
                    <c:v>2.0382322056756851E-2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'Geometry Efficiency Calibration'!$AI$3:$AN$3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'Geometry Efficiency Calibration'!$AI$4:$AN$4</c:f>
              <c:numCache>
                <c:formatCode>General</c:formatCode>
                <c:ptCount val="6"/>
                <c:pt idx="0">
                  <c:v>1</c:v>
                </c:pt>
                <c:pt idx="1">
                  <c:v>0.99365078195142897</c:v>
                </c:pt>
                <c:pt idx="2">
                  <c:v>0.86545743622190296</c:v>
                </c:pt>
                <c:pt idx="3">
                  <c:v>0.70503217638844595</c:v>
                </c:pt>
                <c:pt idx="4">
                  <c:v>0.54664707888171793</c:v>
                </c:pt>
                <c:pt idx="5">
                  <c:v>0.44214187761880441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2-4E28-9F36-35EBA966BCA0}"/>
            </c:ext>
          </c:extLst>
        </c:ser>
        <c:ser>
          <c:idx val="1"/>
          <c:order val="1"/>
          <c:tx>
            <c:v>15mm fit</c:v>
          </c:tx>
          <c:spPr>
            <a:ln w="25400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'Geometry Efficiency Calibration'!$BN$6:$BN$146</c:f>
              <c:numCache>
                <c:formatCode>General</c:formatCode>
                <c:ptCount val="1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</c:numCache>
            </c:numRef>
          </c:xVal>
          <c:yVal>
            <c:numRef>
              <c:f>'Geometry Efficiency Calibration'!$BO$6:$BO$146</c:f>
              <c:numCache>
                <c:formatCode>General</c:formatCode>
                <c:ptCount val="141"/>
                <c:pt idx="0">
                  <c:v>1</c:v>
                </c:pt>
                <c:pt idx="1">
                  <c:v>1.0007766983002657</c:v>
                </c:pt>
                <c:pt idx="2">
                  <c:v>1.0013318527732482</c:v>
                </c:pt>
                <c:pt idx="3">
                  <c:v>1.0016650935283906</c:v>
                </c:pt>
                <c:pt idx="4">
                  <c:v>1.0017761984668909</c:v>
                </c:pt>
                <c:pt idx="5">
                  <c:v>1.0016650935283906</c:v>
                </c:pt>
                <c:pt idx="6">
                  <c:v>1.0013318527732482</c:v>
                </c:pt>
                <c:pt idx="7">
                  <c:v>1.0007766983002657</c:v>
                </c:pt>
                <c:pt idx="8">
                  <c:v>1</c:v>
                </c:pt>
                <c:pt idx="9">
                  <c:v>0.99900227514403861</c:v>
                </c:pt>
                <c:pt idx="10">
                  <c:v>0.99778418781088229</c:v>
                </c:pt>
                <c:pt idx="11">
                  <c:v>0.99634654814932322</c:v>
                </c:pt>
                <c:pt idx="12">
                  <c:v>0.99469031148046461</c:v>
                </c:pt>
                <c:pt idx="13">
                  <c:v>0.99281657723977446</c:v>
                </c:pt>
                <c:pt idx="14">
                  <c:v>0.99072658776081313</c:v>
                </c:pt>
                <c:pt idx="15">
                  <c:v>0.98842172690251917</c:v>
                </c:pt>
                <c:pt idx="16">
                  <c:v>0.98590351852217595</c:v>
                </c:pt>
                <c:pt idx="17">
                  <c:v>0.98317362479641857</c:v>
                </c:pt>
                <c:pt idx="18">
                  <c:v>0.98023384439287031</c:v>
                </c:pt>
                <c:pt idx="19">
                  <c:v>0.97708611049522343</c:v>
                </c:pt>
                <c:pt idx="20">
                  <c:v>0.97373248868480133</c:v>
                </c:pt>
                <c:pt idx="21">
                  <c:v>0.97017517468184944</c:v>
                </c:pt>
                <c:pt idx="22">
                  <c:v>0.96641649195001389</c:v>
                </c:pt>
                <c:pt idx="23">
                  <c:v>0.96245888916766531</c:v>
                </c:pt>
                <c:pt idx="24">
                  <c:v>0.95830493756992008</c:v>
                </c:pt>
                <c:pt idx="25">
                  <c:v>0.95395732816539569</c:v>
                </c:pt>
                <c:pt idx="26">
                  <c:v>0.94941886883191895</c:v>
                </c:pt>
                <c:pt idx="27">
                  <c:v>0.94469248129557126</c:v>
                </c:pt>
                <c:pt idx="28">
                  <c:v>0.93978119799762028</c:v>
                </c:pt>
                <c:pt idx="29">
                  <c:v>0.93468815885403822</c:v>
                </c:pt>
                <c:pt idx="30">
                  <c:v>0.92941660791245118</c:v>
                </c:pt>
                <c:pt idx="31">
                  <c:v>0.92396988991149887</c:v>
                </c:pt>
                <c:pt idx="32">
                  <c:v>0.91835144674770819</c:v>
                </c:pt>
                <c:pt idx="33">
                  <c:v>0.91256481385509958</c:v>
                </c:pt>
                <c:pt idx="34">
                  <c:v>0.90661361650285033</c:v>
                </c:pt>
                <c:pt idx="35">
                  <c:v>0.9005015660164345</c:v>
                </c:pt>
                <c:pt idx="36">
                  <c:v>0.89423245592774347</c:v>
                </c:pt>
                <c:pt idx="37">
                  <c:v>0.88781015805976637</c:v>
                </c:pt>
                <c:pt idx="38">
                  <c:v>0.88123861855147478</c:v>
                </c:pt>
                <c:pt idx="39">
                  <c:v>0.87452185382860714</c:v>
                </c:pt>
                <c:pt idx="40">
                  <c:v>0.8676639465260958</c:v>
                </c:pt>
                <c:pt idx="41">
                  <c:v>0.86066904136791011</c:v>
                </c:pt>
                <c:pt idx="42">
                  <c:v>0.8535413410101107</c:v>
                </c:pt>
                <c:pt idx="43">
                  <c:v>0.84628510185292516</c:v>
                </c:pt>
                <c:pt idx="44">
                  <c:v>0.83890462982765446</c:v>
                </c:pt>
                <c:pt idx="45">
                  <c:v>0.83140427616421197</c:v>
                </c:pt>
                <c:pt idx="46">
                  <c:v>0.82378843314507733</c:v>
                </c:pt>
                <c:pt idx="47">
                  <c:v>0.81606152985142044</c:v>
                </c:pt>
                <c:pt idx="48">
                  <c:v>0.8082280279071089</c:v>
                </c:pt>
                <c:pt idx="49">
                  <c:v>0.80029241722626787</c:v>
                </c:pt>
                <c:pt idx="50">
                  <c:v>0.79225921176999825</c:v>
                </c:pt>
                <c:pt idx="51">
                  <c:v>0.78413294531779665</c:v>
                </c:pt>
                <c:pt idx="52">
                  <c:v>0.7759181672591392</c:v>
                </c:pt>
                <c:pt idx="53">
                  <c:v>0.76761943841060987</c:v>
                </c:pt>
                <c:pt idx="54">
                  <c:v>0.75924132686385726</c:v>
                </c:pt>
                <c:pt idx="55">
                  <c:v>0.75078840386956014</c:v>
                </c:pt>
                <c:pt idx="56">
                  <c:v>0.74226523976247671</c:v>
                </c:pt>
                <c:pt idx="57">
                  <c:v>0.73367639993252631</c:v>
                </c:pt>
                <c:pt idx="58">
                  <c:v>0.72502644084673318</c:v>
                </c:pt>
                <c:pt idx="59">
                  <c:v>0.71631990612672558</c:v>
                </c:pt>
                <c:pt idx="60">
                  <c:v>0.70756132268634342</c:v>
                </c:pt>
                <c:pt idx="61">
                  <c:v>0.69875519693376353</c:v>
                </c:pt>
                <c:pt idx="62">
                  <c:v>0.68990601104239713</c:v>
                </c:pt>
                <c:pt idx="63">
                  <c:v>0.681018219294657</c:v>
                </c:pt>
                <c:pt idx="64">
                  <c:v>0.67209624450253014</c:v>
                </c:pt>
                <c:pt idx="65">
                  <c:v>0.66314447450871883</c:v>
                </c:pt>
                <c:pt idx="66">
                  <c:v>0.65416725877194737</c:v>
                </c:pt>
                <c:pt idx="67">
                  <c:v>0.64516890503984703</c:v>
                </c:pt>
                <c:pt idx="68">
                  <c:v>0.63615367611265849</c:v>
                </c:pt>
                <c:pt idx="69">
                  <c:v>0.62712578670080199</c:v>
                </c:pt>
                <c:pt idx="70">
                  <c:v>0.61808940037918048</c:v>
                </c:pt>
                <c:pt idx="71">
                  <c:v>0.60904862664089321</c:v>
                </c:pt>
                <c:pt idx="72">
                  <c:v>0.60000751805284391</c:v>
                </c:pt>
                <c:pt idx="73">
                  <c:v>0.59097006751553449</c:v>
                </c:pt>
                <c:pt idx="74">
                  <c:v>0.58194020562914461</c:v>
                </c:pt>
                <c:pt idx="75">
                  <c:v>0.57292179816779598</c:v>
                </c:pt>
                <c:pt idx="76">
                  <c:v>0.56391864366371325</c:v>
                </c:pt>
                <c:pt idx="77">
                  <c:v>0.55493447110278804</c:v>
                </c:pt>
                <c:pt idx="78">
                  <c:v>0.54597293773286681</c:v>
                </c:pt>
                <c:pt idx="79">
                  <c:v>0.53703762698588109</c:v>
                </c:pt>
                <c:pt idx="80">
                  <c:v>0.52813204651475099</c:v>
                </c:pt>
                <c:pt idx="81">
                  <c:v>0.5192596263457967</c:v>
                </c:pt>
                <c:pt idx="82">
                  <c:v>0.51042371714720447</c:v>
                </c:pt>
                <c:pt idx="83">
                  <c:v>0.50162758861390666</c:v>
                </c:pt>
                <c:pt idx="84">
                  <c:v>0.4928744279690459</c:v>
                </c:pt>
                <c:pt idx="85">
                  <c:v>0.48416733858201672</c:v>
                </c:pt>
                <c:pt idx="86">
                  <c:v>0.47550933870289186</c:v>
                </c:pt>
                <c:pt idx="87">
                  <c:v>0.46690336031286994</c:v>
                </c:pt>
                <c:pt idx="88">
                  <c:v>0.45835224809020553</c:v>
                </c:pt>
                <c:pt idx="89">
                  <c:v>0.44985875849091461</c:v>
                </c:pt>
                <c:pt idx="90">
                  <c:v>0.44142555894338631</c:v>
                </c:pt>
                <c:pt idx="91">
                  <c:v>0.43305522715586936</c:v>
                </c:pt>
                <c:pt idx="92">
                  <c:v>0.42475025053564885</c:v>
                </c:pt>
                <c:pt idx="93">
                  <c:v>0.41651302571857884</c:v>
                </c:pt>
                <c:pt idx="94">
                  <c:v>0.40834585820748992</c:v>
                </c:pt>
                <c:pt idx="95">
                  <c:v>0.4002509621178541</c:v>
                </c:pt>
                <c:pt idx="96">
                  <c:v>0.3922304600289534</c:v>
                </c:pt>
                <c:pt idx="97">
                  <c:v>0.38428638293867118</c:v>
                </c:pt>
                <c:pt idx="98">
                  <c:v>0.37642067031990339</c:v>
                </c:pt>
                <c:pt idx="99">
                  <c:v>0.36863517027646986</c:v>
                </c:pt>
                <c:pt idx="100">
                  <c:v>0.36093163979629539</c:v>
                </c:pt>
                <c:pt idx="101">
                  <c:v>0.35331174509952773</c:v>
                </c:pt>
                <c:pt idx="102">
                  <c:v>0.34577706207915876</c:v>
                </c:pt>
                <c:pt idx="103">
                  <c:v>0.33832907683162783</c:v>
                </c:pt>
                <c:pt idx="104">
                  <c:v>0.33096918627479638</c:v>
                </c:pt>
                <c:pt idx="105">
                  <c:v>0.32369869885060787</c:v>
                </c:pt>
                <c:pt idx="106">
                  <c:v>0.31651883530967273</c:v>
                </c:pt>
                <c:pt idx="107">
                  <c:v>0.30943072957495249</c:v>
                </c:pt>
                <c:pt idx="108">
                  <c:v>0.30243542968165804</c:v>
                </c:pt>
                <c:pt idx="109">
                  <c:v>0.29553389879042358</c:v>
                </c:pt>
                <c:pt idx="110">
                  <c:v>0.28872701627077013</c:v>
                </c:pt>
                <c:pt idx="111">
                  <c:v>0.28201557885183387</c:v>
                </c:pt>
                <c:pt idx="112">
                  <c:v>0.27540030183729886</c:v>
                </c:pt>
                <c:pt idx="113">
                  <c:v>0.26888182038144504</c:v>
                </c:pt>
                <c:pt idx="114">
                  <c:v>0.26246069082320261</c:v>
                </c:pt>
                <c:pt idx="115">
                  <c:v>0.25613739207508546</c:v>
                </c:pt>
                <c:pt idx="116">
                  <c:v>0.24991232706386707</c:v>
                </c:pt>
                <c:pt idx="117">
                  <c:v>0.24378582421985878</c:v>
                </c:pt>
                <c:pt idx="118">
                  <c:v>0.23775813901164933</c:v>
                </c:pt>
                <c:pt idx="119">
                  <c:v>0.23182945552317358</c:v>
                </c:pt>
                <c:pt idx="120">
                  <c:v>0.2259998880699888</c:v>
                </c:pt>
                <c:pt idx="121">
                  <c:v>0.22026948285165399</c:v>
                </c:pt>
                <c:pt idx="122">
                  <c:v>0.21463821963713162</c:v>
                </c:pt>
                <c:pt idx="123">
                  <c:v>0.20910601348015617</c:v>
                </c:pt>
                <c:pt idx="124">
                  <c:v>0.20367271646154619</c:v>
                </c:pt>
                <c:pt idx="125">
                  <c:v>0.19833811945547425</c:v>
                </c:pt>
                <c:pt idx="126">
                  <c:v>0.193101953916747</c:v>
                </c:pt>
                <c:pt idx="127">
                  <c:v>0.18796389368619482</c:v>
                </c:pt>
                <c:pt idx="128">
                  <c:v>0.18292355681131747</c:v>
                </c:pt>
                <c:pt idx="129">
                  <c:v>0.17798050737938489</c:v>
                </c:pt>
                <c:pt idx="130">
                  <c:v>0.17313425736024818</c:v>
                </c:pt>
                <c:pt idx="131">
                  <c:v>0.16838426845617491</c:v>
                </c:pt>
                <c:pt idx="132">
                  <c:v>0.16372995395608489</c:v>
                </c:pt>
                <c:pt idx="133">
                  <c:v>0.15917068059162795</c:v>
                </c:pt>
                <c:pt idx="134">
                  <c:v>0.15470577039261291</c:v>
                </c:pt>
                <c:pt idx="135">
                  <c:v>0.15033450253936714</c:v>
                </c:pt>
                <c:pt idx="136">
                  <c:v>0.14605611520967898</c:v>
                </c:pt>
                <c:pt idx="137">
                  <c:v>0.14186980741804978</c:v>
                </c:pt>
                <c:pt idx="138">
                  <c:v>0.13777474084505859</c:v>
                </c:pt>
                <c:pt idx="139">
                  <c:v>0.13377004165472103</c:v>
                </c:pt>
                <c:pt idx="140">
                  <c:v>0.12985480229780366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92-4E28-9F36-35EBA966B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52272"/>
        <c:axId val="541153256"/>
      </c:scatterChart>
      <c:valAx>
        <c:axId val="54115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r/mm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3256"/>
        <c:crosses val="autoZero"/>
        <c:crossBetween val="midCat"/>
      </c:valAx>
      <c:valAx>
        <c:axId val="541153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Ratio</a:t>
                </a:r>
                <a:r>
                  <a:rPr lang="en-GB" baseline="0"/>
                  <a:t> of Efficiency vs Efficiency @ 1x1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236220</xdr:colOff>
      <xdr:row>10</xdr:row>
      <xdr:rowOff>80010</xdr:rowOff>
    </xdr:from>
    <xdr:to>
      <xdr:col>22</xdr:col>
      <xdr:colOff>541020</xdr:colOff>
      <xdr:row>25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CBB78-F511-4815-8559-20401EFBD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220980</xdr:colOff>
      <xdr:row>25</xdr:row>
      <xdr:rowOff>148590</xdr:rowOff>
    </xdr:from>
    <xdr:to>
      <xdr:col>22</xdr:col>
      <xdr:colOff>373380</xdr:colOff>
      <xdr:row>40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684E3F-11E5-4765-B3E4-8DC54D14B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236220</xdr:colOff>
      <xdr:row>10</xdr:row>
      <xdr:rowOff>80010</xdr:rowOff>
    </xdr:from>
    <xdr:to>
      <xdr:col>23</xdr:col>
      <xdr:colOff>541020</xdr:colOff>
      <xdr:row>25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2E7BEB-0CA9-48D2-A2B6-B7FEE0705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220980</xdr:colOff>
      <xdr:row>25</xdr:row>
      <xdr:rowOff>148590</xdr:rowOff>
    </xdr:from>
    <xdr:to>
      <xdr:col>23</xdr:col>
      <xdr:colOff>373380</xdr:colOff>
      <xdr:row>40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F62457-62F6-4950-99E8-0D4161B77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266700</xdr:colOff>
      <xdr:row>1</xdr:row>
      <xdr:rowOff>727710</xdr:rowOff>
    </xdr:from>
    <xdr:to>
      <xdr:col>33</xdr:col>
      <xdr:colOff>457200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92B8-2A8E-4326-8368-43351008A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274320</xdr:colOff>
      <xdr:row>23</xdr:row>
      <xdr:rowOff>133350</xdr:rowOff>
    </xdr:from>
    <xdr:to>
      <xdr:col>33</xdr:col>
      <xdr:colOff>457200</xdr:colOff>
      <xdr:row>41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8E9A18-FA51-4FAC-AD90-780D41CEA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266700</xdr:colOff>
      <xdr:row>1</xdr:row>
      <xdr:rowOff>727710</xdr:rowOff>
    </xdr:from>
    <xdr:to>
      <xdr:col>35</xdr:col>
      <xdr:colOff>457200</xdr:colOff>
      <xdr:row>22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1B6A4-AB1E-4898-B96E-B2FB986F7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274320</xdr:colOff>
      <xdr:row>22</xdr:row>
      <xdr:rowOff>133350</xdr:rowOff>
    </xdr:from>
    <xdr:to>
      <xdr:col>35</xdr:col>
      <xdr:colOff>457200</xdr:colOff>
      <xdr:row>38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9E997-036B-4679-9871-33B148BE4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205740</xdr:colOff>
      <xdr:row>0</xdr:row>
      <xdr:rowOff>72390</xdr:rowOff>
    </xdr:from>
    <xdr:to>
      <xdr:col>54</xdr:col>
      <xdr:colOff>541020</xdr:colOff>
      <xdr:row>27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E2F558-F652-4EE5-8563-A85E5D6BA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205740</xdr:colOff>
      <xdr:row>27</xdr:row>
      <xdr:rowOff>156210</xdr:rowOff>
    </xdr:from>
    <xdr:to>
      <xdr:col>54</xdr:col>
      <xdr:colOff>541020</xdr:colOff>
      <xdr:row>53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CC6537-688B-4C0A-9283-C49C277C6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Soda%E2%80%93lime_glas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ndc.bnl.gov/nudat2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ucleide.org/Laraweb/index.php" TargetMode="External"/><Relationship Id="rId2" Type="http://schemas.openxmlformats.org/officeDocument/2006/relationships/hyperlink" Target="https://www.nndc.bnl.gov/nudat2/reCenter.jsp?z=81&amp;n=119" TargetMode="External"/><Relationship Id="rId1" Type="http://schemas.openxmlformats.org/officeDocument/2006/relationships/hyperlink" Target="https://www.osti.gov/servlets/purl/4331753" TargetMode="External"/><Relationship Id="rId4" Type="http://schemas.openxmlformats.org/officeDocument/2006/relationships/hyperlink" Target="http://www.nucleide.org/DDEP_WG/DDEPdat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DD60-936F-4860-9A36-F698D47583D9}">
  <dimension ref="B2:Z25"/>
  <sheetViews>
    <sheetView topLeftCell="A2" workbookViewId="0">
      <selection activeCell="B26" sqref="B26"/>
    </sheetView>
  </sheetViews>
  <sheetFormatPr defaultRowHeight="14.4" x14ac:dyDescent="0.3"/>
  <cols>
    <col min="3" max="3" width="4.88671875" customWidth="1"/>
    <col min="10" max="12" width="8.88671875" customWidth="1"/>
    <col min="19" max="19" width="11" bestFit="1" customWidth="1"/>
    <col min="20" max="20" width="9" bestFit="1" customWidth="1"/>
    <col min="24" max="24" width="12" bestFit="1" customWidth="1"/>
    <col min="25" max="25" width="9" bestFit="1" customWidth="1"/>
  </cols>
  <sheetData>
    <row r="2" spans="2:26" ht="57.6" x14ac:dyDescent="0.3">
      <c r="B2" s="1" t="s">
        <v>0</v>
      </c>
      <c r="C2" s="1" t="s">
        <v>15</v>
      </c>
      <c r="D2" s="1"/>
      <c r="E2" s="1" t="s">
        <v>1</v>
      </c>
      <c r="F2" s="1" t="s">
        <v>2</v>
      </c>
      <c r="G2" s="1" t="s">
        <v>9</v>
      </c>
      <c r="H2" s="1" t="s">
        <v>2</v>
      </c>
      <c r="I2" s="1"/>
      <c r="J2" s="1" t="s">
        <v>3</v>
      </c>
      <c r="K2" s="1" t="s">
        <v>4</v>
      </c>
      <c r="L2" s="1" t="s">
        <v>5</v>
      </c>
      <c r="M2" s="1"/>
      <c r="N2" s="1" t="s">
        <v>12</v>
      </c>
      <c r="O2" s="1" t="s">
        <v>13</v>
      </c>
      <c r="P2" s="1"/>
      <c r="Q2" s="1"/>
      <c r="R2" s="1"/>
      <c r="S2" s="1"/>
      <c r="T2" s="1"/>
      <c r="U2" s="1"/>
      <c r="V2" s="1"/>
      <c r="W2" s="1"/>
      <c r="X2" s="1"/>
    </row>
    <row r="4" spans="2:26" x14ac:dyDescent="0.3">
      <c r="B4" t="s">
        <v>6</v>
      </c>
      <c r="C4">
        <v>0</v>
      </c>
      <c r="E4">
        <v>511</v>
      </c>
      <c r="F4">
        <v>0</v>
      </c>
      <c r="G4">
        <v>180.7</v>
      </c>
      <c r="H4">
        <v>0.2</v>
      </c>
      <c r="J4" s="3">
        <v>511.86500000000001</v>
      </c>
      <c r="K4" s="3">
        <v>1.7150000000000001</v>
      </c>
      <c r="L4" s="3">
        <v>28.193999999999999</v>
      </c>
      <c r="N4">
        <f>$X$4*E4+$Y$4</f>
        <v>511.880631263395</v>
      </c>
      <c r="O4" s="3">
        <f>J4-N4</f>
        <v>-1.5631263394993766E-2</v>
      </c>
      <c r="R4" t="s">
        <v>10</v>
      </c>
      <c r="S4">
        <f t="array" ref="S4:T8">LINEST(E4:E25,J4:J25,1,1)</f>
        <v>0.99916189597417326</v>
      </c>
      <c r="T4">
        <v>-0.45152046122052525</v>
      </c>
      <c r="U4" t="s">
        <v>11</v>
      </c>
      <c r="W4" t="s">
        <v>10</v>
      </c>
      <c r="X4">
        <f t="array" ref="X4:Y8">LINEST(J4:J25,E4:E25,1,1)</f>
        <v>1.0008385221866369</v>
      </c>
      <c r="Y4">
        <v>0.45214642602354616</v>
      </c>
      <c r="Z4" t="s">
        <v>11</v>
      </c>
    </row>
    <row r="5" spans="2:26" x14ac:dyDescent="0.3">
      <c r="B5" t="s">
        <v>6</v>
      </c>
      <c r="C5">
        <v>1</v>
      </c>
      <c r="E5">
        <v>1274.537</v>
      </c>
      <c r="F5">
        <v>7.0000000000000001E-3</v>
      </c>
      <c r="G5">
        <v>99.94</v>
      </c>
      <c r="H5">
        <v>0.13</v>
      </c>
      <c r="J5" s="3">
        <v>1276.0160000000001</v>
      </c>
      <c r="K5" s="3">
        <v>1.5209999999999999</v>
      </c>
      <c r="L5" s="3">
        <v>7.8230000000000004</v>
      </c>
      <c r="N5">
        <f t="shared" ref="N5:N25" si="0">$X$4*E5+$Y$4</f>
        <v>1276.0578739782134</v>
      </c>
      <c r="O5" s="3">
        <f t="shared" ref="O5" si="1">J5-N5</f>
        <v>-4.1873978213288865E-2</v>
      </c>
      <c r="R5" t="s">
        <v>17</v>
      </c>
      <c r="S5">
        <v>1.1919128094196802E-4</v>
      </c>
      <c r="T5">
        <v>0.11572974918277644</v>
      </c>
      <c r="U5" t="s">
        <v>17</v>
      </c>
      <c r="W5" t="s">
        <v>17</v>
      </c>
      <c r="X5">
        <v>1.1939128779443117E-4</v>
      </c>
      <c r="Y5">
        <v>0.11577854407462213</v>
      </c>
      <c r="Z5" t="s">
        <v>17</v>
      </c>
    </row>
    <row r="6" spans="2:26" x14ac:dyDescent="0.3">
      <c r="B6" t="s">
        <v>6</v>
      </c>
      <c r="C6">
        <v>2</v>
      </c>
      <c r="E6">
        <f>E4+E5</f>
        <v>1785.537</v>
      </c>
      <c r="F6">
        <f>F4+F5</f>
        <v>7.0000000000000001E-3</v>
      </c>
      <c r="J6" s="3">
        <v>1787.192</v>
      </c>
      <c r="K6" s="3">
        <v>2.09</v>
      </c>
      <c r="L6" s="3">
        <v>0.109</v>
      </c>
      <c r="N6">
        <f t="shared" si="0"/>
        <v>1787.4863588155847</v>
      </c>
      <c r="O6" s="3">
        <f t="shared" ref="O6" si="2">J6-N6</f>
        <v>-0.29435881558470101</v>
      </c>
      <c r="R6" t="s">
        <v>18</v>
      </c>
      <c r="S6">
        <v>0.99999971539198951</v>
      </c>
      <c r="T6">
        <v>0.24202208901324154</v>
      </c>
      <c r="W6" t="s">
        <v>18</v>
      </c>
      <c r="X6">
        <v>0.99999971539198951</v>
      </c>
      <c r="Y6">
        <v>0.24222506437411526</v>
      </c>
    </row>
    <row r="7" spans="2:26" x14ac:dyDescent="0.3">
      <c r="B7" t="s">
        <v>7</v>
      </c>
      <c r="C7">
        <v>0</v>
      </c>
      <c r="E7">
        <v>1173.2280000000001</v>
      </c>
      <c r="F7">
        <v>3.0000000000000001E-3</v>
      </c>
      <c r="G7">
        <v>99.85</v>
      </c>
      <c r="H7">
        <v>0.03</v>
      </c>
      <c r="J7" s="3">
        <v>1174.989</v>
      </c>
      <c r="K7" s="3">
        <v>1.43</v>
      </c>
      <c r="L7" s="3">
        <v>0.38500000000000001</v>
      </c>
      <c r="N7">
        <f t="shared" si="0"/>
        <v>1174.6639241340074</v>
      </c>
      <c r="O7" s="3">
        <f>J7-N7</f>
        <v>0.3250758659926305</v>
      </c>
      <c r="S7">
        <v>70272070.951053366</v>
      </c>
      <c r="T7">
        <v>20</v>
      </c>
      <c r="X7">
        <v>70272070.951064616</v>
      </c>
      <c r="Y7">
        <v>20</v>
      </c>
    </row>
    <row r="8" spans="2:26" x14ac:dyDescent="0.3">
      <c r="B8" t="s">
        <v>7</v>
      </c>
      <c r="C8">
        <v>1</v>
      </c>
      <c r="E8">
        <v>1332.492</v>
      </c>
      <c r="F8">
        <v>4.0000000000000001E-3</v>
      </c>
      <c r="G8">
        <v>99.982600000000005</v>
      </c>
      <c r="H8">
        <v>5.9999999999999995E-4</v>
      </c>
      <c r="J8" s="3">
        <v>1334.42</v>
      </c>
      <c r="K8" s="3">
        <v>1.47</v>
      </c>
      <c r="L8" s="3">
        <v>0.33900000000000002</v>
      </c>
      <c r="N8">
        <f t="shared" si="0"/>
        <v>1334.0614705315397</v>
      </c>
      <c r="O8" s="3">
        <f>J8-N8</f>
        <v>0.35852946846034683</v>
      </c>
      <c r="S8">
        <v>4116164.8819665378</v>
      </c>
      <c r="T8">
        <v>1.1714938314066683</v>
      </c>
      <c r="X8">
        <v>4123071.9407362277</v>
      </c>
      <c r="Y8">
        <v>1.1734596362208858</v>
      </c>
    </row>
    <row r="9" spans="2:26" x14ac:dyDescent="0.3">
      <c r="B9" t="s">
        <v>8</v>
      </c>
      <c r="C9">
        <v>0</v>
      </c>
      <c r="E9">
        <v>661.65700000000004</v>
      </c>
      <c r="F9">
        <v>3.0000000000000001E-3</v>
      </c>
      <c r="G9">
        <v>84.99</v>
      </c>
      <c r="H9" s="4">
        <v>0.2</v>
      </c>
      <c r="J9" s="3">
        <v>662.74400000000003</v>
      </c>
      <c r="K9" s="3">
        <v>1.2649999999999999</v>
      </c>
      <c r="L9" s="3">
        <v>50.482999999999997</v>
      </c>
      <c r="N9">
        <f t="shared" si="0"/>
        <v>662.66396050046717</v>
      </c>
      <c r="O9" s="3">
        <f>J9-N9</f>
        <v>8.0039499532858827E-2</v>
      </c>
    </row>
    <row r="10" spans="2:26" x14ac:dyDescent="0.3">
      <c r="B10" t="s">
        <v>14</v>
      </c>
      <c r="C10">
        <v>4</v>
      </c>
      <c r="E10">
        <v>121.7817</v>
      </c>
      <c r="F10">
        <v>2.9999999999999997E-4</v>
      </c>
      <c r="G10">
        <v>28.41</v>
      </c>
      <c r="H10">
        <v>0.13</v>
      </c>
      <c r="J10" s="3">
        <v>122.20399999999999</v>
      </c>
      <c r="K10" s="3">
        <v>1.131</v>
      </c>
      <c r="L10" s="3">
        <v>23.384</v>
      </c>
      <c r="N10">
        <f t="shared" si="0"/>
        <v>122.3359630833999</v>
      </c>
      <c r="O10" s="3">
        <f t="shared" ref="O10:O25" si="3">J10-N10</f>
        <v>-0.13196308339990992</v>
      </c>
      <c r="Q10" s="23" t="s">
        <v>16</v>
      </c>
      <c r="R10" s="23"/>
      <c r="S10" t="s">
        <v>19</v>
      </c>
    </row>
    <row r="11" spans="2:26" x14ac:dyDescent="0.3">
      <c r="B11" t="s">
        <v>14</v>
      </c>
      <c r="C11">
        <v>6</v>
      </c>
      <c r="E11">
        <v>244.69739999999999</v>
      </c>
      <c r="F11">
        <v>8.0000000000000004E-4</v>
      </c>
      <c r="G11">
        <v>7.55</v>
      </c>
      <c r="H11">
        <v>0.04</v>
      </c>
      <c r="J11" s="3">
        <v>245.386</v>
      </c>
      <c r="K11" s="3">
        <v>1.163</v>
      </c>
      <c r="L11" s="3">
        <v>3.1680000000000001</v>
      </c>
      <c r="N11">
        <f t="shared" si="0"/>
        <v>245.35473062493591</v>
      </c>
      <c r="O11" s="3">
        <f t="shared" si="3"/>
        <v>3.126937506408467E-2</v>
      </c>
    </row>
    <row r="12" spans="2:26" x14ac:dyDescent="0.3">
      <c r="B12" t="s">
        <v>14</v>
      </c>
      <c r="C12">
        <v>7</v>
      </c>
      <c r="E12">
        <v>344.27850000000001</v>
      </c>
      <c r="F12">
        <v>1.1999999999999999E-3</v>
      </c>
      <c r="G12">
        <v>26.59</v>
      </c>
      <c r="H12">
        <v>0.12</v>
      </c>
      <c r="J12" s="3">
        <v>345.09300000000002</v>
      </c>
      <c r="K12" s="3">
        <v>1.1859999999999999</v>
      </c>
      <c r="L12" s="3">
        <v>8.7409999999999997</v>
      </c>
      <c r="N12">
        <f t="shared" si="0"/>
        <v>345.01933158665565</v>
      </c>
      <c r="O12" s="3">
        <f t="shared" si="3"/>
        <v>7.3668413344364581E-2</v>
      </c>
    </row>
    <row r="13" spans="2:26" x14ac:dyDescent="0.3">
      <c r="B13" t="s">
        <v>14</v>
      </c>
      <c r="C13">
        <v>8</v>
      </c>
      <c r="E13">
        <v>367.78910000000002</v>
      </c>
      <c r="F13" s="2">
        <v>2E-3</v>
      </c>
      <c r="G13">
        <v>0.86199999999999999</v>
      </c>
      <c r="H13">
        <v>5.0000000000000001E-3</v>
      </c>
      <c r="J13" s="3">
        <v>368.27300000000002</v>
      </c>
      <c r="K13" s="3">
        <v>1.4319999999999999</v>
      </c>
      <c r="L13" s="3">
        <v>0.29099999999999998</v>
      </c>
      <c r="N13">
        <f t="shared" si="0"/>
        <v>368.54964574637677</v>
      </c>
      <c r="O13" s="3">
        <f t="shared" si="3"/>
        <v>-0.27664574637674377</v>
      </c>
    </row>
    <row r="14" spans="2:26" x14ac:dyDescent="0.3">
      <c r="B14" t="s">
        <v>14</v>
      </c>
      <c r="C14">
        <v>9</v>
      </c>
      <c r="E14">
        <v>411.11649999999997</v>
      </c>
      <c r="F14">
        <v>1.1999999999999999E-3</v>
      </c>
      <c r="G14">
        <v>2.238</v>
      </c>
      <c r="H14" s="3">
        <v>0.01</v>
      </c>
      <c r="J14" s="3">
        <v>412.01100000000002</v>
      </c>
      <c r="K14" s="3">
        <v>1.232</v>
      </c>
      <c r="L14" s="3">
        <v>0.56299999999999994</v>
      </c>
      <c r="N14">
        <f t="shared" si="0"/>
        <v>411.91337673256606</v>
      </c>
      <c r="O14" s="3">
        <f t="shared" si="3"/>
        <v>9.7623267433959882E-2</v>
      </c>
    </row>
    <row r="15" spans="2:26" x14ac:dyDescent="0.3">
      <c r="B15" t="s">
        <v>14</v>
      </c>
      <c r="C15">
        <v>10</v>
      </c>
      <c r="E15">
        <v>443.96499999999997</v>
      </c>
      <c r="F15">
        <v>3.0000000000000001E-3</v>
      </c>
      <c r="G15" s="4">
        <v>2.8</v>
      </c>
      <c r="H15">
        <v>0.02</v>
      </c>
      <c r="J15" s="3">
        <v>444.875</v>
      </c>
      <c r="K15" s="3">
        <v>1.23</v>
      </c>
      <c r="L15" s="3">
        <v>0.68400000000000005</v>
      </c>
      <c r="N15">
        <f t="shared" si="0"/>
        <v>444.78942092861377</v>
      </c>
      <c r="O15" s="3">
        <f t="shared" si="3"/>
        <v>8.5579071386234773E-2</v>
      </c>
    </row>
    <row r="16" spans="2:26" x14ac:dyDescent="0.3">
      <c r="B16" t="s">
        <v>14</v>
      </c>
      <c r="C16">
        <v>12</v>
      </c>
      <c r="E16" s="3">
        <v>688.67</v>
      </c>
      <c r="F16">
        <v>5.0000000000000001E-3</v>
      </c>
      <c r="G16">
        <v>0.84099999999999997</v>
      </c>
      <c r="H16">
        <v>6.0000000000000001E-3</v>
      </c>
      <c r="J16" s="3">
        <v>689.81299999999999</v>
      </c>
      <c r="K16" s="3">
        <v>1.1000000000000001</v>
      </c>
      <c r="L16" s="3">
        <v>0.14299999999999999</v>
      </c>
      <c r="N16">
        <f t="shared" si="0"/>
        <v>689.69961150029474</v>
      </c>
      <c r="O16" s="3">
        <f t="shared" si="3"/>
        <v>0.11338849970525189</v>
      </c>
    </row>
    <row r="17" spans="2:15" x14ac:dyDescent="0.3">
      <c r="B17" t="s">
        <v>14</v>
      </c>
      <c r="C17">
        <v>13</v>
      </c>
      <c r="E17">
        <v>778.90449999999998</v>
      </c>
      <c r="F17">
        <v>2.3999999999999998E-3</v>
      </c>
      <c r="G17">
        <v>12.97</v>
      </c>
      <c r="H17">
        <v>0.06</v>
      </c>
      <c r="J17" s="3">
        <v>780.07399999999996</v>
      </c>
      <c r="K17" s="3">
        <v>1.306</v>
      </c>
      <c r="L17" s="3">
        <v>1.6719999999999999</v>
      </c>
      <c r="N17">
        <f t="shared" si="0"/>
        <v>780.00977513054488</v>
      </c>
      <c r="O17" s="3">
        <f t="shared" si="3"/>
        <v>6.422486945507444E-2</v>
      </c>
    </row>
    <row r="18" spans="2:15" x14ac:dyDescent="0.3">
      <c r="B18" t="s">
        <v>14</v>
      </c>
      <c r="C18">
        <v>14</v>
      </c>
      <c r="E18" s="3">
        <v>867.38</v>
      </c>
      <c r="F18">
        <v>3.0000000000000001E-3</v>
      </c>
      <c r="G18">
        <v>4.2430000000000003</v>
      </c>
      <c r="H18">
        <v>2.3E-2</v>
      </c>
      <c r="J18" s="3">
        <v>868.64599999999996</v>
      </c>
      <c r="K18" s="3">
        <v>1.353</v>
      </c>
      <c r="L18" s="3">
        <v>0.42599999999999999</v>
      </c>
      <c r="N18">
        <f t="shared" si="0"/>
        <v>868.55946380026865</v>
      </c>
      <c r="O18" s="3">
        <f t="shared" si="3"/>
        <v>8.653619973131299E-2</v>
      </c>
    </row>
    <row r="19" spans="2:15" x14ac:dyDescent="0.3">
      <c r="B19" t="s">
        <v>14</v>
      </c>
      <c r="C19">
        <v>15</v>
      </c>
      <c r="E19">
        <v>964.07899999999995</v>
      </c>
      <c r="F19">
        <v>1.7999999999999999E-2</v>
      </c>
      <c r="G19" s="4">
        <v>14.5</v>
      </c>
      <c r="H19">
        <v>0.06</v>
      </c>
      <c r="J19" s="3">
        <v>965.35</v>
      </c>
      <c r="K19" s="3">
        <v>1.4239999999999999</v>
      </c>
      <c r="L19" s="3">
        <v>1.357</v>
      </c>
      <c r="N19">
        <f t="shared" si="0"/>
        <v>965.33954805719429</v>
      </c>
      <c r="O19" s="3">
        <f t="shared" si="3"/>
        <v>1.0451942805730141E-2</v>
      </c>
    </row>
    <row r="20" spans="2:15" x14ac:dyDescent="0.3">
      <c r="B20" t="s">
        <v>14</v>
      </c>
      <c r="C20">
        <v>16</v>
      </c>
      <c r="E20" s="3">
        <v>1005.272</v>
      </c>
      <c r="F20">
        <v>1.7000000000000001E-2</v>
      </c>
      <c r="G20">
        <v>0.65500000000000003</v>
      </c>
      <c r="H20">
        <v>2.3E-2</v>
      </c>
      <c r="J20" s="3">
        <v>1005.753</v>
      </c>
      <c r="K20" s="3">
        <v>1.41</v>
      </c>
      <c r="L20" s="3">
        <v>0.13100000000000001</v>
      </c>
      <c r="N20">
        <f t="shared" si="0"/>
        <v>1006.5670893016285</v>
      </c>
      <c r="O20" s="3">
        <f t="shared" si="3"/>
        <v>-0.81408930162842807</v>
      </c>
    </row>
    <row r="21" spans="2:15" x14ac:dyDescent="0.3">
      <c r="B21" t="s">
        <v>14</v>
      </c>
      <c r="C21">
        <v>17</v>
      </c>
      <c r="E21">
        <v>1085.837</v>
      </c>
      <c r="F21" s="3">
        <v>0.01</v>
      </c>
      <c r="G21">
        <v>10.130000000000001</v>
      </c>
      <c r="H21">
        <v>0.06</v>
      </c>
      <c r="J21" s="3">
        <v>1087.3820000000001</v>
      </c>
      <c r="K21" s="3">
        <v>1.653</v>
      </c>
      <c r="L21" s="3">
        <v>0.89100000000000001</v>
      </c>
      <c r="N21">
        <f t="shared" si="0"/>
        <v>1087.1996448415948</v>
      </c>
      <c r="O21" s="3">
        <f t="shared" si="3"/>
        <v>0.18235515840524386</v>
      </c>
    </row>
    <row r="22" spans="2:15" x14ac:dyDescent="0.3">
      <c r="B22" t="s">
        <v>14</v>
      </c>
      <c r="C22">
        <v>18</v>
      </c>
      <c r="E22" s="3">
        <v>1112.076</v>
      </c>
      <c r="F22">
        <v>3.0000000000000001E-3</v>
      </c>
      <c r="G22">
        <v>13.41</v>
      </c>
      <c r="H22">
        <v>0.06</v>
      </c>
      <c r="J22" s="3">
        <v>1113.482</v>
      </c>
      <c r="K22" s="3">
        <v>1.4450000000000001</v>
      </c>
      <c r="L22" s="3">
        <v>1.1040000000000001</v>
      </c>
      <c r="N22">
        <f t="shared" si="0"/>
        <v>1113.46064682525</v>
      </c>
      <c r="O22" s="3">
        <f t="shared" si="3"/>
        <v>2.1353174749947357E-2</v>
      </c>
    </row>
    <row r="23" spans="2:15" x14ac:dyDescent="0.3">
      <c r="B23" t="s">
        <v>14</v>
      </c>
      <c r="C23">
        <v>20</v>
      </c>
      <c r="E23" s="3">
        <v>1212.9480000000001</v>
      </c>
      <c r="F23">
        <v>1.0999999999999999E-2</v>
      </c>
      <c r="G23">
        <v>1.4159999999999999</v>
      </c>
      <c r="H23">
        <v>8.9999999999999993E-3</v>
      </c>
      <c r="J23" s="3">
        <v>1214.423</v>
      </c>
      <c r="K23" s="3">
        <v>1.31</v>
      </c>
      <c r="L23" s="3">
        <v>9.8000000000000004E-2</v>
      </c>
      <c r="N23">
        <f t="shared" si="0"/>
        <v>1214.4172302352606</v>
      </c>
      <c r="O23" s="3">
        <f t="shared" si="3"/>
        <v>5.7697647393979423E-3</v>
      </c>
    </row>
    <row r="24" spans="2:15" x14ac:dyDescent="0.3">
      <c r="B24" t="s">
        <v>14</v>
      </c>
      <c r="C24">
        <v>21</v>
      </c>
      <c r="E24">
        <v>1299.1420000000001</v>
      </c>
      <c r="F24">
        <v>8.0000000000000002E-3</v>
      </c>
      <c r="G24">
        <v>1.633</v>
      </c>
      <c r="H24">
        <v>8.9999999999999993E-3</v>
      </c>
      <c r="J24" s="3">
        <v>1300.652</v>
      </c>
      <c r="K24" s="3">
        <v>1.54</v>
      </c>
      <c r="L24" s="3">
        <v>0.112</v>
      </c>
      <c r="N24">
        <f t="shared" si="0"/>
        <v>1300.6835058166155</v>
      </c>
      <c r="O24" s="3">
        <f t="shared" si="3"/>
        <v>-3.1505816615435833E-2</v>
      </c>
    </row>
    <row r="25" spans="2:15" x14ac:dyDescent="0.3">
      <c r="B25" t="s">
        <v>14</v>
      </c>
      <c r="C25">
        <v>22</v>
      </c>
      <c r="E25" s="3">
        <v>1408.0129999999999</v>
      </c>
      <c r="F25">
        <v>3.0000000000000001E-3</v>
      </c>
      <c r="G25">
        <v>20.85</v>
      </c>
      <c r="H25">
        <v>0.08</v>
      </c>
      <c r="J25" s="3">
        <v>1409.7159999999999</v>
      </c>
      <c r="K25" s="3">
        <v>1.5940000000000001</v>
      </c>
      <c r="L25" s="3">
        <v>1.236</v>
      </c>
      <c r="N25">
        <f t="shared" si="0"/>
        <v>1409.6457965655968</v>
      </c>
      <c r="O25" s="3">
        <f t="shared" si="3"/>
        <v>7.020343440308352E-2</v>
      </c>
    </row>
  </sheetData>
  <mergeCells count="1">
    <mergeCell ref="Q10:R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9A3B-7151-412A-9B15-DE678376E933}">
  <dimension ref="B2:AA33"/>
  <sheetViews>
    <sheetView topLeftCell="A4" workbookViewId="0">
      <selection activeCell="F30" sqref="F30"/>
    </sheetView>
  </sheetViews>
  <sheetFormatPr defaultRowHeight="14.4" x14ac:dyDescent="0.3"/>
  <cols>
    <col min="3" max="3" width="4.88671875" customWidth="1"/>
    <col min="10" max="12" width="8.88671875" customWidth="1"/>
    <col min="20" max="20" width="11" bestFit="1" customWidth="1"/>
    <col min="21" max="21" width="9" bestFit="1" customWidth="1"/>
    <col min="25" max="25" width="12" bestFit="1" customWidth="1"/>
    <col min="26" max="26" width="9" bestFit="1" customWidth="1"/>
  </cols>
  <sheetData>
    <row r="2" spans="2:27" ht="57.6" x14ac:dyDescent="0.3">
      <c r="B2" s="1" t="s">
        <v>0</v>
      </c>
      <c r="C2" s="1" t="s">
        <v>15</v>
      </c>
      <c r="D2" s="1"/>
      <c r="E2" s="1" t="s">
        <v>1</v>
      </c>
      <c r="F2" s="1" t="s">
        <v>2</v>
      </c>
      <c r="G2" s="1" t="s">
        <v>9</v>
      </c>
      <c r="H2" s="1" t="s">
        <v>2</v>
      </c>
      <c r="I2" s="1"/>
      <c r="J2" s="1" t="s">
        <v>3</v>
      </c>
      <c r="K2" s="1" t="s">
        <v>4</v>
      </c>
      <c r="L2" s="1" t="s">
        <v>5</v>
      </c>
      <c r="M2" s="1" t="s">
        <v>17</v>
      </c>
      <c r="N2" s="1"/>
      <c r="O2" s="1" t="s">
        <v>12</v>
      </c>
      <c r="P2" s="1" t="s">
        <v>13</v>
      </c>
      <c r="Q2" s="1"/>
      <c r="R2" s="1"/>
      <c r="S2" s="1"/>
      <c r="T2" s="1"/>
      <c r="U2" s="1"/>
      <c r="V2" s="1"/>
      <c r="W2" s="1"/>
      <c r="X2" s="1"/>
      <c r="Y2" s="1"/>
    </row>
    <row r="4" spans="2:27" x14ac:dyDescent="0.3">
      <c r="B4" t="s">
        <v>6</v>
      </c>
      <c r="C4">
        <v>0</v>
      </c>
      <c r="E4">
        <v>511</v>
      </c>
      <c r="F4">
        <v>0</v>
      </c>
      <c r="G4">
        <v>180.7</v>
      </c>
      <c r="H4">
        <v>0.2</v>
      </c>
      <c r="J4" s="3">
        <v>511.86500000000001</v>
      </c>
      <c r="K4" s="3">
        <v>1.7150000000000001</v>
      </c>
      <c r="L4" s="3">
        <v>28.193999999999999</v>
      </c>
      <c r="M4">
        <f>K4/SQRT(K4*L4*SQRT(2*PI()))</f>
        <v>0.15577894109256696</v>
      </c>
      <c r="O4">
        <f>$Y$4*E4+$Z$4</f>
        <v>512.01393555031746</v>
      </c>
      <c r="P4" s="3">
        <f>J4-O4</f>
        <v>-0.14893555031744654</v>
      </c>
      <c r="S4" t="s">
        <v>10</v>
      </c>
      <c r="T4">
        <f t="array" ref="T4:U8">LINEST(E4:E33,J4:J33,1,1)</f>
        <v>0.9991857249719448</v>
      </c>
      <c r="U4">
        <v>-0.59677440933637627</v>
      </c>
      <c r="V4" t="s">
        <v>11</v>
      </c>
      <c r="X4" t="s">
        <v>10</v>
      </c>
      <c r="Y4">
        <f t="array" ref="Y4:Z8">LINEST(J4:J33,E4:E33,1,1)</f>
        <v>1.0008140941687695</v>
      </c>
      <c r="Z4">
        <v>0.59793343007629574</v>
      </c>
      <c r="AA4" t="s">
        <v>11</v>
      </c>
    </row>
    <row r="5" spans="2:27" x14ac:dyDescent="0.3">
      <c r="B5" t="s">
        <v>6</v>
      </c>
      <c r="C5">
        <v>1</v>
      </c>
      <c r="E5">
        <v>1274.537</v>
      </c>
      <c r="F5">
        <v>7.0000000000000001E-3</v>
      </c>
      <c r="G5">
        <v>99.94</v>
      </c>
      <c r="H5">
        <v>0.13</v>
      </c>
      <c r="J5" s="3">
        <v>1276.0160000000001</v>
      </c>
      <c r="K5" s="3">
        <v>1.5209999999999999</v>
      </c>
      <c r="L5" s="3">
        <v>7.8230000000000004</v>
      </c>
      <c r="M5">
        <f t="shared" ref="M5:M33" si="0">K5/SQRT(K5*L5*SQRT(2*PI()))</f>
        <v>0.2785049861135635</v>
      </c>
      <c r="O5">
        <f t="shared" ref="O5:O25" si="1">$Y$4*E5+$Z$4</f>
        <v>1276.1725265696573</v>
      </c>
      <c r="P5" s="3">
        <f t="shared" ref="P5:P6" si="2">J5-O5</f>
        <v>-0.1565265696572169</v>
      </c>
      <c r="S5" t="s">
        <v>17</v>
      </c>
      <c r="T5">
        <v>1.7345059084104871E-4</v>
      </c>
      <c r="U5">
        <v>0.16084407116029759</v>
      </c>
      <c r="V5" t="s">
        <v>17</v>
      </c>
      <c r="X5" t="s">
        <v>17</v>
      </c>
      <c r="Y5">
        <v>1.7373326261291614E-4</v>
      </c>
      <c r="Z5">
        <v>0.16088583559594546</v>
      </c>
      <c r="AA5" t="s">
        <v>17</v>
      </c>
    </row>
    <row r="6" spans="2:27" x14ac:dyDescent="0.3">
      <c r="B6" t="s">
        <v>6</v>
      </c>
      <c r="C6">
        <v>2</v>
      </c>
      <c r="E6">
        <f>E4+E5</f>
        <v>1785.537</v>
      </c>
      <c r="F6">
        <f>F4+F5</f>
        <v>7.0000000000000001E-3</v>
      </c>
      <c r="J6" s="3">
        <v>1787.192</v>
      </c>
      <c r="K6" s="3">
        <v>2.09</v>
      </c>
      <c r="L6" s="3">
        <v>0.109</v>
      </c>
      <c r="M6">
        <f t="shared" si="0"/>
        <v>2.7657627745575701</v>
      </c>
      <c r="O6">
        <f t="shared" si="1"/>
        <v>1787.5885286898988</v>
      </c>
      <c r="P6" s="3">
        <f t="shared" si="2"/>
        <v>-0.39652868989878698</v>
      </c>
      <c r="S6" t="s">
        <v>18</v>
      </c>
      <c r="T6">
        <v>0.99999915624416269</v>
      </c>
      <c r="U6">
        <v>0.448989671006646</v>
      </c>
      <c r="X6" t="s">
        <v>18</v>
      </c>
      <c r="Y6">
        <v>0.99999915624416258</v>
      </c>
      <c r="Z6">
        <v>0.44935538045281803</v>
      </c>
    </row>
    <row r="7" spans="2:27" x14ac:dyDescent="0.3">
      <c r="B7" t="s">
        <v>7</v>
      </c>
      <c r="C7">
        <v>0</v>
      </c>
      <c r="E7">
        <v>1173.2280000000001</v>
      </c>
      <c r="F7">
        <v>3.0000000000000001E-3</v>
      </c>
      <c r="G7">
        <v>99.85</v>
      </c>
      <c r="H7">
        <v>0.03</v>
      </c>
      <c r="J7" s="3">
        <v>1174.989</v>
      </c>
      <c r="K7" s="3">
        <v>1.43</v>
      </c>
      <c r="L7" s="3">
        <v>0.38500000000000001</v>
      </c>
      <c r="M7">
        <f t="shared" si="0"/>
        <v>1.2172861672259352</v>
      </c>
      <c r="O7">
        <f t="shared" si="1"/>
        <v>1174.7810515035135</v>
      </c>
      <c r="P7" s="3">
        <f>J7-O7</f>
        <v>0.20794849648655145</v>
      </c>
      <c r="T7">
        <v>33184927.59954207</v>
      </c>
      <c r="U7">
        <v>28</v>
      </c>
      <c r="Y7">
        <v>33184927.599539846</v>
      </c>
      <c r="Z7">
        <v>28</v>
      </c>
    </row>
    <row r="8" spans="2:27" x14ac:dyDescent="0.3">
      <c r="B8" t="s">
        <v>7</v>
      </c>
      <c r="C8">
        <v>1</v>
      </c>
      <c r="E8">
        <v>1332.492</v>
      </c>
      <c r="F8">
        <v>4.0000000000000001E-3</v>
      </c>
      <c r="G8">
        <v>99.982600000000005</v>
      </c>
      <c r="H8">
        <v>5.9999999999999995E-4</v>
      </c>
      <c r="J8" s="3">
        <v>1334.42</v>
      </c>
      <c r="K8" s="3">
        <v>1.47</v>
      </c>
      <c r="L8" s="3">
        <v>0.33900000000000002</v>
      </c>
      <c r="M8">
        <f t="shared" si="0"/>
        <v>1.3152667800205713</v>
      </c>
      <c r="O8">
        <f t="shared" si="1"/>
        <v>1334.1747073972083</v>
      </c>
      <c r="P8" s="3">
        <f>J8-O8</f>
        <v>0.24529260279177834</v>
      </c>
      <c r="T8">
        <v>6689806.7878625449</v>
      </c>
      <c r="U8">
        <v>5.6445682907783734</v>
      </c>
      <c r="Y8">
        <v>6700709.1406822577</v>
      </c>
      <c r="Z8">
        <v>5.6537672223731121</v>
      </c>
    </row>
    <row r="9" spans="2:27" x14ac:dyDescent="0.3">
      <c r="B9" t="s">
        <v>8</v>
      </c>
      <c r="C9">
        <v>0</v>
      </c>
      <c r="E9">
        <v>661.65700000000004</v>
      </c>
      <c r="F9">
        <v>3.0000000000000001E-3</v>
      </c>
      <c r="G9">
        <v>84.99</v>
      </c>
      <c r="H9" s="4">
        <v>0.2</v>
      </c>
      <c r="J9" s="3">
        <v>662.74400000000003</v>
      </c>
      <c r="K9" s="3">
        <v>1.2649999999999999</v>
      </c>
      <c r="L9" s="3">
        <v>50.482999999999997</v>
      </c>
      <c r="M9">
        <f t="shared" si="0"/>
        <v>9.9983357835901066E-2</v>
      </c>
      <c r="O9">
        <f t="shared" si="1"/>
        <v>662.79358453550185</v>
      </c>
      <c r="P9" s="3">
        <f>J9-O9</f>
        <v>-4.9584535501821847E-2</v>
      </c>
    </row>
    <row r="10" spans="2:27" x14ac:dyDescent="0.3">
      <c r="B10" t="s">
        <v>14</v>
      </c>
      <c r="C10">
        <v>4</v>
      </c>
      <c r="E10">
        <v>121.7817</v>
      </c>
      <c r="F10">
        <v>2.9999999999999997E-4</v>
      </c>
      <c r="G10">
        <v>28.41</v>
      </c>
      <c r="H10">
        <v>0.13</v>
      </c>
      <c r="J10" s="3">
        <v>122.20399999999999</v>
      </c>
      <c r="K10" s="3">
        <v>1.131</v>
      </c>
      <c r="L10" s="3">
        <v>23.384</v>
      </c>
      <c r="M10">
        <f t="shared" si="0"/>
        <v>0.13890789631191264</v>
      </c>
      <c r="O10">
        <f t="shared" si="1"/>
        <v>122.47877520190914</v>
      </c>
      <c r="P10" s="3">
        <f t="shared" ref="P10:P25" si="3">J10-O10</f>
        <v>-0.27477520190915072</v>
      </c>
      <c r="R10" s="10"/>
      <c r="S10" s="10"/>
    </row>
    <row r="11" spans="2:27" x14ac:dyDescent="0.3">
      <c r="B11" t="s">
        <v>14</v>
      </c>
      <c r="C11">
        <v>6</v>
      </c>
      <c r="E11">
        <v>244.69739999999999</v>
      </c>
      <c r="F11">
        <v>8.0000000000000004E-4</v>
      </c>
      <c r="G11">
        <v>7.55</v>
      </c>
      <c r="H11">
        <v>0.04</v>
      </c>
      <c r="J11" s="3">
        <v>245.386</v>
      </c>
      <c r="K11" s="3">
        <v>1.163</v>
      </c>
      <c r="L11" s="3">
        <v>3.1680000000000001</v>
      </c>
      <c r="M11">
        <f t="shared" si="0"/>
        <v>0.38269457325309619</v>
      </c>
      <c r="O11">
        <f t="shared" si="1"/>
        <v>245.49454015652935</v>
      </c>
      <c r="P11" s="3">
        <f t="shared" si="3"/>
        <v>-0.108540156529358</v>
      </c>
    </row>
    <row r="12" spans="2:27" x14ac:dyDescent="0.3">
      <c r="B12" t="s">
        <v>14</v>
      </c>
      <c r="C12">
        <v>7</v>
      </c>
      <c r="E12">
        <v>344.27850000000001</v>
      </c>
      <c r="F12">
        <v>1.1999999999999999E-3</v>
      </c>
      <c r="G12">
        <v>26.59</v>
      </c>
      <c r="H12">
        <v>0.12</v>
      </c>
      <c r="J12" s="3">
        <v>345.09300000000002</v>
      </c>
      <c r="K12" s="3">
        <v>1.1859999999999999</v>
      </c>
      <c r="L12" s="3">
        <v>8.7409999999999997</v>
      </c>
      <c r="M12">
        <f t="shared" si="0"/>
        <v>0.23265737153379129</v>
      </c>
      <c r="O12">
        <f t="shared" si="1"/>
        <v>345.15670854935905</v>
      </c>
      <c r="P12" s="3">
        <f t="shared" si="3"/>
        <v>-6.3708549359034805E-2</v>
      </c>
    </row>
    <row r="13" spans="2:27" x14ac:dyDescent="0.3">
      <c r="B13" t="s">
        <v>14</v>
      </c>
      <c r="C13">
        <v>8</v>
      </c>
      <c r="E13">
        <v>367.78910000000002</v>
      </c>
      <c r="F13" s="2">
        <v>2E-3</v>
      </c>
      <c r="G13">
        <v>0.86199999999999999</v>
      </c>
      <c r="H13">
        <v>5.0000000000000001E-3</v>
      </c>
      <c r="J13" s="3">
        <v>368.27300000000002</v>
      </c>
      <c r="K13" s="3">
        <v>1.4319999999999999</v>
      </c>
      <c r="L13" s="3">
        <v>0.29099999999999998</v>
      </c>
      <c r="M13">
        <f t="shared" si="0"/>
        <v>1.4011352117347791</v>
      </c>
      <c r="O13">
        <f t="shared" si="1"/>
        <v>368.68644839172333</v>
      </c>
      <c r="P13" s="3">
        <f t="shared" si="3"/>
        <v>-0.41344839172330694</v>
      </c>
    </row>
    <row r="14" spans="2:27" x14ac:dyDescent="0.3">
      <c r="B14" t="s">
        <v>14</v>
      </c>
      <c r="C14">
        <v>9</v>
      </c>
      <c r="E14">
        <v>411.11649999999997</v>
      </c>
      <c r="F14">
        <v>1.1999999999999999E-3</v>
      </c>
      <c r="G14">
        <v>2.238</v>
      </c>
      <c r="H14" s="3">
        <v>0.01</v>
      </c>
      <c r="J14" s="3">
        <v>412.01100000000002</v>
      </c>
      <c r="K14" s="3">
        <v>1.232</v>
      </c>
      <c r="L14" s="3">
        <v>0.56299999999999994</v>
      </c>
      <c r="M14">
        <f t="shared" si="0"/>
        <v>0.9343426840573259</v>
      </c>
      <c r="O14">
        <f t="shared" si="1"/>
        <v>412.0491209754112</v>
      </c>
      <c r="P14" s="3">
        <f t="shared" si="3"/>
        <v>-3.8120975411175095E-2</v>
      </c>
    </row>
    <row r="15" spans="2:27" x14ac:dyDescent="0.3">
      <c r="B15" t="s">
        <v>14</v>
      </c>
      <c r="C15">
        <v>10</v>
      </c>
      <c r="E15">
        <v>443.96499999999997</v>
      </c>
      <c r="F15">
        <v>3.0000000000000001E-3</v>
      </c>
      <c r="G15" s="4">
        <v>2.8</v>
      </c>
      <c r="H15">
        <v>0.02</v>
      </c>
      <c r="J15" s="3">
        <v>444.875</v>
      </c>
      <c r="K15" s="3">
        <v>1.23</v>
      </c>
      <c r="L15" s="3">
        <v>0.68400000000000005</v>
      </c>
      <c r="M15">
        <f t="shared" si="0"/>
        <v>0.84699244741912105</v>
      </c>
      <c r="O15">
        <f t="shared" si="1"/>
        <v>444.92436274771404</v>
      </c>
      <c r="P15" s="3">
        <f t="shared" si="3"/>
        <v>-4.9362747714042143E-2</v>
      </c>
    </row>
    <row r="16" spans="2:27" x14ac:dyDescent="0.3">
      <c r="B16" t="s">
        <v>14</v>
      </c>
      <c r="C16">
        <v>12</v>
      </c>
      <c r="E16" s="3">
        <v>688.67</v>
      </c>
      <c r="F16">
        <v>5.0000000000000001E-3</v>
      </c>
      <c r="G16">
        <v>0.84099999999999997</v>
      </c>
      <c r="H16">
        <v>6.0000000000000001E-3</v>
      </c>
      <c r="J16" s="3">
        <v>689.81299999999999</v>
      </c>
      <c r="K16" s="3">
        <v>1.1000000000000001</v>
      </c>
      <c r="L16" s="3">
        <v>0.14299999999999999</v>
      </c>
      <c r="M16">
        <f t="shared" si="0"/>
        <v>1.7517952997764077</v>
      </c>
      <c r="O16">
        <f t="shared" si="1"/>
        <v>689.8285756612828</v>
      </c>
      <c r="P16" s="3">
        <f t="shared" si="3"/>
        <v>-1.5575661282809961E-2</v>
      </c>
    </row>
    <row r="17" spans="2:16" x14ac:dyDescent="0.3">
      <c r="B17" t="s">
        <v>14</v>
      </c>
      <c r="C17">
        <v>13</v>
      </c>
      <c r="E17">
        <v>778.90449999999998</v>
      </c>
      <c r="F17">
        <v>2.3999999999999998E-3</v>
      </c>
      <c r="G17">
        <v>12.97</v>
      </c>
      <c r="H17">
        <v>0.06</v>
      </c>
      <c r="J17" s="3">
        <v>780.07399999999996</v>
      </c>
      <c r="K17" s="3">
        <v>1.306</v>
      </c>
      <c r="L17" s="3">
        <v>1.6719999999999999</v>
      </c>
      <c r="M17">
        <f t="shared" si="0"/>
        <v>0.55822397485510511</v>
      </c>
      <c r="O17">
        <f t="shared" si="1"/>
        <v>780.13653504155468</v>
      </c>
      <c r="P17" s="3">
        <f t="shared" si="3"/>
        <v>-6.2535041554724557E-2</v>
      </c>
    </row>
    <row r="18" spans="2:16" x14ac:dyDescent="0.3">
      <c r="B18" t="s">
        <v>14</v>
      </c>
      <c r="C18">
        <v>14</v>
      </c>
      <c r="E18" s="3">
        <v>867.38</v>
      </c>
      <c r="F18">
        <v>3.0000000000000001E-3</v>
      </c>
      <c r="G18">
        <v>4.2430000000000003</v>
      </c>
      <c r="H18">
        <v>2.3E-2</v>
      </c>
      <c r="J18" s="3">
        <v>868.64599999999996</v>
      </c>
      <c r="K18" s="3">
        <v>1.353</v>
      </c>
      <c r="L18" s="3">
        <v>0.42599999999999999</v>
      </c>
      <c r="M18">
        <f t="shared" si="0"/>
        <v>1.1256389999357617</v>
      </c>
      <c r="O18">
        <f t="shared" si="1"/>
        <v>868.68406243018364</v>
      </c>
      <c r="P18" s="3">
        <f t="shared" si="3"/>
        <v>-3.8062430183686047E-2</v>
      </c>
    </row>
    <row r="19" spans="2:16" x14ac:dyDescent="0.3">
      <c r="B19" t="s">
        <v>14</v>
      </c>
      <c r="C19">
        <v>15</v>
      </c>
      <c r="E19">
        <v>964.07899999999995</v>
      </c>
      <c r="F19">
        <v>1.7999999999999999E-2</v>
      </c>
      <c r="G19" s="4">
        <v>14.5</v>
      </c>
      <c r="H19">
        <v>0.06</v>
      </c>
      <c r="J19" s="3">
        <v>965.35</v>
      </c>
      <c r="K19" s="3">
        <v>1.4239999999999999</v>
      </c>
      <c r="L19" s="3">
        <v>1.357</v>
      </c>
      <c r="M19">
        <f t="shared" si="0"/>
        <v>0.6470235731934143</v>
      </c>
      <c r="O19">
        <f t="shared" si="1"/>
        <v>965.46178452220943</v>
      </c>
      <c r="P19" s="3">
        <f t="shared" si="3"/>
        <v>-0.11178452220940471</v>
      </c>
    </row>
    <row r="20" spans="2:16" x14ac:dyDescent="0.3">
      <c r="B20" t="s">
        <v>14</v>
      </c>
      <c r="C20">
        <v>16</v>
      </c>
      <c r="E20" s="3">
        <v>1005.272</v>
      </c>
      <c r="F20">
        <v>1.7000000000000001E-2</v>
      </c>
      <c r="G20">
        <v>0.65500000000000003</v>
      </c>
      <c r="H20">
        <v>2.3E-2</v>
      </c>
      <c r="J20" s="3">
        <v>1005.753</v>
      </c>
      <c r="K20" s="3">
        <v>1.41</v>
      </c>
      <c r="L20" s="3">
        <v>0.13100000000000001</v>
      </c>
      <c r="M20">
        <f t="shared" si="0"/>
        <v>2.0721869838226032</v>
      </c>
      <c r="O20">
        <f t="shared" si="1"/>
        <v>1006.6883195033037</v>
      </c>
      <c r="P20" s="3">
        <f t="shared" si="3"/>
        <v>-0.93531950330361724</v>
      </c>
    </row>
    <row r="21" spans="2:16" x14ac:dyDescent="0.3">
      <c r="B21" t="s">
        <v>14</v>
      </c>
      <c r="C21">
        <v>17</v>
      </c>
      <c r="E21">
        <v>1085.837</v>
      </c>
      <c r="F21" s="3">
        <v>0.01</v>
      </c>
      <c r="G21">
        <v>10.130000000000001</v>
      </c>
      <c r="H21">
        <v>0.06</v>
      </c>
      <c r="J21" s="3">
        <v>1087.3820000000001</v>
      </c>
      <c r="K21" s="3">
        <v>1.653</v>
      </c>
      <c r="L21" s="3">
        <v>0.89100000000000001</v>
      </c>
      <c r="M21">
        <f t="shared" si="0"/>
        <v>0.86030531832875801</v>
      </c>
      <c r="O21">
        <f t="shared" si="1"/>
        <v>1087.3189070000103</v>
      </c>
      <c r="P21" s="3">
        <f t="shared" si="3"/>
        <v>6.3092999989748932E-2</v>
      </c>
    </row>
    <row r="22" spans="2:16" x14ac:dyDescent="0.3">
      <c r="B22" t="s">
        <v>14</v>
      </c>
      <c r="C22">
        <v>18</v>
      </c>
      <c r="E22" s="3">
        <v>1112.076</v>
      </c>
      <c r="F22">
        <v>3.0000000000000001E-3</v>
      </c>
      <c r="G22">
        <v>13.41</v>
      </c>
      <c r="H22">
        <v>0.06</v>
      </c>
      <c r="J22" s="3">
        <v>1113.482</v>
      </c>
      <c r="K22" s="3">
        <v>1.4450000000000001</v>
      </c>
      <c r="L22" s="3">
        <v>1.1040000000000001</v>
      </c>
      <c r="M22">
        <f t="shared" si="0"/>
        <v>0.7226107527444825</v>
      </c>
      <c r="O22">
        <f t="shared" si="1"/>
        <v>1113.5792680169047</v>
      </c>
      <c r="P22" s="3">
        <f t="shared" si="3"/>
        <v>-9.7268016904763499E-2</v>
      </c>
    </row>
    <row r="23" spans="2:16" x14ac:dyDescent="0.3">
      <c r="B23" t="s">
        <v>14</v>
      </c>
      <c r="C23">
        <v>20</v>
      </c>
      <c r="E23" s="3">
        <v>1212.9480000000001</v>
      </c>
      <c r="F23">
        <v>1.0999999999999999E-2</v>
      </c>
      <c r="G23">
        <v>1.4159999999999999</v>
      </c>
      <c r="H23">
        <v>8.9999999999999993E-3</v>
      </c>
      <c r="J23" s="3">
        <v>1214.423</v>
      </c>
      <c r="K23" s="3">
        <v>1.31</v>
      </c>
      <c r="L23" s="3">
        <v>9.8000000000000004E-2</v>
      </c>
      <c r="M23">
        <f t="shared" si="0"/>
        <v>2.309285575816082</v>
      </c>
      <c r="O23">
        <f t="shared" si="1"/>
        <v>1214.5333873238969</v>
      </c>
      <c r="P23" s="3">
        <f t="shared" si="3"/>
        <v>-0.11038732389692996</v>
      </c>
    </row>
    <row r="24" spans="2:16" x14ac:dyDescent="0.3">
      <c r="B24" t="s">
        <v>14</v>
      </c>
      <c r="C24">
        <v>21</v>
      </c>
      <c r="E24">
        <v>1299.1420000000001</v>
      </c>
      <c r="F24">
        <v>8.0000000000000002E-3</v>
      </c>
      <c r="G24">
        <v>1.633</v>
      </c>
      <c r="H24">
        <v>8.9999999999999993E-3</v>
      </c>
      <c r="J24" s="3">
        <v>1300.652</v>
      </c>
      <c r="K24" s="3">
        <v>1.54</v>
      </c>
      <c r="L24" s="3">
        <v>0.112</v>
      </c>
      <c r="M24">
        <f t="shared" si="0"/>
        <v>2.3421051119707887</v>
      </c>
      <c r="O24">
        <f t="shared" si="1"/>
        <v>1300.79755735668</v>
      </c>
      <c r="P24" s="3">
        <f t="shared" si="3"/>
        <v>-0.14555735668000125</v>
      </c>
    </row>
    <row r="25" spans="2:16" x14ac:dyDescent="0.3">
      <c r="B25" t="s">
        <v>14</v>
      </c>
      <c r="C25">
        <v>22</v>
      </c>
      <c r="E25" s="3">
        <v>1408.0129999999999</v>
      </c>
      <c r="F25">
        <v>3.0000000000000001E-3</v>
      </c>
      <c r="G25">
        <v>20.85</v>
      </c>
      <c r="H25">
        <v>0.08</v>
      </c>
      <c r="J25" s="3">
        <v>1409.7159999999999</v>
      </c>
      <c r="K25" s="3">
        <v>1.5940000000000001</v>
      </c>
      <c r="L25" s="3">
        <v>1.236</v>
      </c>
      <c r="M25">
        <f t="shared" si="0"/>
        <v>0.71728203897095222</v>
      </c>
      <c r="O25">
        <f t="shared" si="1"/>
        <v>1409.7571886029277</v>
      </c>
      <c r="P25" s="3">
        <f t="shared" si="3"/>
        <v>-4.1188602927832108E-2</v>
      </c>
    </row>
    <row r="26" spans="2:16" x14ac:dyDescent="0.3">
      <c r="B26" t="s">
        <v>103</v>
      </c>
      <c r="C26">
        <v>5</v>
      </c>
      <c r="E26" s="11">
        <v>80.997900000000001</v>
      </c>
      <c r="F26" s="11">
        <v>1.1000000000000001E-3</v>
      </c>
      <c r="G26" s="11">
        <v>33.31</v>
      </c>
      <c r="H26" s="4">
        <v>0.3</v>
      </c>
      <c r="J26" s="3">
        <v>81.328000000000003</v>
      </c>
      <c r="K26" s="3">
        <v>1.1769999999999901</v>
      </c>
      <c r="L26" s="3">
        <v>2.99489714664896</v>
      </c>
      <c r="M26">
        <f t="shared" si="0"/>
        <v>0.39596090509497239</v>
      </c>
      <c r="O26">
        <f t="shared" ref="O26:O30" si="4">$Y$4*E26+$Z$4</f>
        <v>81.66177334814887</v>
      </c>
      <c r="P26" s="3">
        <f t="shared" ref="P26:P30" si="5">J26-O26</f>
        <v>-0.33377334814886694</v>
      </c>
    </row>
    <row r="27" spans="2:16" x14ac:dyDescent="0.3">
      <c r="B27" t="s">
        <v>103</v>
      </c>
      <c r="C27">
        <v>28</v>
      </c>
      <c r="E27" s="11">
        <v>276.39890000000003</v>
      </c>
      <c r="F27" s="11">
        <v>1.1999999999999999E-3</v>
      </c>
      <c r="G27" s="11">
        <v>7.13</v>
      </c>
      <c r="H27" s="11">
        <v>0.06</v>
      </c>
      <c r="J27" s="3">
        <v>277.52099999999899</v>
      </c>
      <c r="K27" s="3">
        <v>1.1739999999999899</v>
      </c>
      <c r="L27" s="3">
        <v>0.23223047998230401</v>
      </c>
      <c r="M27">
        <f t="shared" si="0"/>
        <v>1.420134478403646</v>
      </c>
      <c r="O27">
        <f t="shared" si="4"/>
        <v>277.22184816282066</v>
      </c>
      <c r="P27" s="3">
        <f t="shared" si="5"/>
        <v>0.29915183717832861</v>
      </c>
    </row>
    <row r="28" spans="2:16" x14ac:dyDescent="0.3">
      <c r="B28" t="s">
        <v>103</v>
      </c>
      <c r="C28">
        <v>29</v>
      </c>
      <c r="E28" s="11">
        <v>302.85079999999999</v>
      </c>
      <c r="F28" s="11">
        <v>5.0000000000000001E-4</v>
      </c>
      <c r="G28" s="11">
        <v>18.309999999999999</v>
      </c>
      <c r="H28" s="11">
        <v>0.11</v>
      </c>
      <c r="J28" s="3">
        <v>304.05099999999902</v>
      </c>
      <c r="K28" s="3">
        <v>1.18799999999999</v>
      </c>
      <c r="L28" s="3">
        <v>0.554377128953772</v>
      </c>
      <c r="M28">
        <f t="shared" si="0"/>
        <v>0.92461428898980236</v>
      </c>
      <c r="O28">
        <f t="shared" si="4"/>
        <v>303.69528250036348</v>
      </c>
      <c r="P28" s="3">
        <f t="shared" si="5"/>
        <v>0.35571749963554566</v>
      </c>
    </row>
    <row r="29" spans="2:16" x14ac:dyDescent="0.3">
      <c r="B29" t="s">
        <v>103</v>
      </c>
      <c r="C29">
        <v>32</v>
      </c>
      <c r="E29" s="11">
        <v>356.0129</v>
      </c>
      <c r="F29" s="11">
        <v>6.9999999999999999E-4</v>
      </c>
      <c r="G29" s="11">
        <v>62.05</v>
      </c>
      <c r="H29" s="11">
        <v>0.19</v>
      </c>
      <c r="J29" s="3">
        <v>357.33999999999901</v>
      </c>
      <c r="K29" s="3">
        <v>1.2009999999999901</v>
      </c>
      <c r="L29" s="3">
        <v>1.69045476664454</v>
      </c>
      <c r="M29">
        <f t="shared" si="0"/>
        <v>0.5323837113089076</v>
      </c>
      <c r="O29">
        <f t="shared" si="4"/>
        <v>356.90066145597302</v>
      </c>
      <c r="P29" s="3">
        <f t="shared" si="5"/>
        <v>0.43933854402598627</v>
      </c>
    </row>
    <row r="30" spans="2:16" x14ac:dyDescent="0.3">
      <c r="B30" t="s">
        <v>103</v>
      </c>
      <c r="C30">
        <v>35</v>
      </c>
      <c r="E30" s="11">
        <v>383.8485</v>
      </c>
      <c r="F30" s="11">
        <v>1.1999999999999999E-3</v>
      </c>
      <c r="G30" s="11">
        <v>8.94</v>
      </c>
      <c r="H30" s="11">
        <v>0.06</v>
      </c>
      <c r="J30" s="3">
        <v>386.32999999999902</v>
      </c>
      <c r="K30" s="3">
        <v>2.04199999999999</v>
      </c>
      <c r="L30" s="3">
        <v>0.26698894049988797</v>
      </c>
      <c r="M30">
        <f t="shared" si="0"/>
        <v>1.746772177250369</v>
      </c>
      <c r="O30">
        <f t="shared" si="4"/>
        <v>384.75892225561722</v>
      </c>
      <c r="P30" s="3">
        <f t="shared" si="5"/>
        <v>1.571077744381796</v>
      </c>
    </row>
    <row r="31" spans="2:16" x14ac:dyDescent="0.3">
      <c r="B31" t="s">
        <v>109</v>
      </c>
      <c r="C31">
        <v>7</v>
      </c>
      <c r="E31" s="11">
        <v>569.69799999999998</v>
      </c>
      <c r="F31" s="11">
        <v>2E-3</v>
      </c>
      <c r="G31" s="11">
        <v>97.76</v>
      </c>
      <c r="H31" s="11">
        <v>0.03</v>
      </c>
      <c r="J31">
        <v>570.22299999999905</v>
      </c>
      <c r="K31">
        <v>1.70199999999999</v>
      </c>
      <c r="L31">
        <v>8.2659707554833197</v>
      </c>
      <c r="M31">
        <f t="shared" si="0"/>
        <v>0.28660771623105963</v>
      </c>
      <c r="O31">
        <f t="shared" ref="O31:O33" si="6">$Y$4*E31+$Z$4</f>
        <v>570.75972124983593</v>
      </c>
      <c r="P31" s="3">
        <f t="shared" ref="P31:P33" si="7">J31-O31</f>
        <v>-0.53672124983688718</v>
      </c>
    </row>
    <row r="32" spans="2:16" x14ac:dyDescent="0.3">
      <c r="B32" t="s">
        <v>109</v>
      </c>
      <c r="C32">
        <v>9</v>
      </c>
      <c r="E32" s="11">
        <v>1063.6559999999999</v>
      </c>
      <c r="F32" s="11">
        <v>3.0000000000000001E-3</v>
      </c>
      <c r="G32" s="11">
        <v>74.58</v>
      </c>
      <c r="H32" s="11">
        <v>0.22</v>
      </c>
      <c r="J32">
        <v>1065.1389999999899</v>
      </c>
      <c r="K32">
        <v>1.9249999999999901</v>
      </c>
      <c r="L32">
        <v>3.2037278635255801</v>
      </c>
      <c r="M32">
        <f t="shared" si="0"/>
        <v>0.48960133195419669</v>
      </c>
      <c r="O32">
        <f t="shared" si="6"/>
        <v>1065.1198495772528</v>
      </c>
      <c r="P32" s="3">
        <f t="shared" si="7"/>
        <v>1.9150422737084227E-2</v>
      </c>
    </row>
    <row r="33" spans="2:16" x14ac:dyDescent="0.3">
      <c r="B33" t="s">
        <v>109</v>
      </c>
      <c r="C33">
        <v>11</v>
      </c>
      <c r="E33" s="11">
        <v>1770.2280000000001</v>
      </c>
      <c r="F33" s="11">
        <v>8.9999999999999993E-3</v>
      </c>
      <c r="G33" s="11">
        <v>6.8710000000000004</v>
      </c>
      <c r="H33" s="11">
        <v>2.5999999999999999E-2</v>
      </c>
      <c r="J33">
        <v>1773.19399999999</v>
      </c>
      <c r="K33">
        <v>2.29</v>
      </c>
      <c r="L33">
        <v>0.15868990473377101</v>
      </c>
      <c r="M33">
        <f t="shared" si="0"/>
        <v>2.3993749718701087</v>
      </c>
      <c r="O33">
        <f t="shared" si="6"/>
        <v>1772.2670657222689</v>
      </c>
      <c r="P33" s="3">
        <f t="shared" si="7"/>
        <v>0.92693427772110226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9042-30D7-48AF-827E-8CF12E8E60BE}">
  <dimension ref="A2:AW390"/>
  <sheetViews>
    <sheetView topLeftCell="V1" workbookViewId="0">
      <selection activeCell="AN4" sqref="AN4"/>
    </sheetView>
  </sheetViews>
  <sheetFormatPr defaultRowHeight="14.4" x14ac:dyDescent="0.3"/>
  <sheetData>
    <row r="2" spans="1:49" ht="57.6" x14ac:dyDescent="0.3">
      <c r="B2" s="1" t="s">
        <v>0</v>
      </c>
      <c r="C2" s="1" t="s">
        <v>15</v>
      </c>
      <c r="D2" s="1"/>
      <c r="E2" s="1" t="s">
        <v>1</v>
      </c>
      <c r="F2" s="1" t="s">
        <v>2</v>
      </c>
      <c r="G2" s="1" t="s">
        <v>9</v>
      </c>
      <c r="H2" s="1" t="s">
        <v>2</v>
      </c>
      <c r="I2" s="1"/>
      <c r="J2" s="1" t="s">
        <v>3</v>
      </c>
      <c r="K2" s="1" t="s">
        <v>4</v>
      </c>
      <c r="L2" s="1" t="s">
        <v>5</v>
      </c>
      <c r="M2" s="1" t="s">
        <v>64</v>
      </c>
      <c r="O2" s="1" t="s">
        <v>53</v>
      </c>
      <c r="P2" s="1" t="s">
        <v>2</v>
      </c>
      <c r="Q2" s="1" t="s">
        <v>54</v>
      </c>
      <c r="R2" s="1" t="s">
        <v>2</v>
      </c>
      <c r="T2" t="s">
        <v>55</v>
      </c>
      <c r="U2" s="1" t="s">
        <v>17</v>
      </c>
      <c r="V2" s="1"/>
      <c r="W2" t="s">
        <v>56</v>
      </c>
      <c r="X2" t="s">
        <v>17</v>
      </c>
      <c r="AJ2" t="s">
        <v>61</v>
      </c>
      <c r="AK2" t="s">
        <v>62</v>
      </c>
      <c r="AR2" t="s">
        <v>60</v>
      </c>
      <c r="AT2" t="s">
        <v>13</v>
      </c>
      <c r="AV2" t="s">
        <v>101</v>
      </c>
      <c r="AW2" t="s">
        <v>102</v>
      </c>
    </row>
    <row r="4" spans="1:49" x14ac:dyDescent="0.3">
      <c r="A4" t="s">
        <v>110</v>
      </c>
      <c r="B4" t="s">
        <v>103</v>
      </c>
      <c r="C4">
        <v>1</v>
      </c>
      <c r="E4" s="11"/>
      <c r="F4" s="11"/>
      <c r="G4" s="11">
        <f>$F$46+$I$46</f>
        <v>96.199999999999989</v>
      </c>
      <c r="H4" s="11">
        <f>SQRT($G$46^2+$J$46^2)</f>
        <v>0.80622577482985491</v>
      </c>
      <c r="J4" s="3">
        <v>30.948</v>
      </c>
      <c r="K4" s="3">
        <v>1.0699999999999901</v>
      </c>
      <c r="L4" s="3">
        <v>17.072293407570299</v>
      </c>
      <c r="M4" s="2">
        <v>5.0000000000000001E-4</v>
      </c>
      <c r="O4">
        <f>Data!$N$11</f>
        <v>9.4030496245358179</v>
      </c>
      <c r="P4">
        <f>Data!$O$11</f>
        <v>0.58337987118009516</v>
      </c>
      <c r="Q4">
        <f t="shared" ref="Q4:Q32" si="0">1000*O4*G4/100</f>
        <v>9045.7337388034557</v>
      </c>
      <c r="R4">
        <f t="shared" ref="R4:R32" si="1">Q4*SQRT((P4/O4)^2+(H4/G4)^2)</f>
        <v>566.30857597898205</v>
      </c>
      <c r="T4">
        <f t="shared" ref="T4:T11" si="2">L4*K4*SQRT(2*PI())</f>
        <v>45.789465903986567</v>
      </c>
      <c r="U4">
        <f t="shared" ref="U4:U11" si="3">T4*SQRT((M4/L4)^2+(M4/K4)^2)</f>
        <v>2.1438930293207852E-2</v>
      </c>
      <c r="W4">
        <f t="shared" ref="W4:W32" si="4">T4/Q4</f>
        <v>5.0619957679677923E-3</v>
      </c>
      <c r="X4">
        <f t="shared" ref="X4:X32" si="5">W4*SQRT((U4/T4)^2+(R4/Q4)^2)</f>
        <v>3.1691533983581007E-4</v>
      </c>
      <c r="AJ4">
        <f>W4</f>
        <v>5.0619957679677923E-3</v>
      </c>
      <c r="AK4" s="3">
        <f>1/J4</f>
        <v>3.231226573607341E-2</v>
      </c>
      <c r="AN4">
        <v>0.2</v>
      </c>
      <c r="AR4">
        <f t="shared" ref="AR4:AR26" si="6">$AN$6*AK4</f>
        <v>0.1919265263762148</v>
      </c>
      <c r="AT4">
        <f t="shared" ref="AT4:AT26" si="7">AJ4-AR4</f>
        <v>-0.18686453060824701</v>
      </c>
      <c r="AV4">
        <v>36</v>
      </c>
      <c r="AW4" t="e">
        <f>$AN$4/SQRT(AV4-200)</f>
        <v>#NUM!</v>
      </c>
    </row>
    <row r="5" spans="1:49" x14ac:dyDescent="0.3">
      <c r="A5" t="s">
        <v>111</v>
      </c>
      <c r="B5" t="s">
        <v>103</v>
      </c>
      <c r="C5">
        <v>5</v>
      </c>
      <c r="E5" s="11">
        <v>80.997900000000001</v>
      </c>
      <c r="F5" s="11">
        <v>1.1000000000000001E-3</v>
      </c>
      <c r="G5" s="11">
        <v>33.31</v>
      </c>
      <c r="H5" s="4">
        <v>0.3</v>
      </c>
      <c r="J5" s="3">
        <v>81.247</v>
      </c>
      <c r="K5" s="3">
        <v>1.2089999999999901</v>
      </c>
      <c r="L5" s="3">
        <v>6.7974189397838396</v>
      </c>
      <c r="M5" s="2">
        <v>5.0000000000000001E-4</v>
      </c>
      <c r="O5">
        <f>Data!$N$11</f>
        <v>9.4030496245358179</v>
      </c>
      <c r="P5">
        <f>Data!$O$11</f>
        <v>0.58337987118009516</v>
      </c>
      <c r="Q5">
        <f t="shared" si="0"/>
        <v>3132.1558299328813</v>
      </c>
      <c r="R5">
        <f t="shared" si="1"/>
        <v>196.3606604294601</v>
      </c>
      <c r="T5">
        <f t="shared" si="2"/>
        <v>20.599670433349939</v>
      </c>
      <c r="U5">
        <f t="shared" si="3"/>
        <v>8.6530050855441795E-3</v>
      </c>
      <c r="W5">
        <f t="shared" si="4"/>
        <v>6.5768344717993697E-3</v>
      </c>
      <c r="X5">
        <f t="shared" si="5"/>
        <v>4.1232321096643896E-4</v>
      </c>
      <c r="AJ5">
        <f>W5</f>
        <v>6.5768344717993697E-3</v>
      </c>
      <c r="AK5" s="3">
        <f>1/J5</f>
        <v>1.2308146762341994E-2</v>
      </c>
      <c r="AR5">
        <f t="shared" si="6"/>
        <v>7.3107217968553864E-2</v>
      </c>
      <c r="AT5">
        <f t="shared" si="7"/>
        <v>-6.6530383496754497E-2</v>
      </c>
      <c r="AV5">
        <v>41</v>
      </c>
      <c r="AW5" t="e">
        <f t="shared" ref="AW5:AW68" si="8">$AN$4/SQRT(AV5-200)</f>
        <v>#NUM!</v>
      </c>
    </row>
    <row r="6" spans="1:49" x14ac:dyDescent="0.3">
      <c r="A6" t="s">
        <v>112</v>
      </c>
      <c r="B6" t="s">
        <v>103</v>
      </c>
      <c r="C6">
        <v>20</v>
      </c>
      <c r="E6" s="11">
        <v>276.39890000000003</v>
      </c>
      <c r="F6" s="11">
        <v>1.1999999999999999E-3</v>
      </c>
      <c r="G6" s="11">
        <v>7.13</v>
      </c>
      <c r="H6" s="11">
        <v>0.06</v>
      </c>
      <c r="J6" s="3">
        <v>277.54599999999903</v>
      </c>
      <c r="K6" s="3">
        <v>1.2009999999999901</v>
      </c>
      <c r="L6" s="3">
        <v>0.55128390960557605</v>
      </c>
      <c r="M6" s="2">
        <v>5.0000000000000001E-4</v>
      </c>
      <c r="O6">
        <f>Data!$N$11</f>
        <v>9.4030496245358179</v>
      </c>
      <c r="P6">
        <f>Data!$O$11</f>
        <v>0.58337987118009516</v>
      </c>
      <c r="Q6">
        <f t="shared" si="0"/>
        <v>670.43743822940382</v>
      </c>
      <c r="R6">
        <f t="shared" si="1"/>
        <v>41.975862170761026</v>
      </c>
      <c r="T6">
        <f t="shared" si="2"/>
        <v>1.6596184660349016</v>
      </c>
      <c r="U6">
        <f t="shared" si="3"/>
        <v>1.6562322021082927E-3</v>
      </c>
      <c r="W6">
        <f t="shared" si="4"/>
        <v>2.4754262984147814E-3</v>
      </c>
      <c r="X6">
        <f t="shared" si="5"/>
        <v>1.55005293580888E-4</v>
      </c>
      <c r="AJ6">
        <f>W6</f>
        <v>2.4754262984147814E-3</v>
      </c>
      <c r="AK6" s="3">
        <f>1/J6</f>
        <v>3.6030063484971987E-3</v>
      </c>
      <c r="AM6" s="6" t="s">
        <v>10</v>
      </c>
      <c r="AN6">
        <f t="array" ref="AN6:AO10">LINEST(AJ12:AJ32,AK12:AK32,0,1)</f>
        <v>5.9397421382910958</v>
      </c>
      <c r="AO6">
        <v>0</v>
      </c>
      <c r="AP6" t="s">
        <v>11</v>
      </c>
      <c r="AR6">
        <f t="shared" si="6"/>
        <v>2.1400928632699143E-2</v>
      </c>
      <c r="AT6">
        <f t="shared" si="7"/>
        <v>-1.8925502334284361E-2</v>
      </c>
      <c r="AV6">
        <v>46</v>
      </c>
      <c r="AW6" t="e">
        <f t="shared" si="8"/>
        <v>#NUM!</v>
      </c>
    </row>
    <row r="7" spans="1:49" x14ac:dyDescent="0.3">
      <c r="A7" t="s">
        <v>113</v>
      </c>
      <c r="B7" t="s">
        <v>103</v>
      </c>
      <c r="C7">
        <v>21</v>
      </c>
      <c r="E7" s="11">
        <v>302.85079999999999</v>
      </c>
      <c r="F7" s="11">
        <v>5.0000000000000001E-4</v>
      </c>
      <c r="G7" s="11">
        <v>18.309999999999999</v>
      </c>
      <c r="H7" s="11">
        <v>0.11</v>
      </c>
      <c r="J7" s="3">
        <v>304.099999999999</v>
      </c>
      <c r="K7" s="3">
        <v>1.21399999999999</v>
      </c>
      <c r="L7" s="3">
        <v>1.3228038646890901</v>
      </c>
      <c r="M7" s="2">
        <v>5.0000000000000001E-4</v>
      </c>
      <c r="O7">
        <f>Data!$N$11</f>
        <v>9.4030496245358179</v>
      </c>
      <c r="P7">
        <f>Data!$O$11</f>
        <v>0.58337987118009516</v>
      </c>
      <c r="Q7">
        <f t="shared" si="0"/>
        <v>1721.6983862525078</v>
      </c>
      <c r="R7">
        <f t="shared" si="1"/>
        <v>107.3164729704454</v>
      </c>
      <c r="T7">
        <f t="shared" si="2"/>
        <v>4.0253539687912578</v>
      </c>
      <c r="U7">
        <f t="shared" si="3"/>
        <v>2.2502507782579256E-3</v>
      </c>
      <c r="W7">
        <f t="shared" si="4"/>
        <v>2.3380134412235498E-3</v>
      </c>
      <c r="X7">
        <f t="shared" si="5"/>
        <v>1.4573832949149208E-4</v>
      </c>
      <c r="AJ7">
        <f t="shared" ref="AJ7:AJ26" si="9">W7</f>
        <v>2.3380134412235498E-3</v>
      </c>
      <c r="AK7" s="3">
        <f t="shared" ref="AK7:AK26" si="10">1/J7</f>
        <v>3.2883919763235887E-3</v>
      </c>
      <c r="AM7" t="s">
        <v>17</v>
      </c>
      <c r="AN7">
        <v>0.25071843684867462</v>
      </c>
      <c r="AO7" t="e">
        <v>#N/A</v>
      </c>
      <c r="AP7" t="s">
        <v>17</v>
      </c>
      <c r="AR7">
        <f t="shared" si="6"/>
        <v>1.9532200388987554E-2</v>
      </c>
      <c r="AT7">
        <f t="shared" si="7"/>
        <v>-1.7194186947764003E-2</v>
      </c>
      <c r="AV7">
        <v>51</v>
      </c>
      <c r="AW7" t="e">
        <f t="shared" si="8"/>
        <v>#NUM!</v>
      </c>
    </row>
    <row r="8" spans="1:49" x14ac:dyDescent="0.3">
      <c r="A8" t="s">
        <v>114</v>
      </c>
      <c r="B8" t="s">
        <v>103</v>
      </c>
      <c r="C8">
        <v>23</v>
      </c>
      <c r="E8" s="11">
        <v>356.0129</v>
      </c>
      <c r="F8" s="11">
        <v>6.9999999999999999E-4</v>
      </c>
      <c r="G8" s="11">
        <v>62.05</v>
      </c>
      <c r="H8" s="11">
        <v>0.19</v>
      </c>
      <c r="J8" s="3">
        <v>357.41099999999898</v>
      </c>
      <c r="K8" s="3">
        <v>1.2229999999999901</v>
      </c>
      <c r="L8" s="3">
        <v>3.9353108127076202</v>
      </c>
      <c r="M8" s="2">
        <v>5.0000000000000001E-4</v>
      </c>
      <c r="O8">
        <f>Data!$N$11</f>
        <v>9.4030496245358179</v>
      </c>
      <c r="P8">
        <f>Data!$O$11</f>
        <v>0.58337987118009516</v>
      </c>
      <c r="Q8">
        <f t="shared" si="0"/>
        <v>5834.5922920244748</v>
      </c>
      <c r="R8">
        <f t="shared" si="1"/>
        <v>362.42782296308656</v>
      </c>
      <c r="T8">
        <f t="shared" si="2"/>
        <v>12.064113934222391</v>
      </c>
      <c r="U8">
        <f t="shared" si="3"/>
        <v>5.164870941535539E-3</v>
      </c>
      <c r="W8">
        <f t="shared" si="4"/>
        <v>2.0676875658841294E-3</v>
      </c>
      <c r="X8">
        <f t="shared" si="5"/>
        <v>1.2844175973486532E-4</v>
      </c>
      <c r="AJ8">
        <f t="shared" si="9"/>
        <v>2.0676875658841294E-3</v>
      </c>
      <c r="AK8" s="3">
        <f t="shared" si="10"/>
        <v>2.7978993371776551E-3</v>
      </c>
      <c r="AM8" t="s">
        <v>18</v>
      </c>
      <c r="AN8">
        <v>0.96559187873218777</v>
      </c>
      <c r="AO8">
        <v>2.8457749931571344E-3</v>
      </c>
      <c r="AR8">
        <f t="shared" si="6"/>
        <v>1.6618800591730844E-2</v>
      </c>
      <c r="AT8">
        <f t="shared" si="7"/>
        <v>-1.4551113025846715E-2</v>
      </c>
      <c r="AV8">
        <v>56</v>
      </c>
      <c r="AW8" t="e">
        <f t="shared" si="8"/>
        <v>#NUM!</v>
      </c>
    </row>
    <row r="9" spans="1:49" x14ac:dyDescent="0.3">
      <c r="A9" t="s">
        <v>115</v>
      </c>
      <c r="B9" t="s">
        <v>103</v>
      </c>
      <c r="C9">
        <v>24</v>
      </c>
      <c r="E9" s="11">
        <v>383.8485</v>
      </c>
      <c r="F9" s="11">
        <v>1.1999999999999999E-3</v>
      </c>
      <c r="G9" s="11">
        <v>8.94</v>
      </c>
      <c r="H9" s="11">
        <v>0.06</v>
      </c>
      <c r="J9" s="3">
        <v>385.94999999999902</v>
      </c>
      <c r="K9" s="3">
        <v>1.86</v>
      </c>
      <c r="L9" s="3">
        <v>0.54706227483273195</v>
      </c>
      <c r="M9" s="2">
        <v>5.0000000000000001E-4</v>
      </c>
      <c r="O9">
        <f>Data!$N$11</f>
        <v>9.4030496245358179</v>
      </c>
      <c r="P9">
        <f>Data!$O$11</f>
        <v>0.58337987118009516</v>
      </c>
      <c r="Q9">
        <f t="shared" si="0"/>
        <v>840.63263643350206</v>
      </c>
      <c r="R9">
        <f t="shared" si="1"/>
        <v>52.458428292750625</v>
      </c>
      <c r="T9">
        <f t="shared" si="2"/>
        <v>2.5505840849082069</v>
      </c>
      <c r="U9">
        <f t="shared" si="3"/>
        <v>2.4299033710572272E-3</v>
      </c>
      <c r="W9">
        <f t="shared" si="4"/>
        <v>3.0341245085717893E-3</v>
      </c>
      <c r="X9">
        <f t="shared" si="5"/>
        <v>1.8936208645797868E-4</v>
      </c>
      <c r="AJ9">
        <f t="shared" si="9"/>
        <v>3.0341245085717893E-3</v>
      </c>
      <c r="AK9" s="3">
        <f t="shared" si="10"/>
        <v>2.5910091980826597E-3</v>
      </c>
      <c r="AN9">
        <v>561.25812346253974</v>
      </c>
      <c r="AO9">
        <v>20</v>
      </c>
      <c r="AR9">
        <f t="shared" si="6"/>
        <v>1.5389926514551395E-2</v>
      </c>
      <c r="AT9">
        <f t="shared" si="7"/>
        <v>-1.2355802005979605E-2</v>
      </c>
      <c r="AV9">
        <v>61</v>
      </c>
      <c r="AW9" t="e">
        <f t="shared" si="8"/>
        <v>#NUM!</v>
      </c>
    </row>
    <row r="10" spans="1:49" x14ac:dyDescent="0.3">
      <c r="B10" t="s">
        <v>14</v>
      </c>
      <c r="C10">
        <v>0</v>
      </c>
      <c r="G10">
        <f>$F$43+$I$43</f>
        <v>58.5</v>
      </c>
      <c r="H10">
        <f>SQRT($G$43^2+$J$43^2)</f>
        <v>0.58309518948452999</v>
      </c>
      <c r="J10">
        <v>39.907999999999902</v>
      </c>
      <c r="K10">
        <v>1.1359999999999899</v>
      </c>
      <c r="L10" s="3">
        <v>49.124941594718102</v>
      </c>
      <c r="M10" s="2">
        <v>5.0000000000000001E-4</v>
      </c>
      <c r="O10">
        <f>Data!$N$5</f>
        <v>5.2713726140193762</v>
      </c>
      <c r="P10">
        <f>Data!$O$5</f>
        <v>0.15293335261036162</v>
      </c>
      <c r="Q10">
        <f t="shared" si="0"/>
        <v>3083.7529792013347</v>
      </c>
      <c r="R10">
        <f t="shared" si="1"/>
        <v>94.598825192735021</v>
      </c>
      <c r="T10">
        <f t="shared" si="2"/>
        <v>139.88473118328034</v>
      </c>
      <c r="U10">
        <f t="shared" si="3"/>
        <v>6.1585443669604001E-2</v>
      </c>
      <c r="W10">
        <f t="shared" si="4"/>
        <v>4.5361847115104943E-2</v>
      </c>
      <c r="X10">
        <f t="shared" si="5"/>
        <v>1.3916871351180816E-3</v>
      </c>
      <c r="AJ10">
        <f t="shared" si="9"/>
        <v>4.5361847115104943E-2</v>
      </c>
      <c r="AK10" s="3">
        <f t="shared" si="10"/>
        <v>2.5057632554876277E-2</v>
      </c>
      <c r="AN10">
        <v>4.5453126060154359E-3</v>
      </c>
      <c r="AO10">
        <v>1.6196870623356974E-4</v>
      </c>
      <c r="AR10">
        <f t="shared" si="6"/>
        <v>0.14883587597201339</v>
      </c>
      <c r="AT10">
        <f t="shared" si="7"/>
        <v>-0.10347402885690846</v>
      </c>
      <c r="AV10">
        <v>66</v>
      </c>
      <c r="AW10" t="e">
        <f t="shared" si="8"/>
        <v>#NUM!</v>
      </c>
    </row>
    <row r="11" spans="1:49" x14ac:dyDescent="0.3">
      <c r="B11" t="s">
        <v>14</v>
      </c>
      <c r="C11">
        <v>1</v>
      </c>
      <c r="G11">
        <f>$F$44+$O$44</f>
        <v>14.82</v>
      </c>
      <c r="H11">
        <f>SQRT($G$44^2+$P$44^2)</f>
        <v>0.20615528128088303</v>
      </c>
      <c r="J11">
        <v>45.537999999999897</v>
      </c>
      <c r="K11">
        <v>1.12699999999999</v>
      </c>
      <c r="L11" s="3">
        <v>10.4523920771965</v>
      </c>
      <c r="M11" s="2">
        <v>5.0000000000000001E-4</v>
      </c>
      <c r="O11">
        <f>Data!$N$5</f>
        <v>5.2713726140193762</v>
      </c>
      <c r="P11">
        <f>Data!$O$5</f>
        <v>0.15293335261036162</v>
      </c>
      <c r="Q11">
        <f t="shared" si="0"/>
        <v>781.21742139767161</v>
      </c>
      <c r="R11">
        <f t="shared" si="1"/>
        <v>25.135353218730877</v>
      </c>
      <c r="T11">
        <f t="shared" si="2"/>
        <v>29.527694731044722</v>
      </c>
      <c r="U11">
        <f t="shared" si="3"/>
        <v>1.3176059345406119E-2</v>
      </c>
      <c r="W11">
        <f t="shared" si="4"/>
        <v>3.7797025414790283E-2</v>
      </c>
      <c r="X11">
        <f t="shared" si="5"/>
        <v>1.2162208917988965E-3</v>
      </c>
      <c r="AJ11">
        <f t="shared" si="9"/>
        <v>3.7797025414790283E-2</v>
      </c>
      <c r="AK11" s="3">
        <f t="shared" si="10"/>
        <v>2.1959682023804345E-2</v>
      </c>
      <c r="AR11">
        <f t="shared" si="6"/>
        <v>0.13043484866026417</v>
      </c>
      <c r="AT11">
        <f t="shared" si="7"/>
        <v>-9.2637823245473885E-2</v>
      </c>
      <c r="AV11">
        <v>71</v>
      </c>
      <c r="AW11" t="e">
        <f t="shared" si="8"/>
        <v>#NUM!</v>
      </c>
    </row>
    <row r="12" spans="1:49" x14ac:dyDescent="0.3">
      <c r="B12" t="s">
        <v>7</v>
      </c>
      <c r="C12">
        <v>0</v>
      </c>
      <c r="E12">
        <v>1173.2280000000001</v>
      </c>
      <c r="F12">
        <v>3.0000000000000001E-3</v>
      </c>
      <c r="G12">
        <v>99.85</v>
      </c>
      <c r="H12">
        <v>0.03</v>
      </c>
      <c r="J12">
        <v>1176.78899999999</v>
      </c>
      <c r="K12">
        <v>1.6479999999999899</v>
      </c>
      <c r="L12">
        <v>19.352523809523799</v>
      </c>
      <c r="M12" s="2">
        <v>5.0000000000000001E-4</v>
      </c>
      <c r="O12">
        <f>Data!$N$6</f>
        <v>10.074941625407249</v>
      </c>
      <c r="P12">
        <f>Data!$O$6</f>
        <v>0.72811893768096991</v>
      </c>
      <c r="Q12">
        <f t="shared" si="0"/>
        <v>10059.829212969138</v>
      </c>
      <c r="R12">
        <f t="shared" si="1"/>
        <v>727.03304195991996</v>
      </c>
      <c r="T12">
        <f t="shared" ref="T12:T13" si="11">L12*K12*SQRT(2*PI())</f>
        <v>79.943793387862954</v>
      </c>
      <c r="U12">
        <f t="shared" ref="U12:U13" si="12">T12*SQRT((M12/L12)^2+(M12/K12)^2)</f>
        <v>2.4342576930618681E-2</v>
      </c>
      <c r="W12">
        <f t="shared" si="4"/>
        <v>7.9468340560691995E-3</v>
      </c>
      <c r="X12">
        <f t="shared" si="5"/>
        <v>5.7433005034132243E-4</v>
      </c>
      <c r="AJ12">
        <f t="shared" si="9"/>
        <v>7.9468340560691995E-3</v>
      </c>
      <c r="AK12" s="3">
        <f>1/J38</f>
        <v>8.5107179726788931E-4</v>
      </c>
      <c r="AR12">
        <f t="shared" si="6"/>
        <v>5.0551470169432188E-3</v>
      </c>
      <c r="AT12">
        <f t="shared" si="7"/>
        <v>2.8916870391259807E-3</v>
      </c>
      <c r="AV12">
        <v>76</v>
      </c>
      <c r="AW12" t="e">
        <f t="shared" si="8"/>
        <v>#NUM!</v>
      </c>
    </row>
    <row r="13" spans="1:49" x14ac:dyDescent="0.3">
      <c r="B13" t="s">
        <v>7</v>
      </c>
      <c r="C13">
        <v>1</v>
      </c>
      <c r="E13">
        <v>1332.492</v>
      </c>
      <c r="F13">
        <v>4.0000000000000001E-3</v>
      </c>
      <c r="G13">
        <v>99.982600000000005</v>
      </c>
      <c r="H13">
        <v>5.9999999999999995E-4</v>
      </c>
      <c r="J13">
        <v>1336.5129999999899</v>
      </c>
      <c r="K13">
        <v>1.70399999999999</v>
      </c>
      <c r="L13">
        <v>16.737666666666701</v>
      </c>
      <c r="M13" s="2">
        <v>5.0000000000000001E-4</v>
      </c>
      <c r="O13">
        <f>Data!$N$6</f>
        <v>10.074941625407249</v>
      </c>
      <c r="P13">
        <f>Data!$O$6</f>
        <v>0.72811893768096991</v>
      </c>
      <c r="Q13">
        <f t="shared" si="0"/>
        <v>10073.188585564429</v>
      </c>
      <c r="R13">
        <f t="shared" si="1"/>
        <v>727.99224749556549</v>
      </c>
      <c r="T13">
        <f t="shared" si="11"/>
        <v>71.491504914698098</v>
      </c>
      <c r="U13">
        <f t="shared" si="12"/>
        <v>2.1085985204320867E-2</v>
      </c>
      <c r="W13">
        <f t="shared" si="4"/>
        <v>7.0972070370200688E-3</v>
      </c>
      <c r="X13">
        <f t="shared" si="5"/>
        <v>5.1292147317630809E-4</v>
      </c>
      <c r="AJ13">
        <f t="shared" si="9"/>
        <v>7.0972070370200688E-3</v>
      </c>
      <c r="AK13" s="3">
        <f>1/J39</f>
        <v>7.4938924776307302E-4</v>
      </c>
      <c r="AR13">
        <f t="shared" si="6"/>
        <v>4.4511788929205908E-3</v>
      </c>
      <c r="AT13">
        <f t="shared" si="7"/>
        <v>2.6460281440994779E-3</v>
      </c>
      <c r="AV13">
        <v>81</v>
      </c>
      <c r="AW13" t="e">
        <f t="shared" si="8"/>
        <v>#NUM!</v>
      </c>
    </row>
    <row r="14" spans="1:49" x14ac:dyDescent="0.3">
      <c r="B14" t="s">
        <v>8</v>
      </c>
      <c r="C14">
        <v>0</v>
      </c>
      <c r="E14">
        <v>661.65700000000004</v>
      </c>
      <c r="F14">
        <v>3.0000000000000001E-3</v>
      </c>
      <c r="G14">
        <v>84.99</v>
      </c>
      <c r="H14" s="4">
        <v>0.2</v>
      </c>
      <c r="J14" s="3">
        <v>662.74400000000003</v>
      </c>
      <c r="K14" s="3">
        <v>1.2649999999999999</v>
      </c>
      <c r="L14" s="3">
        <v>50.482999999999997</v>
      </c>
      <c r="M14" s="2">
        <v>5.0000000000000001E-4</v>
      </c>
      <c r="O14">
        <f>Data!$N$4</f>
        <v>15.27139747251133</v>
      </c>
      <c r="P14">
        <f>Data!$O$4</f>
        <v>0.93405577819370234</v>
      </c>
      <c r="Q14">
        <f t="shared" si="0"/>
        <v>12979.160711887378</v>
      </c>
      <c r="R14">
        <f t="shared" si="1"/>
        <v>794.44134143787915</v>
      </c>
      <c r="T14">
        <f t="shared" ref="T14:T32" si="13">L14*K14*SQRT(2*PI())</f>
        <v>160.07577571306891</v>
      </c>
      <c r="U14">
        <f t="shared" ref="U14:U32" si="14">T14*SQRT((M14/L14)^2+(M14/K14)^2)</f>
        <v>6.3290918437227325E-2</v>
      </c>
      <c r="W14">
        <f t="shared" si="4"/>
        <v>1.2333291748707481E-2</v>
      </c>
      <c r="X14">
        <f t="shared" si="5"/>
        <v>7.5492410265819501E-4</v>
      </c>
      <c r="AJ14">
        <f t="shared" si="9"/>
        <v>1.2333291748707481E-2</v>
      </c>
      <c r="AK14" s="3">
        <f t="shared" si="10"/>
        <v>1.5088782395615804E-3</v>
      </c>
      <c r="AR14">
        <f t="shared" si="6"/>
        <v>8.962347661074406E-3</v>
      </c>
      <c r="AT14">
        <f t="shared" si="7"/>
        <v>3.3709440876330751E-3</v>
      </c>
      <c r="AV14">
        <v>86</v>
      </c>
      <c r="AW14" t="e">
        <f t="shared" si="8"/>
        <v>#NUM!</v>
      </c>
    </row>
    <row r="15" spans="1:49" x14ac:dyDescent="0.3">
      <c r="B15" t="s">
        <v>14</v>
      </c>
      <c r="C15">
        <v>4</v>
      </c>
      <c r="E15">
        <v>121.7817</v>
      </c>
      <c r="F15">
        <v>2.9999999999999997E-4</v>
      </c>
      <c r="G15">
        <v>28.41</v>
      </c>
      <c r="H15">
        <v>0.13</v>
      </c>
      <c r="J15" s="3">
        <v>122.20399999999999</v>
      </c>
      <c r="K15" s="3">
        <v>1.131</v>
      </c>
      <c r="L15" s="3">
        <v>23.384</v>
      </c>
      <c r="M15" s="2">
        <v>5.0000000000000001E-4</v>
      </c>
      <c r="O15">
        <f>Data!$N$5</f>
        <v>5.2713726140193762</v>
      </c>
      <c r="P15">
        <f>Data!$O$5</f>
        <v>0.15293335261036162</v>
      </c>
      <c r="Q15">
        <f t="shared" si="0"/>
        <v>1497.5969596429047</v>
      </c>
      <c r="R15">
        <f t="shared" si="1"/>
        <v>43.985464833250198</v>
      </c>
      <c r="T15">
        <f t="shared" si="13"/>
        <v>66.293559994161555</v>
      </c>
      <c r="U15">
        <f t="shared" si="14"/>
        <v>2.9341757410461095E-2</v>
      </c>
      <c r="W15">
        <f t="shared" si="4"/>
        <v>4.4266622983775927E-2</v>
      </c>
      <c r="X15">
        <f t="shared" si="5"/>
        <v>1.3002891379578602E-3</v>
      </c>
      <c r="AJ15">
        <f t="shared" si="9"/>
        <v>4.4266622983775927E-2</v>
      </c>
      <c r="AK15" s="3">
        <f t="shared" si="10"/>
        <v>8.18303819842231E-3</v>
      </c>
      <c r="AR15">
        <f t="shared" si="6"/>
        <v>4.8605136806414651E-2</v>
      </c>
      <c r="AT15">
        <f t="shared" si="7"/>
        <v>-4.3385138226387232E-3</v>
      </c>
      <c r="AV15">
        <v>91</v>
      </c>
      <c r="AW15" t="e">
        <f t="shared" si="8"/>
        <v>#NUM!</v>
      </c>
    </row>
    <row r="16" spans="1:49" x14ac:dyDescent="0.3">
      <c r="B16" t="s">
        <v>14</v>
      </c>
      <c r="C16">
        <v>6</v>
      </c>
      <c r="E16">
        <v>244.69739999999999</v>
      </c>
      <c r="F16">
        <v>8.0000000000000004E-4</v>
      </c>
      <c r="G16">
        <v>7.55</v>
      </c>
      <c r="H16">
        <v>0.04</v>
      </c>
      <c r="J16" s="3">
        <v>245.386</v>
      </c>
      <c r="K16" s="3">
        <v>1.163</v>
      </c>
      <c r="L16" s="3">
        <v>3.1680000000000001</v>
      </c>
      <c r="M16" s="2">
        <v>5.0000000000000001E-4</v>
      </c>
      <c r="O16">
        <f>Data!$N$5</f>
        <v>5.2713726140193762</v>
      </c>
      <c r="P16">
        <f>Data!$O$5</f>
        <v>0.15293335261036162</v>
      </c>
      <c r="Q16">
        <f t="shared" si="0"/>
        <v>397.98863235846284</v>
      </c>
      <c r="R16">
        <f t="shared" si="1"/>
        <v>11.737414756750999</v>
      </c>
      <c r="T16">
        <f t="shared" si="13"/>
        <v>9.2353811089980642</v>
      </c>
      <c r="U16">
        <f t="shared" si="14"/>
        <v>4.2295950410207632E-3</v>
      </c>
      <c r="W16">
        <f t="shared" si="4"/>
        <v>2.3205137931376605E-2</v>
      </c>
      <c r="X16">
        <f t="shared" si="5"/>
        <v>6.8444459176175427E-4</v>
      </c>
      <c r="AJ16">
        <f t="shared" si="9"/>
        <v>2.3205137931376605E-2</v>
      </c>
      <c r="AK16" s="3">
        <f t="shared" si="10"/>
        <v>4.0752121147905745E-3</v>
      </c>
      <c r="AR16">
        <f t="shared" si="6"/>
        <v>2.4205709120695945E-2</v>
      </c>
      <c r="AT16">
        <f t="shared" si="7"/>
        <v>-1.0005711893193402E-3</v>
      </c>
      <c r="AV16">
        <v>96</v>
      </c>
      <c r="AW16" t="e">
        <f t="shared" si="8"/>
        <v>#NUM!</v>
      </c>
    </row>
    <row r="17" spans="2:49" x14ac:dyDescent="0.3">
      <c r="B17" t="s">
        <v>14</v>
      </c>
      <c r="C17">
        <v>7</v>
      </c>
      <c r="E17">
        <v>344.27850000000001</v>
      </c>
      <c r="F17">
        <v>1.1999999999999999E-3</v>
      </c>
      <c r="G17">
        <v>26.59</v>
      </c>
      <c r="H17">
        <v>0.12</v>
      </c>
      <c r="J17" s="3">
        <v>345.09300000000002</v>
      </c>
      <c r="K17" s="3">
        <v>1.1859999999999999</v>
      </c>
      <c r="L17" s="3">
        <v>8.7409999999999997</v>
      </c>
      <c r="M17" s="2">
        <v>5.0000000000000001E-4</v>
      </c>
      <c r="O17">
        <f>Data!$N$5</f>
        <v>5.2713726140193762</v>
      </c>
      <c r="P17">
        <f>Data!$O$5</f>
        <v>0.15293335261036162</v>
      </c>
      <c r="Q17">
        <f t="shared" si="0"/>
        <v>1401.6579780677521</v>
      </c>
      <c r="R17">
        <f t="shared" si="1"/>
        <v>41.154031209327151</v>
      </c>
      <c r="T17">
        <f t="shared" si="13"/>
        <v>25.985779169779793</v>
      </c>
      <c r="U17">
        <f t="shared" si="14"/>
        <v>1.1055600228542588E-2</v>
      </c>
      <c r="W17">
        <f t="shared" si="4"/>
        <v>1.8539315279753443E-2</v>
      </c>
      <c r="X17">
        <f t="shared" si="5"/>
        <v>5.4438933508235753E-4</v>
      </c>
      <c r="AJ17">
        <f t="shared" si="9"/>
        <v>1.8539315279753443E-2</v>
      </c>
      <c r="AK17" s="3">
        <f t="shared" si="10"/>
        <v>2.8977695867490791E-3</v>
      </c>
      <c r="AR17">
        <f t="shared" si="6"/>
        <v>1.7212004121471881E-2</v>
      </c>
      <c r="AT17">
        <f t="shared" si="7"/>
        <v>1.3273111582815626E-3</v>
      </c>
      <c r="AV17">
        <v>101</v>
      </c>
      <c r="AW17" t="e">
        <f t="shared" si="8"/>
        <v>#NUM!</v>
      </c>
    </row>
    <row r="18" spans="2:49" x14ac:dyDescent="0.3">
      <c r="B18" t="s">
        <v>14</v>
      </c>
      <c r="C18">
        <v>8</v>
      </c>
      <c r="E18">
        <v>367.78910000000002</v>
      </c>
      <c r="F18" s="2">
        <v>2E-3</v>
      </c>
      <c r="G18">
        <v>0.86199999999999999</v>
      </c>
      <c r="H18">
        <v>5.0000000000000001E-3</v>
      </c>
      <c r="J18" s="3">
        <v>368.27300000000002</v>
      </c>
      <c r="K18" s="3">
        <v>1.4319999999999999</v>
      </c>
      <c r="L18" s="3">
        <v>0.29099999999999998</v>
      </c>
      <c r="M18" s="2">
        <v>5.0000000000000001E-4</v>
      </c>
      <c r="O18">
        <f>Data!$N$5</f>
        <v>5.2713726140193762</v>
      </c>
      <c r="P18">
        <f>Data!$O$5</f>
        <v>0.15293335261036162</v>
      </c>
      <c r="Q18">
        <f t="shared" si="0"/>
        <v>45.439231932847015</v>
      </c>
      <c r="R18">
        <f t="shared" si="1"/>
        <v>1.3443753498502642</v>
      </c>
      <c r="T18">
        <f t="shared" si="13"/>
        <v>1.0445420815780333</v>
      </c>
      <c r="U18">
        <f t="shared" si="14"/>
        <v>1.8314281996809965E-3</v>
      </c>
      <c r="W18">
        <f t="shared" si="4"/>
        <v>2.2987670282845537E-2</v>
      </c>
      <c r="X18">
        <f t="shared" si="5"/>
        <v>6.8131161576441242E-4</v>
      </c>
      <c r="AJ18">
        <f t="shared" si="9"/>
        <v>2.2987670282845537E-2</v>
      </c>
      <c r="AK18" s="3">
        <f t="shared" si="10"/>
        <v>2.7153769078916996E-3</v>
      </c>
      <c r="AR18">
        <f t="shared" si="6"/>
        <v>1.6128638641146907E-2</v>
      </c>
      <c r="AT18">
        <f t="shared" si="7"/>
        <v>6.8590316416986298E-3</v>
      </c>
      <c r="AV18">
        <v>106</v>
      </c>
      <c r="AW18" t="e">
        <f t="shared" si="8"/>
        <v>#NUM!</v>
      </c>
    </row>
    <row r="19" spans="2:49" x14ac:dyDescent="0.3">
      <c r="B19" t="s">
        <v>14</v>
      </c>
      <c r="C19">
        <v>9</v>
      </c>
      <c r="E19">
        <v>411.11649999999997</v>
      </c>
      <c r="F19">
        <v>1.1999999999999999E-3</v>
      </c>
      <c r="G19">
        <v>2.238</v>
      </c>
      <c r="H19" s="3">
        <v>0.01</v>
      </c>
      <c r="J19" s="3">
        <v>412.01100000000002</v>
      </c>
      <c r="K19" s="3">
        <v>1.232</v>
      </c>
      <c r="L19" s="3">
        <v>0.56299999999999994</v>
      </c>
      <c r="M19" s="2">
        <v>5.0000000000000001E-4</v>
      </c>
      <c r="O19">
        <f>Data!$N$5</f>
        <v>5.2713726140193762</v>
      </c>
      <c r="P19">
        <f>Data!$O$5</f>
        <v>0.15293335261036162</v>
      </c>
      <c r="Q19">
        <f t="shared" si="0"/>
        <v>117.97331910175362</v>
      </c>
      <c r="R19">
        <f t="shared" si="1"/>
        <v>3.4630038950973452</v>
      </c>
      <c r="T19">
        <f t="shared" si="13"/>
        <v>1.7386374773364557</v>
      </c>
      <c r="U19">
        <f t="shared" si="14"/>
        <v>1.6976707881179401E-3</v>
      </c>
      <c r="W19">
        <f t="shared" si="4"/>
        <v>1.4737548206445364E-2</v>
      </c>
      <c r="X19">
        <f t="shared" si="5"/>
        <v>4.3284714829700942E-4</v>
      </c>
      <c r="AJ19">
        <f t="shared" si="9"/>
        <v>1.4737548206445364E-2</v>
      </c>
      <c r="AK19" s="3">
        <f t="shared" si="10"/>
        <v>2.427119664280808E-3</v>
      </c>
      <c r="AR19">
        <f t="shared" si="6"/>
        <v>1.4416464944603653E-2</v>
      </c>
      <c r="AT19">
        <f t="shared" si="7"/>
        <v>3.2108326184171129E-4</v>
      </c>
      <c r="AV19">
        <v>111</v>
      </c>
      <c r="AW19" t="e">
        <f t="shared" si="8"/>
        <v>#NUM!</v>
      </c>
    </row>
    <row r="20" spans="2:49" x14ac:dyDescent="0.3">
      <c r="B20" t="s">
        <v>14</v>
      </c>
      <c r="C20">
        <v>10</v>
      </c>
      <c r="E20">
        <v>443.96499999999997</v>
      </c>
      <c r="F20">
        <v>3.0000000000000001E-3</v>
      </c>
      <c r="G20" s="4">
        <v>2.8</v>
      </c>
      <c r="H20">
        <v>0.02</v>
      </c>
      <c r="J20" s="3">
        <v>444.875</v>
      </c>
      <c r="K20" s="3">
        <v>1.23</v>
      </c>
      <c r="L20" s="3">
        <v>0.68400000000000005</v>
      </c>
      <c r="M20" s="2">
        <v>5.0000000000000001E-4</v>
      </c>
      <c r="O20">
        <f>Data!$N$5</f>
        <v>5.2713726140193762</v>
      </c>
      <c r="P20">
        <f>Data!$O$5</f>
        <v>0.15293335261036162</v>
      </c>
      <c r="Q20">
        <f t="shared" si="0"/>
        <v>147.5984331925425</v>
      </c>
      <c r="R20">
        <f t="shared" si="1"/>
        <v>4.4100074009574142</v>
      </c>
      <c r="T20">
        <f t="shared" si="13"/>
        <v>2.1088765000125531</v>
      </c>
      <c r="U20">
        <f t="shared" si="14"/>
        <v>1.7639059637851874E-3</v>
      </c>
      <c r="W20">
        <f t="shared" si="4"/>
        <v>1.4287932835042488E-2</v>
      </c>
      <c r="X20">
        <f t="shared" si="5"/>
        <v>4.2706804428509974E-4</v>
      </c>
      <c r="AJ20">
        <f t="shared" si="9"/>
        <v>1.4287932835042488E-2</v>
      </c>
      <c r="AK20" s="3">
        <f t="shared" si="10"/>
        <v>2.2478224220286599E-3</v>
      </c>
      <c r="AR20">
        <f t="shared" si="6"/>
        <v>1.3351485559519182E-2</v>
      </c>
      <c r="AT20">
        <f t="shared" si="7"/>
        <v>9.3644727552330553E-4</v>
      </c>
      <c r="AV20">
        <v>116</v>
      </c>
      <c r="AW20" t="e">
        <f t="shared" si="8"/>
        <v>#NUM!</v>
      </c>
    </row>
    <row r="21" spans="2:49" x14ac:dyDescent="0.3">
      <c r="B21" t="s">
        <v>14</v>
      </c>
      <c r="C21">
        <v>12</v>
      </c>
      <c r="E21" s="3">
        <v>688.67</v>
      </c>
      <c r="F21">
        <v>5.0000000000000001E-3</v>
      </c>
      <c r="G21">
        <v>0.84099999999999997</v>
      </c>
      <c r="H21">
        <v>6.0000000000000001E-3</v>
      </c>
      <c r="J21" s="3">
        <v>689.81299999999999</v>
      </c>
      <c r="K21" s="3">
        <v>1.1000000000000001</v>
      </c>
      <c r="L21" s="3">
        <v>0.14299999999999999</v>
      </c>
      <c r="M21" s="2">
        <v>5.0000000000000001E-4</v>
      </c>
      <c r="O21">
        <f>Data!$N$5</f>
        <v>5.2713726140193762</v>
      </c>
      <c r="P21">
        <f>Data!$O$5</f>
        <v>0.15293335261036162</v>
      </c>
      <c r="Q21">
        <f t="shared" si="0"/>
        <v>44.332243683902952</v>
      </c>
      <c r="R21">
        <f t="shared" si="1"/>
        <v>1.3244872593887751</v>
      </c>
      <c r="T21">
        <f t="shared" si="13"/>
        <v>0.39429262759945632</v>
      </c>
      <c r="U21">
        <f t="shared" si="14"/>
        <v>1.3902462981459269E-3</v>
      </c>
      <c r="W21">
        <f t="shared" si="4"/>
        <v>8.8940372702729694E-3</v>
      </c>
      <c r="X21">
        <f t="shared" si="5"/>
        <v>2.6756578997142681E-4</v>
      </c>
      <c r="AJ21">
        <f t="shared" si="9"/>
        <v>8.8940372702729694E-3</v>
      </c>
      <c r="AK21" s="3">
        <f t="shared" si="10"/>
        <v>1.4496682434224928E-3</v>
      </c>
      <c r="AR21">
        <f t="shared" si="6"/>
        <v>8.6106555519990143E-3</v>
      </c>
      <c r="AT21">
        <f t="shared" si="7"/>
        <v>2.8338171827395515E-4</v>
      </c>
      <c r="AV21">
        <v>121</v>
      </c>
      <c r="AW21" t="e">
        <f t="shared" si="8"/>
        <v>#NUM!</v>
      </c>
    </row>
    <row r="22" spans="2:49" x14ac:dyDescent="0.3">
      <c r="B22" t="s">
        <v>14</v>
      </c>
      <c r="C22">
        <v>13</v>
      </c>
      <c r="E22">
        <v>778.90449999999998</v>
      </c>
      <c r="F22">
        <v>2.3999999999999998E-3</v>
      </c>
      <c r="G22">
        <v>12.97</v>
      </c>
      <c r="H22">
        <v>0.06</v>
      </c>
      <c r="J22" s="3">
        <v>780.07399999999996</v>
      </c>
      <c r="K22" s="3">
        <v>1.306</v>
      </c>
      <c r="L22" s="3">
        <v>1.6719999999999999</v>
      </c>
      <c r="M22" s="2">
        <v>5.0000000000000001E-4</v>
      </c>
      <c r="O22">
        <f>Data!$N$5</f>
        <v>5.2713726140193762</v>
      </c>
      <c r="P22">
        <f>Data!$O$5</f>
        <v>0.15293335261036162</v>
      </c>
      <c r="Q22">
        <f t="shared" si="0"/>
        <v>683.69702803831296</v>
      </c>
      <c r="R22">
        <f t="shared" si="1"/>
        <v>20.086033980110759</v>
      </c>
      <c r="T22">
        <f t="shared" si="13"/>
        <v>5.4735537125890401</v>
      </c>
      <c r="U22">
        <f t="shared" si="14"/>
        <v>2.6590411508842287E-3</v>
      </c>
      <c r="W22">
        <f t="shared" si="4"/>
        <v>8.0058176182130677E-3</v>
      </c>
      <c r="X22">
        <f t="shared" si="5"/>
        <v>2.352315445355187E-4</v>
      </c>
      <c r="AJ22">
        <f t="shared" si="9"/>
        <v>8.0058176182130677E-3</v>
      </c>
      <c r="AK22" s="3">
        <f t="shared" si="10"/>
        <v>1.2819296630832461E-3</v>
      </c>
      <c r="AR22">
        <f t="shared" si="6"/>
        <v>7.6143316381408642E-3</v>
      </c>
      <c r="AT22">
        <f t="shared" si="7"/>
        <v>3.9148598007220353E-4</v>
      </c>
      <c r="AV22">
        <v>126</v>
      </c>
      <c r="AW22" t="e">
        <f t="shared" si="8"/>
        <v>#NUM!</v>
      </c>
    </row>
    <row r="23" spans="2:49" x14ac:dyDescent="0.3">
      <c r="B23" t="s">
        <v>14</v>
      </c>
      <c r="C23">
        <v>14</v>
      </c>
      <c r="E23" s="3">
        <v>867.38</v>
      </c>
      <c r="F23">
        <v>3.0000000000000001E-3</v>
      </c>
      <c r="G23">
        <v>4.2430000000000003</v>
      </c>
      <c r="H23">
        <v>2.3E-2</v>
      </c>
      <c r="J23" s="3">
        <v>868.64599999999996</v>
      </c>
      <c r="K23" s="3">
        <v>1.353</v>
      </c>
      <c r="L23" s="3">
        <v>0.42599999999999999</v>
      </c>
      <c r="M23" s="2">
        <v>5.0000000000000001E-4</v>
      </c>
      <c r="O23">
        <f>Data!$N$5</f>
        <v>5.2713726140193762</v>
      </c>
      <c r="P23">
        <f>Data!$O$5</f>
        <v>0.15293335261036162</v>
      </c>
      <c r="Q23">
        <f t="shared" si="0"/>
        <v>223.6643400128421</v>
      </c>
      <c r="R23">
        <f t="shared" si="1"/>
        <v>6.6012560647978056</v>
      </c>
      <c r="T23">
        <f t="shared" si="13"/>
        <v>1.4447653916752665</v>
      </c>
      <c r="U23">
        <f t="shared" si="14"/>
        <v>1.7778008120144136E-3</v>
      </c>
      <c r="W23">
        <f t="shared" si="4"/>
        <v>6.4595249810153578E-3</v>
      </c>
      <c r="X23">
        <f t="shared" si="5"/>
        <v>1.9081281653022099E-4</v>
      </c>
      <c r="AJ23">
        <f t="shared" si="9"/>
        <v>6.4595249810153578E-3</v>
      </c>
      <c r="AK23" s="3">
        <f t="shared" si="10"/>
        <v>1.1512169514393666E-3</v>
      </c>
      <c r="AR23">
        <f t="shared" si="6"/>
        <v>6.8379318367794194E-3</v>
      </c>
      <c r="AT23">
        <f t="shared" si="7"/>
        <v>-3.7840685576406158E-4</v>
      </c>
      <c r="AV23">
        <v>131</v>
      </c>
      <c r="AW23" t="e">
        <f t="shared" si="8"/>
        <v>#NUM!</v>
      </c>
    </row>
    <row r="24" spans="2:49" x14ac:dyDescent="0.3">
      <c r="B24" t="s">
        <v>14</v>
      </c>
      <c r="C24">
        <v>15</v>
      </c>
      <c r="E24">
        <v>964.07899999999995</v>
      </c>
      <c r="F24">
        <v>1.7999999999999999E-2</v>
      </c>
      <c r="G24" s="4">
        <v>14.5</v>
      </c>
      <c r="H24">
        <v>0.06</v>
      </c>
      <c r="J24" s="3">
        <v>965.35</v>
      </c>
      <c r="K24" s="3">
        <v>1.4239999999999999</v>
      </c>
      <c r="L24" s="3">
        <v>1.357</v>
      </c>
      <c r="M24" s="2">
        <v>5.0000000000000001E-4</v>
      </c>
      <c r="O24">
        <f>Data!$N$5</f>
        <v>5.2713726140193762</v>
      </c>
      <c r="P24">
        <f>Data!$O$5</f>
        <v>0.15293335261036162</v>
      </c>
      <c r="Q24">
        <f t="shared" si="0"/>
        <v>764.34902903280954</v>
      </c>
      <c r="R24">
        <f t="shared" si="1"/>
        <v>22.39975413563652</v>
      </c>
      <c r="T24">
        <f t="shared" si="13"/>
        <v>4.8437282657921568</v>
      </c>
      <c r="U24">
        <f t="shared" si="14"/>
        <v>2.4653122353046853E-3</v>
      </c>
      <c r="W24">
        <f t="shared" si="4"/>
        <v>6.3370634118830559E-3</v>
      </c>
      <c r="X24">
        <f t="shared" si="5"/>
        <v>1.8573984355337687E-4</v>
      </c>
      <c r="AJ24">
        <f t="shared" si="9"/>
        <v>6.3370634118830559E-3</v>
      </c>
      <c r="AK24" s="3">
        <f t="shared" si="10"/>
        <v>1.0358937173046046E-3</v>
      </c>
      <c r="AR24">
        <f t="shared" si="6"/>
        <v>6.1529415634651637E-3</v>
      </c>
      <c r="AT24">
        <f t="shared" si="7"/>
        <v>1.8412184841789213E-4</v>
      </c>
      <c r="AV24">
        <v>136</v>
      </c>
      <c r="AW24" t="e">
        <f t="shared" si="8"/>
        <v>#NUM!</v>
      </c>
    </row>
    <row r="25" spans="2:49" x14ac:dyDescent="0.3">
      <c r="B25" t="s">
        <v>14</v>
      </c>
      <c r="C25">
        <v>16</v>
      </c>
      <c r="E25" s="3">
        <v>1005.272</v>
      </c>
      <c r="F25">
        <v>1.7000000000000001E-2</v>
      </c>
      <c r="G25">
        <v>0.65500000000000003</v>
      </c>
      <c r="H25">
        <v>2.3E-2</v>
      </c>
      <c r="J25" s="3">
        <v>1005.753</v>
      </c>
      <c r="K25" s="3">
        <v>1.41</v>
      </c>
      <c r="L25" s="3">
        <v>0.13100000000000001</v>
      </c>
      <c r="M25" s="2">
        <v>5.0000000000000001E-4</v>
      </c>
      <c r="O25">
        <f>Data!$N$5</f>
        <v>5.2713726140193762</v>
      </c>
      <c r="P25">
        <f>Data!$O$5</f>
        <v>0.15293335261036162</v>
      </c>
      <c r="Q25">
        <f t="shared" si="0"/>
        <v>34.527490621826914</v>
      </c>
      <c r="R25">
        <f t="shared" si="1"/>
        <v>1.5726988547446459</v>
      </c>
      <c r="T25">
        <f t="shared" si="13"/>
        <v>0.46299930860709204</v>
      </c>
      <c r="U25">
        <f t="shared" si="14"/>
        <v>1.7747835397774738E-3</v>
      </c>
      <c r="W25">
        <f t="shared" si="4"/>
        <v>1.3409584660473478E-2</v>
      </c>
      <c r="X25">
        <f t="shared" si="5"/>
        <v>6.1295464975669417E-4</v>
      </c>
      <c r="AJ25">
        <f t="shared" si="9"/>
        <v>1.3409584660473478E-2</v>
      </c>
      <c r="AK25" s="3">
        <f t="shared" si="10"/>
        <v>9.9427990769105344E-4</v>
      </c>
      <c r="AR25">
        <f t="shared" si="6"/>
        <v>5.9057662649687308E-3</v>
      </c>
      <c r="AT25">
        <f t="shared" si="7"/>
        <v>7.5038183955047476E-3</v>
      </c>
      <c r="AV25">
        <v>141</v>
      </c>
      <c r="AW25" t="e">
        <f t="shared" si="8"/>
        <v>#NUM!</v>
      </c>
    </row>
    <row r="26" spans="2:49" x14ac:dyDescent="0.3">
      <c r="B26" t="s">
        <v>14</v>
      </c>
      <c r="C26">
        <v>17</v>
      </c>
      <c r="E26">
        <v>1085.837</v>
      </c>
      <c r="F26" s="3">
        <v>0.01</v>
      </c>
      <c r="G26">
        <v>10.130000000000001</v>
      </c>
      <c r="H26">
        <v>0.06</v>
      </c>
      <c r="J26" s="3">
        <v>1087.3820000000001</v>
      </c>
      <c r="K26" s="3">
        <v>1.653</v>
      </c>
      <c r="L26" s="3">
        <v>0.89100000000000001</v>
      </c>
      <c r="M26" s="2">
        <v>5.0000000000000001E-4</v>
      </c>
      <c r="O26">
        <f>Data!$N$5</f>
        <v>5.2713726140193762</v>
      </c>
      <c r="P26">
        <f>Data!$O$5</f>
        <v>0.15293335261036162</v>
      </c>
      <c r="Q26">
        <f t="shared" si="0"/>
        <v>533.99004580016276</v>
      </c>
      <c r="R26">
        <f t="shared" si="1"/>
        <v>15.811708376117853</v>
      </c>
      <c r="T26">
        <f t="shared" si="13"/>
        <v>3.6918197753268536</v>
      </c>
      <c r="U26">
        <f t="shared" si="14"/>
        <v>2.3535257337054072E-3</v>
      </c>
      <c r="W26">
        <f t="shared" si="4"/>
        <v>6.9136490546276175E-3</v>
      </c>
      <c r="X26">
        <f t="shared" si="5"/>
        <v>2.0476399446453145E-4</v>
      </c>
      <c r="AJ26">
        <f t="shared" si="9"/>
        <v>6.9136490546276175E-3</v>
      </c>
      <c r="AK26" s="3">
        <f t="shared" si="10"/>
        <v>9.1964001611209299E-4</v>
      </c>
      <c r="AR26">
        <f t="shared" si="6"/>
        <v>5.4624245557597009E-3</v>
      </c>
      <c r="AT26">
        <f t="shared" si="7"/>
        <v>1.4512244988679167E-3</v>
      </c>
      <c r="AV26">
        <v>146</v>
      </c>
      <c r="AW26" t="e">
        <f t="shared" si="8"/>
        <v>#NUM!</v>
      </c>
    </row>
    <row r="27" spans="2:49" x14ac:dyDescent="0.3">
      <c r="B27" t="s">
        <v>14</v>
      </c>
      <c r="C27">
        <v>18</v>
      </c>
      <c r="E27" s="3">
        <v>1112.076</v>
      </c>
      <c r="F27">
        <v>3.0000000000000001E-3</v>
      </c>
      <c r="G27">
        <v>13.41</v>
      </c>
      <c r="H27">
        <v>0.06</v>
      </c>
      <c r="J27" s="3">
        <v>1113.482</v>
      </c>
      <c r="K27" s="3">
        <v>1.4450000000000001</v>
      </c>
      <c r="L27" s="3">
        <v>1.1040000000000001</v>
      </c>
      <c r="M27" s="2">
        <v>5.0000000000000001E-4</v>
      </c>
      <c r="O27">
        <f>Data!$N$5</f>
        <v>5.2713726140193762</v>
      </c>
      <c r="P27">
        <f>Data!$O$5</f>
        <v>0.15293335261036162</v>
      </c>
      <c r="Q27">
        <f t="shared" si="0"/>
        <v>706.89106753999829</v>
      </c>
      <c r="R27">
        <f t="shared" si="1"/>
        <v>20.750816582601225</v>
      </c>
      <c r="T27">
        <f t="shared" si="13"/>
        <v>3.9987739539533429</v>
      </c>
      <c r="U27">
        <f t="shared" si="14"/>
        <v>2.2791168675815559E-3</v>
      </c>
      <c r="W27">
        <f t="shared" si="4"/>
        <v>5.6568460652207612E-3</v>
      </c>
      <c r="X27">
        <f t="shared" si="5"/>
        <v>1.6608824749636092E-4</v>
      </c>
      <c r="AJ27">
        <f t="shared" ref="AJ27:AJ32" si="15">W27</f>
        <v>5.6568460652207612E-3</v>
      </c>
      <c r="AK27" s="3">
        <f t="shared" ref="AK27:AK32" si="16">1/J27</f>
        <v>8.9808366906694501E-4</v>
      </c>
      <c r="AR27">
        <f t="shared" ref="AR27:AR32" si="17">$AN$6*AK27</f>
        <v>5.3343854128680085E-3</v>
      </c>
      <c r="AT27">
        <f t="shared" ref="AT27:AT32" si="18">AJ27-AR27</f>
        <v>3.2246065235275265E-4</v>
      </c>
      <c r="AV27">
        <v>151</v>
      </c>
      <c r="AW27" t="e">
        <f t="shared" si="8"/>
        <v>#NUM!</v>
      </c>
    </row>
    <row r="28" spans="2:49" x14ac:dyDescent="0.3">
      <c r="B28" t="s">
        <v>14</v>
      </c>
      <c r="C28">
        <v>20</v>
      </c>
      <c r="E28" s="3">
        <v>1212.9480000000001</v>
      </c>
      <c r="F28">
        <v>1.0999999999999999E-2</v>
      </c>
      <c r="G28">
        <v>1.4159999999999999</v>
      </c>
      <c r="H28">
        <v>8.9999999999999993E-3</v>
      </c>
      <c r="J28" s="3">
        <v>1214.423</v>
      </c>
      <c r="K28" s="3">
        <v>1.31</v>
      </c>
      <c r="L28" s="3">
        <v>9.8000000000000004E-2</v>
      </c>
      <c r="M28" s="2">
        <v>5.0000000000000001E-4</v>
      </c>
      <c r="O28">
        <f>Data!$N$5</f>
        <v>5.2713726140193762</v>
      </c>
      <c r="P28">
        <f>Data!$O$5</f>
        <v>0.15293335261036162</v>
      </c>
      <c r="Q28">
        <f t="shared" si="0"/>
        <v>74.642636214514354</v>
      </c>
      <c r="R28">
        <f t="shared" si="1"/>
        <v>2.2168953607077442</v>
      </c>
      <c r="T28">
        <f t="shared" si="13"/>
        <v>0.32180093789712788</v>
      </c>
      <c r="U28">
        <f t="shared" si="14"/>
        <v>1.6464293195686415E-3</v>
      </c>
      <c r="W28">
        <f t="shared" si="4"/>
        <v>4.3112214977551033E-3</v>
      </c>
      <c r="X28">
        <f t="shared" si="5"/>
        <v>1.2992978173973106E-4</v>
      </c>
      <c r="AJ28">
        <f t="shared" si="15"/>
        <v>4.3112214977551033E-3</v>
      </c>
      <c r="AK28" s="3">
        <f t="shared" si="16"/>
        <v>8.2343631502367791E-4</v>
      </c>
      <c r="AR28">
        <f t="shared" si="17"/>
        <v>4.8909993785452811E-3</v>
      </c>
      <c r="AT28">
        <f t="shared" si="18"/>
        <v>-5.7977788079017784E-4</v>
      </c>
      <c r="AV28">
        <v>156</v>
      </c>
      <c r="AW28" t="e">
        <f t="shared" si="8"/>
        <v>#NUM!</v>
      </c>
    </row>
    <row r="29" spans="2:49" x14ac:dyDescent="0.3">
      <c r="B29" t="s">
        <v>14</v>
      </c>
      <c r="C29">
        <v>21</v>
      </c>
      <c r="E29">
        <v>1299.1420000000001</v>
      </c>
      <c r="F29">
        <v>8.0000000000000002E-3</v>
      </c>
      <c r="G29">
        <v>1.633</v>
      </c>
      <c r="H29">
        <v>8.9999999999999993E-3</v>
      </c>
      <c r="J29" s="3">
        <v>1300.652</v>
      </c>
      <c r="K29" s="3">
        <v>1.54</v>
      </c>
      <c r="L29" s="3">
        <v>0.112</v>
      </c>
      <c r="M29" s="2">
        <v>5.0000000000000001E-4</v>
      </c>
      <c r="O29">
        <f>Data!$N$5</f>
        <v>5.2713726140193762</v>
      </c>
      <c r="P29">
        <f>Data!$O$5</f>
        <v>0.15293335261036162</v>
      </c>
      <c r="Q29">
        <f t="shared" si="0"/>
        <v>86.08151478693641</v>
      </c>
      <c r="R29">
        <f t="shared" si="1"/>
        <v>2.5420646496261128</v>
      </c>
      <c r="T29">
        <f t="shared" si="13"/>
        <v>0.4323432448083549</v>
      </c>
      <c r="U29">
        <f t="shared" si="14"/>
        <v>1.9352014462970231E-3</v>
      </c>
      <c r="W29">
        <f t="shared" si="4"/>
        <v>5.0224864871216994E-3</v>
      </c>
      <c r="X29">
        <f t="shared" si="5"/>
        <v>1.5001262880776816E-4</v>
      </c>
      <c r="AJ29">
        <f t="shared" si="15"/>
        <v>5.0224864871216994E-3</v>
      </c>
      <c r="AK29" s="3">
        <f t="shared" si="16"/>
        <v>7.6884516381015055E-4</v>
      </c>
      <c r="AR29">
        <f t="shared" si="17"/>
        <v>4.5667420173044716E-3</v>
      </c>
      <c r="AT29">
        <f t="shared" si="18"/>
        <v>4.5574446981722777E-4</v>
      </c>
      <c r="AV29">
        <v>161</v>
      </c>
      <c r="AW29" t="e">
        <f t="shared" si="8"/>
        <v>#NUM!</v>
      </c>
    </row>
    <row r="30" spans="2:49" x14ac:dyDescent="0.3">
      <c r="B30" t="s">
        <v>14</v>
      </c>
      <c r="C30">
        <v>22</v>
      </c>
      <c r="E30" s="3">
        <v>1408.0129999999999</v>
      </c>
      <c r="F30">
        <v>3.0000000000000001E-3</v>
      </c>
      <c r="G30">
        <v>20.85</v>
      </c>
      <c r="H30">
        <v>0.08</v>
      </c>
      <c r="J30" s="3">
        <v>1409.7159999999999</v>
      </c>
      <c r="K30" s="3">
        <v>1.5940000000000001</v>
      </c>
      <c r="L30" s="3">
        <v>1.236</v>
      </c>
      <c r="M30" s="2">
        <v>5.0000000000000001E-4</v>
      </c>
      <c r="O30">
        <f>Data!$N$5</f>
        <v>5.2713726140193762</v>
      </c>
      <c r="P30">
        <f>Data!$O$5</f>
        <v>0.15293335261036162</v>
      </c>
      <c r="Q30">
        <f t="shared" si="0"/>
        <v>1099.0811900230399</v>
      </c>
      <c r="R30">
        <f t="shared" si="1"/>
        <v>32.164257059538102</v>
      </c>
      <c r="T30">
        <f t="shared" si="13"/>
        <v>4.9385189206256026</v>
      </c>
      <c r="U30">
        <f t="shared" si="14"/>
        <v>2.5280101109464519E-3</v>
      </c>
      <c r="W30">
        <f t="shared" si="4"/>
        <v>4.493315840044608E-3</v>
      </c>
      <c r="X30">
        <f t="shared" si="5"/>
        <v>1.315155561470625E-4</v>
      </c>
      <c r="AJ30">
        <f t="shared" si="15"/>
        <v>4.493315840044608E-3</v>
      </c>
      <c r="AK30" s="3">
        <f t="shared" si="16"/>
        <v>7.0936273689168607E-4</v>
      </c>
      <c r="AR30">
        <f t="shared" si="17"/>
        <v>4.213431739649047E-3</v>
      </c>
      <c r="AT30">
        <f t="shared" si="18"/>
        <v>2.79884100395561E-4</v>
      </c>
      <c r="AV30">
        <v>166</v>
      </c>
      <c r="AW30" t="e">
        <f t="shared" si="8"/>
        <v>#NUM!</v>
      </c>
    </row>
    <row r="31" spans="2:49" x14ac:dyDescent="0.3">
      <c r="B31" t="s">
        <v>6</v>
      </c>
      <c r="C31">
        <v>0</v>
      </c>
      <c r="E31">
        <v>511</v>
      </c>
      <c r="F31">
        <v>0</v>
      </c>
      <c r="G31">
        <v>180.7</v>
      </c>
      <c r="H31">
        <v>0.2</v>
      </c>
      <c r="J31" s="3">
        <v>511.86500000000001</v>
      </c>
      <c r="K31" s="3">
        <v>1.7150000000000001</v>
      </c>
      <c r="L31" s="3">
        <v>28.193999999999999</v>
      </c>
      <c r="M31" s="2">
        <v>5.0000000000000001E-4</v>
      </c>
      <c r="O31">
        <f>Data!$N$10</f>
        <v>7.2883819429507763</v>
      </c>
      <c r="P31">
        <f>Data!$O$10</f>
        <v>1.0143820292328465</v>
      </c>
      <c r="Q31">
        <f t="shared" si="0"/>
        <v>13170.106170912051</v>
      </c>
      <c r="R31">
        <f t="shared" si="1"/>
        <v>1833.0462864634733</v>
      </c>
      <c r="T31">
        <f t="shared" si="13"/>
        <v>121.20227004103312</v>
      </c>
      <c r="U31">
        <f t="shared" si="14"/>
        <v>3.5401251890552272E-2</v>
      </c>
      <c r="W31">
        <f t="shared" si="4"/>
        <v>9.2028316604405667E-3</v>
      </c>
      <c r="X31">
        <f t="shared" si="5"/>
        <v>1.2808745295736644E-3</v>
      </c>
      <c r="AJ31">
        <f t="shared" si="15"/>
        <v>9.2028316604405667E-3</v>
      </c>
      <c r="AK31" s="3">
        <f t="shared" si="16"/>
        <v>1.9536401199535033E-3</v>
      </c>
      <c r="AR31">
        <f t="shared" si="17"/>
        <v>1.1604118543543894E-2</v>
      </c>
      <c r="AT31">
        <f t="shared" si="18"/>
        <v>-2.4012868831033273E-3</v>
      </c>
      <c r="AV31">
        <v>171</v>
      </c>
      <c r="AW31" t="e">
        <f t="shared" si="8"/>
        <v>#NUM!</v>
      </c>
    </row>
    <row r="32" spans="2:49" x14ac:dyDescent="0.3">
      <c r="B32" t="s">
        <v>6</v>
      </c>
      <c r="C32">
        <v>1</v>
      </c>
      <c r="E32">
        <v>1274.537</v>
      </c>
      <c r="F32">
        <v>7.0000000000000001E-3</v>
      </c>
      <c r="G32">
        <v>99.94</v>
      </c>
      <c r="H32">
        <v>0.13</v>
      </c>
      <c r="J32" s="3">
        <v>1276.0160000000001</v>
      </c>
      <c r="K32" s="3">
        <v>1.5209999999999999</v>
      </c>
      <c r="L32" s="3">
        <v>7.8230000000000004</v>
      </c>
      <c r="M32" s="2">
        <v>5.0000000000000001E-4</v>
      </c>
      <c r="O32">
        <f>Data!$N$10</f>
        <v>7.2883819429507763</v>
      </c>
      <c r="P32">
        <f>Data!$O$10</f>
        <v>1.0143820292328465</v>
      </c>
      <c r="Q32">
        <f t="shared" si="0"/>
        <v>7284.0089137850064</v>
      </c>
      <c r="R32">
        <f t="shared" si="1"/>
        <v>1013.8176760358692</v>
      </c>
      <c r="T32">
        <f t="shared" si="13"/>
        <v>29.825825901498678</v>
      </c>
      <c r="U32">
        <f t="shared" si="14"/>
        <v>9.9882744165631088E-3</v>
      </c>
      <c r="W32">
        <f t="shared" si="4"/>
        <v>4.0946992589552195E-3</v>
      </c>
      <c r="X32">
        <f t="shared" si="5"/>
        <v>5.6991837216991033E-4</v>
      </c>
      <c r="AJ32">
        <f t="shared" si="15"/>
        <v>4.0946992589552195E-3</v>
      </c>
      <c r="AK32" s="3">
        <f t="shared" si="16"/>
        <v>7.8368923273689352E-4</v>
      </c>
      <c r="AR32">
        <f t="shared" si="17"/>
        <v>4.6549119590123438E-3</v>
      </c>
      <c r="AT32">
        <f t="shared" si="18"/>
        <v>-5.6021270005712429E-4</v>
      </c>
      <c r="AV32">
        <v>176</v>
      </c>
      <c r="AW32" t="e">
        <f t="shared" si="8"/>
        <v>#NUM!</v>
      </c>
    </row>
    <row r="33" spans="2:49" x14ac:dyDescent="0.3">
      <c r="B33" t="s">
        <v>109</v>
      </c>
      <c r="C33">
        <v>4</v>
      </c>
      <c r="G33">
        <f>21.75+30.6</f>
        <v>52.35</v>
      </c>
      <c r="H33">
        <f>SQRT(0.3^2+0.5^2)</f>
        <v>0.58309518948452999</v>
      </c>
      <c r="J33" s="3">
        <v>73.063000000000002</v>
      </c>
      <c r="K33" s="3">
        <v>2.1099999999999901</v>
      </c>
      <c r="L33" s="3">
        <v>20.099532161583301</v>
      </c>
      <c r="M33" s="2">
        <v>5.0000000000000001E-4</v>
      </c>
      <c r="O33">
        <f>Data!$N$10</f>
        <v>7.2883819429507763</v>
      </c>
      <c r="P33">
        <f>Data!$O$10</f>
        <v>1.0143820292328465</v>
      </c>
      <c r="Q33">
        <f t="shared" ref="Q33:Q36" si="19">1000*O33*G33/100</f>
        <v>3815.4679471347317</v>
      </c>
      <c r="R33">
        <f t="shared" ref="R33:R36" si="20">Q33*SQRT((P33/O33)^2+(H33/G33)^2)</f>
        <v>532.72684187352024</v>
      </c>
      <c r="T33">
        <f t="shared" ref="T33:T36" si="21">L33*K33*SQRT(2*PI())</f>
        <v>106.30613736469799</v>
      </c>
      <c r="U33">
        <f t="shared" ref="U33:U36" si="22">T33*SQRT((M33/L33)^2+(M33/K33)^2)</f>
        <v>2.5329453695812344E-2</v>
      </c>
      <c r="W33">
        <f t="shared" ref="W33:W36" si="23">T33/Q33</f>
        <v>2.7861887149262982E-2</v>
      </c>
      <c r="X33">
        <f t="shared" ref="X33:X36" si="24">W33*SQRT((U33/T33)^2+(R33/Q33)^2)</f>
        <v>3.8901641863799009E-3</v>
      </c>
      <c r="AJ33">
        <f t="shared" ref="AJ33:AJ36" si="25">W33</f>
        <v>2.7861887149262982E-2</v>
      </c>
      <c r="AK33" s="3">
        <f t="shared" ref="AK33:AK36" si="26">1/J33</f>
        <v>1.3686818225367148E-2</v>
      </c>
      <c r="AR33">
        <f t="shared" ref="AR33:AR36" si="27">$AN$6*AK33</f>
        <v>8.1296170952343802E-2</v>
      </c>
      <c r="AT33">
        <f t="shared" ref="AT33:AT36" si="28">AJ33-AR33</f>
        <v>-5.3434283803080823E-2</v>
      </c>
      <c r="AV33">
        <v>181</v>
      </c>
      <c r="AW33" t="e">
        <f t="shared" si="8"/>
        <v>#NUM!</v>
      </c>
    </row>
    <row r="34" spans="2:49" x14ac:dyDescent="0.3">
      <c r="B34" t="s">
        <v>109</v>
      </c>
      <c r="C34">
        <v>7</v>
      </c>
      <c r="E34" s="11">
        <v>569.69799999999998</v>
      </c>
      <c r="F34" s="11">
        <v>2E-3</v>
      </c>
      <c r="G34" s="11">
        <v>97.76</v>
      </c>
      <c r="H34" s="11">
        <v>0.03</v>
      </c>
      <c r="J34">
        <v>570.22299999999905</v>
      </c>
      <c r="K34">
        <v>1.70199999999999</v>
      </c>
      <c r="L34">
        <v>8.2659707554833197</v>
      </c>
      <c r="M34" s="2">
        <v>5.0000000000000001E-4</v>
      </c>
      <c r="O34">
        <f>Data!$N$10</f>
        <v>7.2883819429507763</v>
      </c>
      <c r="P34">
        <f>Data!$O$10</f>
        <v>1.0143820292328465</v>
      </c>
      <c r="Q34">
        <f t="shared" si="19"/>
        <v>7125.1221874286794</v>
      </c>
      <c r="R34">
        <f t="shared" si="20"/>
        <v>991.66228230221702</v>
      </c>
      <c r="T34">
        <f t="shared" si="21"/>
        <v>35.26495665407041</v>
      </c>
      <c r="U34">
        <f t="shared" si="22"/>
        <v>1.0577189938596628E-2</v>
      </c>
      <c r="W34">
        <f t="shared" si="23"/>
        <v>4.9493827230486917E-3</v>
      </c>
      <c r="X34">
        <f t="shared" si="24"/>
        <v>6.8884819588207991E-4</v>
      </c>
      <c r="AJ34">
        <f t="shared" si="25"/>
        <v>4.9493827230486917E-3</v>
      </c>
      <c r="AK34" s="3">
        <f t="shared" si="26"/>
        <v>1.7536998682971428E-3</v>
      </c>
      <c r="AR34">
        <f t="shared" si="27"/>
        <v>1.0416525005640083E-2</v>
      </c>
      <c r="AT34">
        <f t="shared" si="28"/>
        <v>-5.4671422825913916E-3</v>
      </c>
      <c r="AV34">
        <v>186</v>
      </c>
      <c r="AW34" t="e">
        <f t="shared" si="8"/>
        <v>#NUM!</v>
      </c>
    </row>
    <row r="35" spans="2:49" x14ac:dyDescent="0.3">
      <c r="B35" t="s">
        <v>109</v>
      </c>
      <c r="C35">
        <v>9</v>
      </c>
      <c r="E35" s="11">
        <v>1063.6559999999999</v>
      </c>
      <c r="F35" s="11">
        <v>3.0000000000000001E-3</v>
      </c>
      <c r="G35" s="11">
        <v>74.58</v>
      </c>
      <c r="H35" s="11">
        <v>0.22</v>
      </c>
      <c r="J35">
        <v>1065.1389999999899</v>
      </c>
      <c r="K35">
        <v>1.9249999999999901</v>
      </c>
      <c r="L35">
        <v>3.2037278635255801</v>
      </c>
      <c r="M35" s="2">
        <v>5.0000000000000001E-4</v>
      </c>
      <c r="O35">
        <f>Data!$N$10</f>
        <v>7.2883819429507763</v>
      </c>
      <c r="P35">
        <f>Data!$O$10</f>
        <v>1.0143820292328465</v>
      </c>
      <c r="Q35">
        <f t="shared" si="19"/>
        <v>5435.6752530526892</v>
      </c>
      <c r="R35">
        <f t="shared" si="20"/>
        <v>756.69602191768161</v>
      </c>
      <c r="T35">
        <f t="shared" si="21"/>
        <v>15.458818080352462</v>
      </c>
      <c r="U35">
        <f t="shared" si="22"/>
        <v>4.6843606741894511E-3</v>
      </c>
      <c r="W35">
        <f t="shared" si="23"/>
        <v>2.8439554168860162E-3</v>
      </c>
      <c r="X35">
        <f t="shared" si="24"/>
        <v>3.9590570602363089E-4</v>
      </c>
      <c r="AJ35">
        <f t="shared" si="25"/>
        <v>2.8439554168860162E-3</v>
      </c>
      <c r="AK35" s="3">
        <f t="shared" si="26"/>
        <v>9.3884460150272359E-4</v>
      </c>
      <c r="AR35">
        <f t="shared" si="27"/>
        <v>5.5764948408528392E-3</v>
      </c>
      <c r="AT35">
        <f t="shared" si="28"/>
        <v>-2.732539423966823E-3</v>
      </c>
      <c r="AV35">
        <v>191</v>
      </c>
      <c r="AW35" t="e">
        <f t="shared" si="8"/>
        <v>#NUM!</v>
      </c>
    </row>
    <row r="36" spans="2:49" x14ac:dyDescent="0.3">
      <c r="B36" t="s">
        <v>109</v>
      </c>
      <c r="C36">
        <v>11</v>
      </c>
      <c r="E36" s="11">
        <v>1770.2280000000001</v>
      </c>
      <c r="F36" s="11">
        <v>8.9999999999999993E-3</v>
      </c>
      <c r="G36" s="11">
        <v>6.8710000000000004</v>
      </c>
      <c r="H36" s="11">
        <v>2.5999999999999999E-2</v>
      </c>
      <c r="J36">
        <v>1773.19399999999</v>
      </c>
      <c r="K36">
        <v>2.29</v>
      </c>
      <c r="L36">
        <v>0.15868990473377101</v>
      </c>
      <c r="M36" s="2">
        <v>5.0000000000000001E-4</v>
      </c>
      <c r="O36">
        <f>Data!$N$10</f>
        <v>7.2883819429507763</v>
      </c>
      <c r="P36">
        <f>Data!$O$10</f>
        <v>1.0143820292328465</v>
      </c>
      <c r="Q36">
        <f t="shared" si="19"/>
        <v>500.7847233001479</v>
      </c>
      <c r="R36">
        <f t="shared" si="20"/>
        <v>69.723945157393359</v>
      </c>
      <c r="T36">
        <f t="shared" si="21"/>
        <v>0.91090841881854978</v>
      </c>
      <c r="U36">
        <f t="shared" si="22"/>
        <v>2.8769722928176588E-3</v>
      </c>
      <c r="W36">
        <f t="shared" si="23"/>
        <v>1.8189620737943161E-3</v>
      </c>
      <c r="X36">
        <f t="shared" si="24"/>
        <v>2.5331810892362532E-4</v>
      </c>
      <c r="AJ36">
        <f t="shared" si="25"/>
        <v>1.8189620737943161E-3</v>
      </c>
      <c r="AK36" s="3">
        <f t="shared" si="26"/>
        <v>5.6395408511420949E-4</v>
      </c>
      <c r="AR36">
        <f t="shared" si="27"/>
        <v>3.3497418434142731E-3</v>
      </c>
      <c r="AT36">
        <f t="shared" si="28"/>
        <v>-1.5307797696199571E-3</v>
      </c>
      <c r="AV36">
        <v>196</v>
      </c>
      <c r="AW36" t="e">
        <f t="shared" si="8"/>
        <v>#NUM!</v>
      </c>
    </row>
    <row r="37" spans="2:49" x14ac:dyDescent="0.3">
      <c r="E37" s="11"/>
      <c r="F37" s="11"/>
      <c r="G37" s="11"/>
      <c r="H37" s="11"/>
      <c r="M37" s="2"/>
      <c r="AK37" s="3"/>
      <c r="AV37">
        <v>201</v>
      </c>
      <c r="AW37">
        <f t="shared" si="8"/>
        <v>0.2</v>
      </c>
    </row>
    <row r="38" spans="2:49" x14ac:dyDescent="0.3">
      <c r="J38" s="3">
        <v>1174.989</v>
      </c>
      <c r="K38" s="3">
        <v>1.43</v>
      </c>
      <c r="L38" s="3">
        <v>0.38500000000000001</v>
      </c>
      <c r="AK38" s="3"/>
      <c r="AV38">
        <v>206</v>
      </c>
      <c r="AW38">
        <f t="shared" si="8"/>
        <v>8.1649658092772609E-2</v>
      </c>
    </row>
    <row r="39" spans="2:49" x14ac:dyDescent="0.3">
      <c r="J39" s="3">
        <v>1334.42</v>
      </c>
      <c r="K39" s="3">
        <v>1.47</v>
      </c>
      <c r="L39" s="3">
        <v>0.33900000000000002</v>
      </c>
      <c r="AK39" s="3"/>
      <c r="AV39">
        <v>211</v>
      </c>
      <c r="AW39">
        <f t="shared" si="8"/>
        <v>6.030226891555273E-2</v>
      </c>
    </row>
    <row r="40" spans="2:49" x14ac:dyDescent="0.3">
      <c r="E40" s="23">
        <v>1</v>
      </c>
      <c r="F40" s="23"/>
      <c r="G40" s="23"/>
      <c r="H40" s="23">
        <v>2</v>
      </c>
      <c r="I40" s="23"/>
      <c r="J40" s="23"/>
      <c r="K40" s="23">
        <v>3</v>
      </c>
      <c r="L40" s="23"/>
      <c r="M40" s="23"/>
      <c r="N40" s="23">
        <v>4</v>
      </c>
      <c r="O40" s="23"/>
      <c r="P40" s="23"/>
      <c r="Q40" s="23">
        <v>5</v>
      </c>
      <c r="R40" s="23"/>
      <c r="S40" s="23"/>
      <c r="T40" s="23">
        <v>6</v>
      </c>
      <c r="U40" s="23"/>
      <c r="V40" s="23"/>
      <c r="AV40">
        <v>216</v>
      </c>
      <c r="AW40">
        <f t="shared" si="8"/>
        <v>0.05</v>
      </c>
    </row>
    <row r="41" spans="2:49" x14ac:dyDescent="0.3">
      <c r="B41" s="23" t="s">
        <v>66</v>
      </c>
      <c r="C41" s="23"/>
      <c r="E41" t="s">
        <v>67</v>
      </c>
      <c r="F41" t="s">
        <v>68</v>
      </c>
      <c r="G41" t="s">
        <v>17</v>
      </c>
      <c r="H41" t="s">
        <v>67</v>
      </c>
      <c r="I41" t="s">
        <v>68</v>
      </c>
      <c r="J41" t="s">
        <v>17</v>
      </c>
      <c r="K41" t="s">
        <v>67</v>
      </c>
      <c r="L41" t="s">
        <v>68</v>
      </c>
      <c r="M41" t="s">
        <v>17</v>
      </c>
      <c r="N41" t="s">
        <v>67</v>
      </c>
      <c r="O41" t="s">
        <v>68</v>
      </c>
      <c r="P41" t="s">
        <v>17</v>
      </c>
      <c r="Q41" t="s">
        <v>67</v>
      </c>
      <c r="R41" t="s">
        <v>68</v>
      </c>
      <c r="S41" t="s">
        <v>17</v>
      </c>
      <c r="T41" t="s">
        <v>67</v>
      </c>
      <c r="U41" t="s">
        <v>68</v>
      </c>
      <c r="V41" t="s">
        <v>17</v>
      </c>
      <c r="X41" t="s">
        <v>69</v>
      </c>
      <c r="AV41">
        <v>221</v>
      </c>
      <c r="AW41">
        <f t="shared" si="8"/>
        <v>4.3643578047198484E-2</v>
      </c>
    </row>
    <row r="42" spans="2:49" x14ac:dyDescent="0.3">
      <c r="AV42">
        <v>226</v>
      </c>
      <c r="AW42">
        <f t="shared" si="8"/>
        <v>3.9223227027636809E-2</v>
      </c>
    </row>
    <row r="43" spans="2:49" x14ac:dyDescent="0.3">
      <c r="B43" t="s">
        <v>14</v>
      </c>
      <c r="C43">
        <v>0</v>
      </c>
      <c r="E43">
        <v>39.5229</v>
      </c>
      <c r="F43">
        <v>20.8</v>
      </c>
      <c r="G43">
        <v>0.3</v>
      </c>
      <c r="H43">
        <v>40.118600000000001</v>
      </c>
      <c r="I43">
        <v>37.700000000000003</v>
      </c>
      <c r="J43">
        <v>0.5</v>
      </c>
      <c r="X43">
        <f>(E43*F43+H43*I43)/(F43+I43)</f>
        <v>39.906795555555554</v>
      </c>
      <c r="AV43">
        <v>231</v>
      </c>
      <c r="AW43">
        <f t="shared" si="8"/>
        <v>3.5921060405354983E-2</v>
      </c>
    </row>
    <row r="44" spans="2:49" x14ac:dyDescent="0.3">
      <c r="B44" t="s">
        <v>14</v>
      </c>
      <c r="C44">
        <v>1</v>
      </c>
      <c r="E44">
        <v>45.289000000000001</v>
      </c>
      <c r="F44">
        <v>11.78</v>
      </c>
      <c r="G44">
        <v>0.19</v>
      </c>
      <c r="H44">
        <v>45.412999999999997</v>
      </c>
      <c r="I44">
        <f>F44</f>
        <v>11.78</v>
      </c>
      <c r="J44">
        <f>G44</f>
        <v>0.19</v>
      </c>
      <c r="K44">
        <v>45.731000000000002</v>
      </c>
      <c r="L44">
        <f>I44</f>
        <v>11.78</v>
      </c>
      <c r="M44">
        <f>J44</f>
        <v>0.19</v>
      </c>
      <c r="N44">
        <v>46.575000000000003</v>
      </c>
      <c r="O44">
        <v>3.04</v>
      </c>
      <c r="P44">
        <v>0.08</v>
      </c>
      <c r="Q44">
        <v>46.704999999999998</v>
      </c>
      <c r="R44">
        <f>O44</f>
        <v>3.04</v>
      </c>
      <c r="S44">
        <f>P44</f>
        <v>0.08</v>
      </c>
      <c r="T44">
        <v>46.813000000000002</v>
      </c>
      <c r="U44">
        <f>R44</f>
        <v>3.04</v>
      </c>
      <c r="V44">
        <f>S44</f>
        <v>0.08</v>
      </c>
      <c r="X44">
        <f>(E44*F44+H44*I44+K44*L44+N44*O44+Q44*R44+T44*U44)/(F44+I44+L44+O44+R44+U44)</f>
        <v>45.727923076923076</v>
      </c>
      <c r="AV44">
        <v>236</v>
      </c>
      <c r="AW44">
        <f t="shared" si="8"/>
        <v>3.3333333333333333E-2</v>
      </c>
    </row>
    <row r="45" spans="2:49" x14ac:dyDescent="0.3">
      <c r="AV45">
        <v>241</v>
      </c>
      <c r="AW45">
        <f t="shared" si="8"/>
        <v>3.1234752377721216E-2</v>
      </c>
    </row>
    <row r="46" spans="2:49" x14ac:dyDescent="0.3">
      <c r="B46" t="s">
        <v>103</v>
      </c>
      <c r="C46">
        <v>1</v>
      </c>
      <c r="E46">
        <v>30.625399999999999</v>
      </c>
      <c r="F46">
        <v>33.799999999999997</v>
      </c>
      <c r="G46">
        <v>0.4</v>
      </c>
      <c r="H46">
        <v>30.973099999999999</v>
      </c>
      <c r="I46">
        <v>62.4</v>
      </c>
      <c r="J46">
        <v>0.7</v>
      </c>
      <c r="AV46">
        <v>246</v>
      </c>
      <c r="AW46">
        <f t="shared" si="8"/>
        <v>2.9488391230979429E-2</v>
      </c>
    </row>
    <row r="47" spans="2:49" x14ac:dyDescent="0.3">
      <c r="C47" t="s">
        <v>108</v>
      </c>
      <c r="AV47">
        <v>251</v>
      </c>
      <c r="AW47">
        <f t="shared" si="8"/>
        <v>2.8005601680560196E-2</v>
      </c>
    </row>
    <row r="48" spans="2:49" x14ac:dyDescent="0.3">
      <c r="AV48">
        <v>256</v>
      </c>
      <c r="AW48">
        <f t="shared" si="8"/>
        <v>2.6726124191242439E-2</v>
      </c>
    </row>
    <row r="49" spans="3:49" x14ac:dyDescent="0.3">
      <c r="AV49">
        <v>261</v>
      </c>
      <c r="AW49">
        <f t="shared" si="8"/>
        <v>2.5607375986579198E-2</v>
      </c>
    </row>
    <row r="50" spans="3:49" x14ac:dyDescent="0.3">
      <c r="AV50">
        <v>266</v>
      </c>
      <c r="AW50">
        <f t="shared" si="8"/>
        <v>2.4618298195866545E-2</v>
      </c>
    </row>
    <row r="51" spans="3:49" x14ac:dyDescent="0.3">
      <c r="AV51">
        <v>271</v>
      </c>
      <c r="AW51">
        <f t="shared" si="8"/>
        <v>2.3735633163877067E-2</v>
      </c>
    </row>
    <row r="52" spans="3:49" x14ac:dyDescent="0.3">
      <c r="AV52">
        <v>276</v>
      </c>
      <c r="AW52">
        <f t="shared" si="8"/>
        <v>2.2941573387056175E-2</v>
      </c>
    </row>
    <row r="53" spans="3:49" x14ac:dyDescent="0.3">
      <c r="AV53">
        <v>281</v>
      </c>
      <c r="AW53">
        <f t="shared" si="8"/>
        <v>2.2222222222222223E-2</v>
      </c>
    </row>
    <row r="54" spans="3:49" x14ac:dyDescent="0.3">
      <c r="AV54">
        <v>286</v>
      </c>
      <c r="AW54">
        <f t="shared" si="8"/>
        <v>2.1566554640687685E-2</v>
      </c>
    </row>
    <row r="55" spans="3:49" x14ac:dyDescent="0.3">
      <c r="AV55">
        <v>291</v>
      </c>
      <c r="AW55">
        <f t="shared" si="8"/>
        <v>2.0965696734438367E-2</v>
      </c>
    </row>
    <row r="56" spans="3:49" x14ac:dyDescent="0.3">
      <c r="AV56">
        <v>296</v>
      </c>
      <c r="AW56">
        <f t="shared" si="8"/>
        <v>2.0412414523193152E-2</v>
      </c>
    </row>
    <row r="57" spans="3:49" x14ac:dyDescent="0.3">
      <c r="AV57">
        <v>301</v>
      </c>
      <c r="AW57">
        <f t="shared" si="8"/>
        <v>1.9900743804199785E-2</v>
      </c>
    </row>
    <row r="58" spans="3:49" x14ac:dyDescent="0.3">
      <c r="C58" t="s">
        <v>104</v>
      </c>
      <c r="D58" t="s">
        <v>106</v>
      </c>
      <c r="AV58">
        <v>306</v>
      </c>
      <c r="AW58">
        <f t="shared" si="8"/>
        <v>1.9425717247145285E-2</v>
      </c>
    </row>
    <row r="59" spans="3:49" x14ac:dyDescent="0.3">
      <c r="C59" t="s">
        <v>105</v>
      </c>
      <c r="D59" t="s">
        <v>107</v>
      </c>
      <c r="AV59">
        <v>311</v>
      </c>
      <c r="AW59">
        <f t="shared" si="8"/>
        <v>1.8983159915049983E-2</v>
      </c>
    </row>
    <row r="60" spans="3:49" x14ac:dyDescent="0.3">
      <c r="AV60">
        <v>316</v>
      </c>
      <c r="AW60">
        <f t="shared" si="8"/>
        <v>1.8569533817705187E-2</v>
      </c>
    </row>
    <row r="61" spans="3:49" x14ac:dyDescent="0.3">
      <c r="AV61">
        <v>321</v>
      </c>
      <c r="AW61">
        <f t="shared" si="8"/>
        <v>1.8181818181818184E-2</v>
      </c>
    </row>
    <row r="62" spans="3:49" x14ac:dyDescent="0.3">
      <c r="AV62">
        <v>326</v>
      </c>
      <c r="AW62">
        <f t="shared" si="8"/>
        <v>1.7817416127494958E-2</v>
      </c>
    </row>
    <row r="63" spans="3:49" x14ac:dyDescent="0.3">
      <c r="AV63">
        <v>331</v>
      </c>
      <c r="AW63">
        <f t="shared" si="8"/>
        <v>1.747408113322076E-2</v>
      </c>
    </row>
    <row r="64" spans="3:49" x14ac:dyDescent="0.3">
      <c r="AV64">
        <v>336</v>
      </c>
      <c r="AW64">
        <f t="shared" si="8"/>
        <v>1.7149858514250885E-2</v>
      </c>
    </row>
    <row r="65" spans="48:49" x14ac:dyDescent="0.3">
      <c r="AV65">
        <v>341</v>
      </c>
      <c r="AW65">
        <f t="shared" si="8"/>
        <v>1.6843038421330381E-2</v>
      </c>
    </row>
    <row r="66" spans="48:49" x14ac:dyDescent="0.3">
      <c r="AV66">
        <v>346</v>
      </c>
      <c r="AW66">
        <f t="shared" si="8"/>
        <v>1.6552117772047358E-2</v>
      </c>
    </row>
    <row r="67" spans="48:49" x14ac:dyDescent="0.3">
      <c r="AV67">
        <v>351</v>
      </c>
      <c r="AW67">
        <f t="shared" si="8"/>
        <v>1.6275769175423189E-2</v>
      </c>
    </row>
    <row r="68" spans="48:49" x14ac:dyDescent="0.3">
      <c r="AV68">
        <v>356</v>
      </c>
      <c r="AW68">
        <f t="shared" si="8"/>
        <v>1.6012815380508715E-2</v>
      </c>
    </row>
    <row r="69" spans="48:49" x14ac:dyDescent="0.3">
      <c r="AV69">
        <v>361</v>
      </c>
      <c r="AW69">
        <f t="shared" ref="AW69:AW132" si="29">$AN$4/SQRT(AV69-200)</f>
        <v>1.5762208124782014E-2</v>
      </c>
    </row>
    <row r="70" spans="48:49" x14ac:dyDescent="0.3">
      <c r="AV70">
        <v>366</v>
      </c>
      <c r="AW70">
        <f t="shared" si="29"/>
        <v>1.5523010514126656E-2</v>
      </c>
    </row>
    <row r="71" spans="48:49" x14ac:dyDescent="0.3">
      <c r="AV71">
        <v>371</v>
      </c>
      <c r="AW71">
        <f t="shared" si="29"/>
        <v>1.5294382258037451E-2</v>
      </c>
    </row>
    <row r="72" spans="48:49" x14ac:dyDescent="0.3">
      <c r="AV72">
        <v>376</v>
      </c>
      <c r="AW72">
        <f t="shared" si="29"/>
        <v>1.5075567228888182E-2</v>
      </c>
    </row>
    <row r="73" spans="48:49" x14ac:dyDescent="0.3">
      <c r="AV73">
        <v>381</v>
      </c>
      <c r="AW73">
        <f t="shared" si="29"/>
        <v>1.4865882924943327E-2</v>
      </c>
    </row>
    <row r="74" spans="48:49" x14ac:dyDescent="0.3">
      <c r="AV74">
        <v>386</v>
      </c>
      <c r="AW74">
        <f t="shared" si="29"/>
        <v>1.466471150213533E-2</v>
      </c>
    </row>
    <row r="75" spans="48:49" x14ac:dyDescent="0.3">
      <c r="AV75">
        <v>391</v>
      </c>
      <c r="AW75">
        <f t="shared" si="29"/>
        <v>1.4471492105848433E-2</v>
      </c>
    </row>
    <row r="76" spans="48:49" x14ac:dyDescent="0.3">
      <c r="AV76">
        <v>396</v>
      </c>
      <c r="AW76">
        <f t="shared" si="29"/>
        <v>1.4285714285714287E-2</v>
      </c>
    </row>
    <row r="77" spans="48:49" x14ac:dyDescent="0.3">
      <c r="AV77">
        <v>401</v>
      </c>
      <c r="AW77">
        <f t="shared" si="29"/>
        <v>1.4106912317171967E-2</v>
      </c>
    </row>
    <row r="78" spans="48:49" x14ac:dyDescent="0.3">
      <c r="AV78">
        <v>406</v>
      </c>
      <c r="AW78">
        <f t="shared" si="29"/>
        <v>1.3934660285832354E-2</v>
      </c>
    </row>
    <row r="79" spans="48:49" x14ac:dyDescent="0.3">
      <c r="AV79">
        <v>411</v>
      </c>
      <c r="AW79">
        <f t="shared" si="29"/>
        <v>1.3768567816430285E-2</v>
      </c>
    </row>
    <row r="80" spans="48:49" x14ac:dyDescent="0.3">
      <c r="AV80">
        <v>416</v>
      </c>
      <c r="AW80">
        <f t="shared" si="29"/>
        <v>1.3608276348795434E-2</v>
      </c>
    </row>
    <row r="81" spans="48:49" x14ac:dyDescent="0.3">
      <c r="AV81">
        <v>421</v>
      </c>
      <c r="AW81">
        <f t="shared" si="29"/>
        <v>1.3453455879926249E-2</v>
      </c>
    </row>
    <row r="82" spans="48:49" x14ac:dyDescent="0.3">
      <c r="AV82">
        <v>426</v>
      </c>
      <c r="AW82">
        <f t="shared" si="29"/>
        <v>1.3303802104754786E-2</v>
      </c>
    </row>
    <row r="83" spans="48:49" x14ac:dyDescent="0.3">
      <c r="AV83">
        <v>431</v>
      </c>
      <c r="AW83">
        <f t="shared" si="29"/>
        <v>1.315903389919538E-2</v>
      </c>
    </row>
    <row r="84" spans="48:49" x14ac:dyDescent="0.3">
      <c r="AV84">
        <v>436</v>
      </c>
      <c r="AW84">
        <f t="shared" si="29"/>
        <v>1.3018891098082389E-2</v>
      </c>
    </row>
    <row r="85" spans="48:49" x14ac:dyDescent="0.3">
      <c r="AV85">
        <v>441</v>
      </c>
      <c r="AW85">
        <f t="shared" si="29"/>
        <v>1.2883132528016617E-2</v>
      </c>
    </row>
    <row r="86" spans="48:49" x14ac:dyDescent="0.3">
      <c r="AV86">
        <v>446</v>
      </c>
      <c r="AW86">
        <f t="shared" si="29"/>
        <v>1.2751534261266765E-2</v>
      </c>
    </row>
    <row r="87" spans="48:49" x14ac:dyDescent="0.3">
      <c r="AV87">
        <v>451</v>
      </c>
      <c r="AW87">
        <f t="shared" si="29"/>
        <v>1.2623888061956065E-2</v>
      </c>
    </row>
    <row r="88" spans="48:49" x14ac:dyDescent="0.3">
      <c r="AV88">
        <v>456</v>
      </c>
      <c r="AW88">
        <f t="shared" si="29"/>
        <v>1.2500000000000001E-2</v>
      </c>
    </row>
    <row r="89" spans="48:49" x14ac:dyDescent="0.3">
      <c r="AV89">
        <v>461</v>
      </c>
      <c r="AW89">
        <f t="shared" si="29"/>
        <v>1.2379689211803459E-2</v>
      </c>
    </row>
    <row r="90" spans="48:49" x14ac:dyDescent="0.3">
      <c r="AV90">
        <v>466</v>
      </c>
      <c r="AW90">
        <f t="shared" si="29"/>
        <v>1.2262786789699318E-2</v>
      </c>
    </row>
    <row r="91" spans="48:49" x14ac:dyDescent="0.3">
      <c r="AV91">
        <v>471</v>
      </c>
      <c r="AW91">
        <f t="shared" si="29"/>
        <v>1.2149134784615739E-2</v>
      </c>
    </row>
    <row r="92" spans="48:49" x14ac:dyDescent="0.3">
      <c r="AV92">
        <v>476</v>
      </c>
      <c r="AW92">
        <f t="shared" si="29"/>
        <v>1.203858530857692E-2</v>
      </c>
    </row>
    <row r="93" spans="48:49" x14ac:dyDescent="0.3">
      <c r="AV93">
        <v>481</v>
      </c>
      <c r="AW93">
        <f t="shared" si="29"/>
        <v>1.1930999725437872E-2</v>
      </c>
    </row>
    <row r="94" spans="48:49" x14ac:dyDescent="0.3">
      <c r="AV94">
        <v>486</v>
      </c>
      <c r="AW94">
        <f t="shared" si="29"/>
        <v>1.1826247919781653E-2</v>
      </c>
    </row>
    <row r="95" spans="48:49" x14ac:dyDescent="0.3">
      <c r="AV95">
        <v>491</v>
      </c>
      <c r="AW95">
        <f t="shared" si="29"/>
        <v>1.1724207635210985E-2</v>
      </c>
    </row>
    <row r="96" spans="48:49" x14ac:dyDescent="0.3">
      <c r="AV96">
        <v>496</v>
      </c>
      <c r="AW96">
        <f t="shared" si="29"/>
        <v>1.1624763874381929E-2</v>
      </c>
    </row>
    <row r="97" spans="48:49" x14ac:dyDescent="0.3">
      <c r="AV97">
        <v>501</v>
      </c>
      <c r="AW97">
        <f t="shared" si="29"/>
        <v>1.15278083540847E-2</v>
      </c>
    </row>
    <row r="98" spans="48:49" x14ac:dyDescent="0.3">
      <c r="AV98">
        <v>506</v>
      </c>
      <c r="AW98">
        <f t="shared" si="29"/>
        <v>1.1433239009500591E-2</v>
      </c>
    </row>
    <row r="99" spans="48:49" x14ac:dyDescent="0.3">
      <c r="AV99">
        <v>511</v>
      </c>
      <c r="AW99">
        <f t="shared" si="29"/>
        <v>1.1340959542474854E-2</v>
      </c>
    </row>
    <row r="100" spans="48:49" x14ac:dyDescent="0.3">
      <c r="AV100">
        <v>516</v>
      </c>
      <c r="AW100">
        <f t="shared" si="29"/>
        <v>1.125087900926024E-2</v>
      </c>
    </row>
    <row r="101" spans="48:49" x14ac:dyDescent="0.3">
      <c r="AV101">
        <v>521</v>
      </c>
      <c r="AW101">
        <f t="shared" si="29"/>
        <v>1.1162911443718952E-2</v>
      </c>
    </row>
    <row r="102" spans="48:49" x14ac:dyDescent="0.3">
      <c r="AV102">
        <v>526</v>
      </c>
      <c r="AW102">
        <f t="shared" si="29"/>
        <v>1.1076975512434226E-2</v>
      </c>
    </row>
    <row r="103" spans="48:49" x14ac:dyDescent="0.3">
      <c r="AV103">
        <v>531</v>
      </c>
      <c r="AW103">
        <f t="shared" si="29"/>
        <v>1.0992994198586254E-2</v>
      </c>
    </row>
    <row r="104" spans="48:49" x14ac:dyDescent="0.3">
      <c r="AV104">
        <v>536</v>
      </c>
      <c r="AW104">
        <f t="shared" si="29"/>
        <v>1.0910894511799621E-2</v>
      </c>
    </row>
    <row r="105" spans="48:49" x14ac:dyDescent="0.3">
      <c r="AV105">
        <v>541</v>
      </c>
      <c r="AW105">
        <f t="shared" si="29"/>
        <v>1.0830607221477648E-2</v>
      </c>
    </row>
    <row r="106" spans="48:49" x14ac:dyDescent="0.3">
      <c r="AV106">
        <v>546</v>
      </c>
      <c r="AW106">
        <f t="shared" si="29"/>
        <v>1.0752066611409407E-2</v>
      </c>
    </row>
    <row r="107" spans="48:49" x14ac:dyDescent="0.3">
      <c r="AV107">
        <v>551</v>
      </c>
      <c r="AW107">
        <f t="shared" si="29"/>
        <v>1.0675210253672476E-2</v>
      </c>
    </row>
    <row r="108" spans="48:49" x14ac:dyDescent="0.3">
      <c r="AV108">
        <v>556</v>
      </c>
      <c r="AW108">
        <f t="shared" si="29"/>
        <v>1.0599978800063602E-2</v>
      </c>
    </row>
    <row r="109" spans="48:49" x14ac:dyDescent="0.3">
      <c r="AV109">
        <v>561</v>
      </c>
      <c r="AW109">
        <f t="shared" si="29"/>
        <v>1.0526315789473684E-2</v>
      </c>
    </row>
    <row r="110" spans="48:49" x14ac:dyDescent="0.3">
      <c r="AV110">
        <v>566</v>
      </c>
      <c r="AW110">
        <f t="shared" si="29"/>
        <v>1.0454167469786333E-2</v>
      </c>
    </row>
    <row r="111" spans="48:49" x14ac:dyDescent="0.3">
      <c r="AV111">
        <v>571</v>
      </c>
      <c r="AW111">
        <f t="shared" si="29"/>
        <v>1.03834826330233E-2</v>
      </c>
    </row>
    <row r="112" spans="48:49" x14ac:dyDescent="0.3">
      <c r="AV112">
        <v>576</v>
      </c>
      <c r="AW112">
        <f t="shared" si="29"/>
        <v>1.0314212462587935E-2</v>
      </c>
    </row>
    <row r="113" spans="48:49" x14ac:dyDescent="0.3">
      <c r="AV113">
        <v>581</v>
      </c>
      <c r="AW113">
        <f t="shared" si="29"/>
        <v>1.0246310391571199E-2</v>
      </c>
    </row>
    <row r="114" spans="48:49" x14ac:dyDescent="0.3">
      <c r="AV114">
        <v>586</v>
      </c>
      <c r="AW114">
        <f t="shared" si="29"/>
        <v>1.0179731971185753E-2</v>
      </c>
    </row>
    <row r="115" spans="48:49" x14ac:dyDescent="0.3">
      <c r="AV115">
        <v>591</v>
      </c>
      <c r="AW115">
        <f t="shared" si="29"/>
        <v>1.0114434748483472E-2</v>
      </c>
    </row>
    <row r="116" spans="48:49" x14ac:dyDescent="0.3">
      <c r="AV116">
        <v>596</v>
      </c>
      <c r="AW116">
        <f t="shared" si="29"/>
        <v>1.0050378152592122E-2</v>
      </c>
    </row>
    <row r="117" spans="48:49" x14ac:dyDescent="0.3">
      <c r="AV117">
        <v>601</v>
      </c>
      <c r="AW117">
        <f t="shared" si="29"/>
        <v>9.9875233887784468E-3</v>
      </c>
    </row>
    <row r="118" spans="48:49" x14ac:dyDescent="0.3">
      <c r="AV118">
        <v>606</v>
      </c>
      <c r="AW118">
        <f t="shared" si="29"/>
        <v>9.9258333397093026E-3</v>
      </c>
    </row>
    <row r="119" spans="48:49" x14ac:dyDescent="0.3">
      <c r="AV119">
        <v>611</v>
      </c>
      <c r="AW119">
        <f t="shared" si="29"/>
        <v>9.865272473339801E-3</v>
      </c>
    </row>
    <row r="120" spans="48:49" x14ac:dyDescent="0.3">
      <c r="AV120">
        <v>616</v>
      </c>
      <c r="AW120">
        <f t="shared" si="29"/>
        <v>9.8058067569092022E-3</v>
      </c>
    </row>
    <row r="121" spans="48:49" x14ac:dyDescent="0.3">
      <c r="AV121">
        <v>621</v>
      </c>
      <c r="AW121">
        <f t="shared" si="29"/>
        <v>9.7474035765715873E-3</v>
      </c>
    </row>
    <row r="122" spans="48:49" x14ac:dyDescent="0.3">
      <c r="AV122">
        <v>626</v>
      </c>
      <c r="AW122">
        <f t="shared" si="29"/>
        <v>9.6900316622301839E-3</v>
      </c>
    </row>
    <row r="123" spans="48:49" x14ac:dyDescent="0.3">
      <c r="AV123">
        <v>631</v>
      </c>
      <c r="AW123">
        <f t="shared" si="29"/>
        <v>9.6336610171817612E-3</v>
      </c>
    </row>
    <row r="124" spans="48:49" x14ac:dyDescent="0.3">
      <c r="AV124">
        <v>636</v>
      </c>
      <c r="AW124">
        <f t="shared" si="29"/>
        <v>9.5782628522115137E-3</v>
      </c>
    </row>
    <row r="125" spans="48:49" x14ac:dyDescent="0.3">
      <c r="AV125">
        <v>641</v>
      </c>
      <c r="AW125">
        <f t="shared" si="29"/>
        <v>9.5238095238095247E-3</v>
      </c>
    </row>
    <row r="126" spans="48:49" x14ac:dyDescent="0.3">
      <c r="AV126">
        <v>646</v>
      </c>
      <c r="AW126">
        <f t="shared" si="29"/>
        <v>9.4702744762075689E-3</v>
      </c>
    </row>
    <row r="127" spans="48:49" x14ac:dyDescent="0.3">
      <c r="AV127">
        <v>651</v>
      </c>
      <c r="AW127">
        <f t="shared" si="29"/>
        <v>9.417632186960222E-3</v>
      </c>
    </row>
    <row r="128" spans="48:49" x14ac:dyDescent="0.3">
      <c r="AV128">
        <v>656</v>
      </c>
      <c r="AW128">
        <f t="shared" si="29"/>
        <v>9.3658581158169406E-3</v>
      </c>
    </row>
    <row r="129" spans="48:49" x14ac:dyDescent="0.3">
      <c r="AV129">
        <v>661</v>
      </c>
      <c r="AW129">
        <f t="shared" si="29"/>
        <v>9.3149286566524461E-3</v>
      </c>
    </row>
    <row r="130" spans="48:49" x14ac:dyDescent="0.3">
      <c r="AV130">
        <v>666</v>
      </c>
      <c r="AW130">
        <f t="shared" si="29"/>
        <v>9.2648210922415906E-3</v>
      </c>
    </row>
    <row r="131" spans="48:49" x14ac:dyDescent="0.3">
      <c r="AV131">
        <v>671</v>
      </c>
      <c r="AW131">
        <f t="shared" si="29"/>
        <v>9.2155135516818285E-3</v>
      </c>
    </row>
    <row r="132" spans="48:49" x14ac:dyDescent="0.3">
      <c r="AV132">
        <v>676</v>
      </c>
      <c r="AW132">
        <f t="shared" si="29"/>
        <v>9.1669849702821146E-3</v>
      </c>
    </row>
    <row r="133" spans="48:49" x14ac:dyDescent="0.3">
      <c r="AV133">
        <v>681</v>
      </c>
      <c r="AW133">
        <f t="shared" ref="AW133:AW196" si="30">$AN$4/SQRT(AV133-200)</f>
        <v>9.1192150517510652E-3</v>
      </c>
    </row>
    <row r="134" spans="48:49" x14ac:dyDescent="0.3">
      <c r="AV134">
        <v>686</v>
      </c>
      <c r="AW134">
        <f t="shared" si="30"/>
        <v>9.0721842325302907E-3</v>
      </c>
    </row>
    <row r="135" spans="48:49" x14ac:dyDescent="0.3">
      <c r="AV135">
        <v>691</v>
      </c>
      <c r="AW135">
        <f t="shared" si="30"/>
        <v>9.0258736481304853E-3</v>
      </c>
    </row>
    <row r="136" spans="48:49" x14ac:dyDescent="0.3">
      <c r="AV136">
        <v>696</v>
      </c>
      <c r="AW136">
        <f t="shared" si="30"/>
        <v>8.9802651013387459E-3</v>
      </c>
    </row>
    <row r="137" spans="48:49" x14ac:dyDescent="0.3">
      <c r="AV137">
        <v>701</v>
      </c>
      <c r="AW137">
        <f t="shared" si="30"/>
        <v>8.9353410321754059E-3</v>
      </c>
    </row>
    <row r="138" spans="48:49" x14ac:dyDescent="0.3">
      <c r="AV138">
        <v>706</v>
      </c>
      <c r="AW138">
        <f t="shared" si="30"/>
        <v>8.8910844894877408E-3</v>
      </c>
    </row>
    <row r="139" spans="48:49" x14ac:dyDescent="0.3">
      <c r="AV139">
        <v>711</v>
      </c>
      <c r="AW139">
        <f t="shared" si="30"/>
        <v>8.8474791040761783E-3</v>
      </c>
    </row>
    <row r="140" spans="48:49" x14ac:dyDescent="0.3">
      <c r="AV140">
        <v>716</v>
      </c>
      <c r="AW140">
        <f t="shared" si="30"/>
        <v>8.8045090632562391E-3</v>
      </c>
    </row>
    <row r="141" spans="48:49" x14ac:dyDescent="0.3">
      <c r="AV141">
        <v>721</v>
      </c>
      <c r="AW141">
        <f t="shared" si="30"/>
        <v>8.762159086766471E-3</v>
      </c>
    </row>
    <row r="142" spans="48:49" x14ac:dyDescent="0.3">
      <c r="AV142">
        <v>726</v>
      </c>
      <c r="AW142">
        <f t="shared" si="30"/>
        <v>8.7204144039389475E-3</v>
      </c>
    </row>
    <row r="143" spans="48:49" x14ac:dyDescent="0.3">
      <c r="AV143">
        <v>731</v>
      </c>
      <c r="AW143">
        <f t="shared" si="30"/>
        <v>8.6792607320549248E-3</v>
      </c>
    </row>
    <row r="144" spans="48:49" x14ac:dyDescent="0.3">
      <c r="AV144">
        <v>736</v>
      </c>
      <c r="AW144">
        <f t="shared" si="30"/>
        <v>8.6386842558136018E-3</v>
      </c>
    </row>
    <row r="145" spans="48:49" x14ac:dyDescent="0.3">
      <c r="AV145">
        <v>741</v>
      </c>
      <c r="AW145">
        <f t="shared" si="30"/>
        <v>8.5986716078469555E-3</v>
      </c>
    </row>
    <row r="146" spans="48:49" x14ac:dyDescent="0.3">
      <c r="AV146">
        <v>746</v>
      </c>
      <c r="AW146">
        <f t="shared" si="30"/>
        <v>8.5592098502182586E-3</v>
      </c>
    </row>
    <row r="147" spans="48:49" x14ac:dyDescent="0.3">
      <c r="AV147">
        <v>751</v>
      </c>
      <c r="AW147">
        <f t="shared" si="30"/>
        <v>8.5202864568460993E-3</v>
      </c>
    </row>
    <row r="148" spans="48:49" x14ac:dyDescent="0.3">
      <c r="AV148">
        <v>756</v>
      </c>
      <c r="AW148">
        <f t="shared" si="30"/>
        <v>8.4818892967997109E-3</v>
      </c>
    </row>
    <row r="149" spans="48:49" x14ac:dyDescent="0.3">
      <c r="AV149">
        <v>761</v>
      </c>
      <c r="AW149">
        <f t="shared" si="30"/>
        <v>8.4440066184149828E-3</v>
      </c>
    </row>
    <row r="150" spans="48:49" x14ac:dyDescent="0.3">
      <c r="AV150">
        <v>766</v>
      </c>
      <c r="AW150">
        <f t="shared" si="30"/>
        <v>8.4066270341839715E-3</v>
      </c>
    </row>
    <row r="151" spans="48:49" x14ac:dyDescent="0.3">
      <c r="AV151">
        <v>771</v>
      </c>
      <c r="AW151">
        <f t="shared" si="30"/>
        <v>8.3697395063737443E-3</v>
      </c>
    </row>
    <row r="152" spans="48:49" x14ac:dyDescent="0.3">
      <c r="AV152">
        <v>776</v>
      </c>
      <c r="AW152">
        <f t="shared" si="30"/>
        <v>8.3333333333333332E-3</v>
      </c>
    </row>
    <row r="153" spans="48:49" x14ac:dyDescent="0.3">
      <c r="AV153">
        <v>781</v>
      </c>
      <c r="AW153">
        <f t="shared" si="30"/>
        <v>8.2973981364502236E-3</v>
      </c>
    </row>
    <row r="154" spans="48:49" x14ac:dyDescent="0.3">
      <c r="AV154">
        <v>786</v>
      </c>
      <c r="AW154">
        <f t="shared" si="30"/>
        <v>8.2619238477202768E-3</v>
      </c>
    </row>
    <row r="155" spans="48:49" x14ac:dyDescent="0.3">
      <c r="AV155">
        <v>791</v>
      </c>
      <c r="AW155">
        <f t="shared" si="30"/>
        <v>8.2269006978972718E-3</v>
      </c>
    </row>
    <row r="156" spans="48:49" x14ac:dyDescent="0.3">
      <c r="AV156">
        <v>796</v>
      </c>
      <c r="AW156">
        <f t="shared" si="30"/>
        <v>8.1923192051904063E-3</v>
      </c>
    </row>
    <row r="157" spans="48:49" x14ac:dyDescent="0.3">
      <c r="AV157">
        <v>801</v>
      </c>
      <c r="AW157">
        <f t="shared" si="30"/>
        <v>8.1581701644800417E-3</v>
      </c>
    </row>
    <row r="158" spans="48:49" x14ac:dyDescent="0.3">
      <c r="AV158">
        <v>806</v>
      </c>
      <c r="AW158">
        <f t="shared" si="30"/>
        <v>8.1244446370238761E-3</v>
      </c>
    </row>
    <row r="159" spans="48:49" x14ac:dyDescent="0.3">
      <c r="AV159">
        <v>811</v>
      </c>
      <c r="AW159">
        <f t="shared" si="30"/>
        <v>8.0911339406273489E-3</v>
      </c>
    </row>
    <row r="160" spans="48:49" x14ac:dyDescent="0.3">
      <c r="AV160">
        <v>816</v>
      </c>
      <c r="AW160">
        <f t="shared" si="30"/>
        <v>8.0582296402538032E-3</v>
      </c>
    </row>
    <row r="161" spans="48:49" x14ac:dyDescent="0.3">
      <c r="AV161">
        <v>821</v>
      </c>
      <c r="AW161">
        <f t="shared" si="30"/>
        <v>8.0257235390512813E-3</v>
      </c>
    </row>
    <row r="162" spans="48:49" x14ac:dyDescent="0.3">
      <c r="AV162">
        <v>826</v>
      </c>
      <c r="AW162">
        <f t="shared" si="30"/>
        <v>7.9936076697743157E-3</v>
      </c>
    </row>
    <row r="163" spans="48:49" x14ac:dyDescent="0.3">
      <c r="AV163">
        <v>831</v>
      </c>
      <c r="AW163">
        <f t="shared" si="30"/>
        <v>7.9618742865803296E-3</v>
      </c>
    </row>
    <row r="164" spans="48:49" x14ac:dyDescent="0.3">
      <c r="AV164">
        <v>836</v>
      </c>
      <c r="AW164">
        <f t="shared" si="30"/>
        <v>7.9305158571814412E-3</v>
      </c>
    </row>
    <row r="165" spans="48:49" x14ac:dyDescent="0.3">
      <c r="AV165">
        <v>841</v>
      </c>
      <c r="AW165">
        <f t="shared" si="30"/>
        <v>7.8995250553336432E-3</v>
      </c>
    </row>
    <row r="166" spans="48:49" x14ac:dyDescent="0.3">
      <c r="AV166">
        <v>846</v>
      </c>
      <c r="AW166">
        <f t="shared" si="30"/>
        <v>7.8688947536463376E-3</v>
      </c>
    </row>
    <row r="167" spans="48:49" x14ac:dyDescent="0.3">
      <c r="AV167">
        <v>851</v>
      </c>
      <c r="AW167">
        <f t="shared" si="30"/>
        <v>7.8386180166962055E-3</v>
      </c>
    </row>
    <row r="168" spans="48:49" x14ac:dyDescent="0.3">
      <c r="AV168">
        <v>856</v>
      </c>
      <c r="AW168">
        <f t="shared" si="30"/>
        <v>7.8086880944303041E-3</v>
      </c>
    </row>
    <row r="169" spans="48:49" x14ac:dyDescent="0.3">
      <c r="AV169">
        <v>861</v>
      </c>
      <c r="AW169">
        <f t="shared" si="30"/>
        <v>7.7790984158441403E-3</v>
      </c>
    </row>
    <row r="170" spans="48:49" x14ac:dyDescent="0.3">
      <c r="AV170">
        <v>866</v>
      </c>
      <c r="AW170">
        <f t="shared" si="30"/>
        <v>7.7498425829212857E-3</v>
      </c>
    </row>
    <row r="171" spans="48:49" x14ac:dyDescent="0.3">
      <c r="AV171">
        <v>871</v>
      </c>
      <c r="AW171">
        <f t="shared" si="30"/>
        <v>7.7209143648218296E-3</v>
      </c>
    </row>
    <row r="172" spans="48:49" x14ac:dyDescent="0.3">
      <c r="AV172">
        <v>876</v>
      </c>
      <c r="AW172">
        <f t="shared" si="30"/>
        <v>7.6923076923076927E-3</v>
      </c>
    </row>
    <row r="173" spans="48:49" x14ac:dyDescent="0.3">
      <c r="AV173">
        <v>881</v>
      </c>
      <c r="AW173">
        <f t="shared" si="30"/>
        <v>7.6640166523934735E-3</v>
      </c>
    </row>
    <row r="174" spans="48:49" x14ac:dyDescent="0.3">
      <c r="AV174">
        <v>886</v>
      </c>
      <c r="AW174">
        <f t="shared" si="30"/>
        <v>7.6360354832121259E-3</v>
      </c>
    </row>
    <row r="175" spans="48:49" x14ac:dyDescent="0.3">
      <c r="AV175">
        <v>891</v>
      </c>
      <c r="AW175">
        <f t="shared" si="30"/>
        <v>7.6083585690853352E-3</v>
      </c>
    </row>
    <row r="176" spans="48:49" x14ac:dyDescent="0.3">
      <c r="AV176">
        <v>896</v>
      </c>
      <c r="AW176">
        <f t="shared" si="30"/>
        <v>7.5809804357890344E-3</v>
      </c>
    </row>
    <row r="177" spans="48:49" x14ac:dyDescent="0.3">
      <c r="AV177">
        <v>901</v>
      </c>
      <c r="AW177">
        <f t="shared" si="30"/>
        <v>7.5538957460049797E-3</v>
      </c>
    </row>
    <row r="178" spans="48:49" x14ac:dyDescent="0.3">
      <c r="AV178">
        <v>906</v>
      </c>
      <c r="AW178">
        <f t="shared" si="30"/>
        <v>7.5270992949498143E-3</v>
      </c>
    </row>
    <row r="179" spans="48:49" x14ac:dyDescent="0.3">
      <c r="AV179">
        <v>911</v>
      </c>
      <c r="AW179">
        <f t="shared" si="30"/>
        <v>7.5005860061734932E-3</v>
      </c>
    </row>
    <row r="180" spans="48:49" x14ac:dyDescent="0.3">
      <c r="AV180">
        <v>916</v>
      </c>
      <c r="AW180">
        <f t="shared" si="30"/>
        <v>7.4743509275193593E-3</v>
      </c>
    </row>
    <row r="181" spans="48:49" x14ac:dyDescent="0.3">
      <c r="AV181">
        <v>921</v>
      </c>
      <c r="AW181">
        <f t="shared" si="30"/>
        <v>7.448389227238587E-3</v>
      </c>
    </row>
    <row r="182" spans="48:49" x14ac:dyDescent="0.3">
      <c r="AV182">
        <v>926</v>
      </c>
      <c r="AW182">
        <f t="shared" si="30"/>
        <v>7.4226961902520549E-3</v>
      </c>
    </row>
    <row r="183" spans="48:49" x14ac:dyDescent="0.3">
      <c r="AV183">
        <v>931</v>
      </c>
      <c r="AW183">
        <f t="shared" si="30"/>
        <v>7.3972672145530913E-3</v>
      </c>
    </row>
    <row r="184" spans="48:49" x14ac:dyDescent="0.3">
      <c r="AV184">
        <v>936</v>
      </c>
      <c r="AW184">
        <f t="shared" si="30"/>
        <v>7.3720978077448573E-3</v>
      </c>
    </row>
    <row r="185" spans="48:49" x14ac:dyDescent="0.3">
      <c r="AV185">
        <v>941</v>
      </c>
      <c r="AW185">
        <f t="shared" si="30"/>
        <v>7.3471835837064514E-3</v>
      </c>
    </row>
    <row r="186" spans="48:49" x14ac:dyDescent="0.3">
      <c r="AV186">
        <v>946</v>
      </c>
      <c r="AW186">
        <f t="shared" si="30"/>
        <v>7.3225202593821251E-3</v>
      </c>
    </row>
    <row r="187" spans="48:49" x14ac:dyDescent="0.3">
      <c r="AV187">
        <v>951</v>
      </c>
      <c r="AW187">
        <f t="shared" si="30"/>
        <v>7.2981036516882678E-3</v>
      </c>
    </row>
    <row r="188" spans="48:49" x14ac:dyDescent="0.3">
      <c r="AV188">
        <v>956</v>
      </c>
      <c r="AW188">
        <f t="shared" si="30"/>
        <v>7.2739296745330797E-3</v>
      </c>
    </row>
    <row r="189" spans="48:49" x14ac:dyDescent="0.3">
      <c r="AV189">
        <v>961</v>
      </c>
      <c r="AW189">
        <f t="shared" si="30"/>
        <v>7.249994335944138E-3</v>
      </c>
    </row>
    <row r="190" spans="48:49" x14ac:dyDescent="0.3">
      <c r="AV190">
        <v>966</v>
      </c>
      <c r="AW190">
        <f t="shared" si="30"/>
        <v>7.2262937352992425E-3</v>
      </c>
    </row>
    <row r="191" spans="48:49" x14ac:dyDescent="0.3">
      <c r="AV191">
        <v>971</v>
      </c>
      <c r="AW191">
        <f t="shared" si="30"/>
        <v>7.202824060656198E-3</v>
      </c>
    </row>
    <row r="192" spans="48:49" x14ac:dyDescent="0.3">
      <c r="AV192">
        <v>976</v>
      </c>
      <c r="AW192">
        <f t="shared" si="30"/>
        <v>7.1795815861773818E-3</v>
      </c>
    </row>
    <row r="193" spans="48:49" x14ac:dyDescent="0.3">
      <c r="AV193">
        <v>981</v>
      </c>
      <c r="AW193">
        <f t="shared" si="30"/>
        <v>7.1565626696451319E-3</v>
      </c>
    </row>
    <row r="194" spans="48:49" x14ac:dyDescent="0.3">
      <c r="AV194">
        <v>986</v>
      </c>
      <c r="AW194">
        <f t="shared" si="30"/>
        <v>7.1337637500642169E-3</v>
      </c>
    </row>
    <row r="195" spans="48:49" x14ac:dyDescent="0.3">
      <c r="AV195">
        <v>991</v>
      </c>
      <c r="AW195">
        <f t="shared" si="30"/>
        <v>7.1111813453477802E-3</v>
      </c>
    </row>
    <row r="196" spans="48:49" x14ac:dyDescent="0.3">
      <c r="AV196">
        <v>996</v>
      </c>
      <c r="AW196">
        <f t="shared" si="30"/>
        <v>7.0888120500833592E-3</v>
      </c>
    </row>
    <row r="197" spans="48:49" x14ac:dyDescent="0.3">
      <c r="AV197">
        <v>1001</v>
      </c>
      <c r="AW197">
        <f t="shared" ref="AW197:AW260" si="31">$AN$4/SQRT(AV197-200)</f>
        <v>7.0666525333757339E-3</v>
      </c>
    </row>
    <row r="198" spans="48:49" x14ac:dyDescent="0.3">
      <c r="AV198">
        <v>1006</v>
      </c>
      <c r="AW198">
        <f t="shared" si="31"/>
        <v>7.0446995367634694E-3</v>
      </c>
    </row>
    <row r="199" spans="48:49" x14ac:dyDescent="0.3">
      <c r="AV199">
        <v>1011</v>
      </c>
      <c r="AW199">
        <f t="shared" si="31"/>
        <v>7.0229498722062357E-3</v>
      </c>
    </row>
    <row r="200" spans="48:49" x14ac:dyDescent="0.3">
      <c r="AV200">
        <v>1016</v>
      </c>
      <c r="AW200">
        <f t="shared" si="31"/>
        <v>7.0014004201400491E-3</v>
      </c>
    </row>
    <row r="201" spans="48:49" x14ac:dyDescent="0.3">
      <c r="AV201">
        <v>1021</v>
      </c>
      <c r="AW201">
        <f t="shared" si="31"/>
        <v>6.9800481275977605E-3</v>
      </c>
    </row>
    <row r="202" spans="48:49" x14ac:dyDescent="0.3">
      <c r="AV202">
        <v>1026</v>
      </c>
      <c r="AW202">
        <f t="shared" si="31"/>
        <v>6.9588900063922102E-3</v>
      </c>
    </row>
    <row r="203" spans="48:49" x14ac:dyDescent="0.3">
      <c r="AV203">
        <v>1031</v>
      </c>
      <c r="AW203">
        <f t="shared" si="31"/>
        <v>6.9379231313596032E-3</v>
      </c>
    </row>
    <row r="204" spans="48:49" x14ac:dyDescent="0.3">
      <c r="AV204">
        <v>1036</v>
      </c>
      <c r="AW204">
        <f t="shared" si="31"/>
        <v>6.9171446386607468E-3</v>
      </c>
    </row>
    <row r="205" spans="48:49" x14ac:dyDescent="0.3">
      <c r="AV205">
        <v>1041</v>
      </c>
      <c r="AW205">
        <f t="shared" si="31"/>
        <v>6.8965517241379318E-3</v>
      </c>
    </row>
    <row r="206" spans="48:49" x14ac:dyDescent="0.3">
      <c r="AV206">
        <v>1046</v>
      </c>
      <c r="AW206">
        <f t="shared" si="31"/>
        <v>6.8761416417252898E-3</v>
      </c>
    </row>
    <row r="207" spans="48:49" x14ac:dyDescent="0.3">
      <c r="AV207">
        <v>1051</v>
      </c>
      <c r="AW207">
        <f t="shared" si="31"/>
        <v>6.8559117019106096E-3</v>
      </c>
    </row>
    <row r="208" spans="48:49" x14ac:dyDescent="0.3">
      <c r="AV208">
        <v>1056</v>
      </c>
      <c r="AW208">
        <f t="shared" si="31"/>
        <v>6.8358592702466329E-3</v>
      </c>
    </row>
    <row r="209" spans="48:49" x14ac:dyDescent="0.3">
      <c r="AV209">
        <v>1061</v>
      </c>
      <c r="AW209">
        <f t="shared" si="31"/>
        <v>6.8159817659099705E-3</v>
      </c>
    </row>
    <row r="210" spans="48:49" x14ac:dyDescent="0.3">
      <c r="AV210">
        <v>1066</v>
      </c>
      <c r="AW210">
        <f t="shared" si="31"/>
        <v>6.7962766603058486E-3</v>
      </c>
    </row>
    <row r="211" spans="48:49" x14ac:dyDescent="0.3">
      <c r="AV211">
        <v>1071</v>
      </c>
      <c r="AW211">
        <f t="shared" si="31"/>
        <v>6.7767414757169721E-3</v>
      </c>
    </row>
    <row r="212" spans="48:49" x14ac:dyDescent="0.3">
      <c r="AV212">
        <v>1076</v>
      </c>
      <c r="AW212">
        <f t="shared" si="31"/>
        <v>6.75737378399486E-3</v>
      </c>
    </row>
    <row r="213" spans="48:49" x14ac:dyDescent="0.3">
      <c r="AV213">
        <v>1081</v>
      </c>
      <c r="AW213">
        <f t="shared" si="31"/>
        <v>6.7381712052920918E-3</v>
      </c>
    </row>
    <row r="214" spans="48:49" x14ac:dyDescent="0.3">
      <c r="AV214">
        <v>1086</v>
      </c>
      <c r="AW214">
        <f t="shared" si="31"/>
        <v>6.7191314068339586E-3</v>
      </c>
    </row>
    <row r="215" spans="48:49" x14ac:dyDescent="0.3">
      <c r="AV215">
        <v>1091</v>
      </c>
      <c r="AW215">
        <f t="shared" si="31"/>
        <v>6.7002521017280802E-3</v>
      </c>
    </row>
    <row r="216" spans="48:49" x14ac:dyDescent="0.3">
      <c r="AV216">
        <v>1096</v>
      </c>
      <c r="AW216">
        <f t="shared" si="31"/>
        <v>6.6815310478106097E-3</v>
      </c>
    </row>
    <row r="217" spans="48:49" x14ac:dyDescent="0.3">
      <c r="AV217">
        <v>1101</v>
      </c>
      <c r="AW217">
        <f t="shared" si="31"/>
        <v>6.662966046527696E-3</v>
      </c>
    </row>
    <row r="218" spans="48:49" x14ac:dyDescent="0.3">
      <c r="AV218">
        <v>1106</v>
      </c>
      <c r="AW218">
        <f t="shared" si="31"/>
        <v>6.6445549418509544E-3</v>
      </c>
    </row>
    <row r="219" spans="48:49" x14ac:dyDescent="0.3">
      <c r="AV219">
        <v>1111</v>
      </c>
      <c r="AW219">
        <f t="shared" si="31"/>
        <v>6.6262956192257166E-3</v>
      </c>
    </row>
    <row r="220" spans="48:49" x14ac:dyDescent="0.3">
      <c r="AV220">
        <v>1116</v>
      </c>
      <c r="AW220">
        <f t="shared" si="31"/>
        <v>6.6081860045508981E-3</v>
      </c>
    </row>
    <row r="221" spans="48:49" x14ac:dyDescent="0.3">
      <c r="AV221">
        <v>1121</v>
      </c>
      <c r="AW221">
        <f t="shared" si="31"/>
        <v>6.5902240631893674E-3</v>
      </c>
    </row>
    <row r="222" spans="48:49" x14ac:dyDescent="0.3">
      <c r="AV222">
        <v>1126</v>
      </c>
      <c r="AW222">
        <f t="shared" si="31"/>
        <v>6.5724077990077494E-3</v>
      </c>
    </row>
    <row r="223" spans="48:49" x14ac:dyDescent="0.3">
      <c r="AV223">
        <v>1131</v>
      </c>
      <c r="AW223">
        <f t="shared" si="31"/>
        <v>6.554735253444622E-3</v>
      </c>
    </row>
    <row r="224" spans="48:49" x14ac:dyDescent="0.3">
      <c r="AV224">
        <v>1136</v>
      </c>
      <c r="AW224">
        <f t="shared" si="31"/>
        <v>6.5372045046061342E-3</v>
      </c>
    </row>
    <row r="225" spans="48:49" x14ac:dyDescent="0.3">
      <c r="AV225">
        <v>1141</v>
      </c>
      <c r="AW225">
        <f t="shared" si="31"/>
        <v>6.5198136663880846E-3</v>
      </c>
    </row>
    <row r="226" spans="48:49" x14ac:dyDescent="0.3">
      <c r="AV226">
        <v>1146</v>
      </c>
      <c r="AW226">
        <f t="shared" si="31"/>
        <v>6.5025608876235512E-3</v>
      </c>
    </row>
    <row r="227" spans="48:49" x14ac:dyDescent="0.3">
      <c r="AV227">
        <v>1151</v>
      </c>
      <c r="AW227">
        <f t="shared" si="31"/>
        <v>6.4854443512552158E-3</v>
      </c>
    </row>
    <row r="228" spans="48:49" x14ac:dyDescent="0.3">
      <c r="AV228">
        <v>1156</v>
      </c>
      <c r="AW228">
        <f t="shared" si="31"/>
        <v>6.4684622735315094E-3</v>
      </c>
    </row>
    <row r="229" spans="48:49" x14ac:dyDescent="0.3">
      <c r="AV229">
        <v>1161</v>
      </c>
      <c r="AW229">
        <f t="shared" si="31"/>
        <v>6.4516129032258064E-3</v>
      </c>
    </row>
    <row r="230" spans="48:49" x14ac:dyDescent="0.3">
      <c r="AV230">
        <v>1166</v>
      </c>
      <c r="AW230">
        <f t="shared" si="31"/>
        <v>6.4348945208778686E-3</v>
      </c>
    </row>
    <row r="231" spans="48:49" x14ac:dyDescent="0.3">
      <c r="AV231">
        <v>1171</v>
      </c>
      <c r="AW231">
        <f t="shared" si="31"/>
        <v>6.4183054380568001E-3</v>
      </c>
    </row>
    <row r="232" spans="48:49" x14ac:dyDescent="0.3">
      <c r="AV232">
        <v>1176</v>
      </c>
      <c r="AW232">
        <f t="shared" si="31"/>
        <v>6.4018439966447996E-3</v>
      </c>
    </row>
    <row r="233" spans="48:49" x14ac:dyDescent="0.3">
      <c r="AV233">
        <v>1181</v>
      </c>
      <c r="AW233">
        <f t="shared" si="31"/>
        <v>6.3855085681410097E-3</v>
      </c>
    </row>
    <row r="234" spans="48:49" x14ac:dyDescent="0.3">
      <c r="AV234">
        <v>1186</v>
      </c>
      <c r="AW234">
        <f t="shared" si="31"/>
        <v>6.3692975529848206E-3</v>
      </c>
    </row>
    <row r="235" spans="48:49" x14ac:dyDescent="0.3">
      <c r="AV235">
        <v>1191</v>
      </c>
      <c r="AW235">
        <f t="shared" si="31"/>
        <v>6.3532093798979597E-3</v>
      </c>
    </row>
    <row r="236" spans="48:49" x14ac:dyDescent="0.3">
      <c r="AV236">
        <v>1196</v>
      </c>
      <c r="AW236">
        <f t="shared" si="31"/>
        <v>6.3372425052447799E-3</v>
      </c>
    </row>
    <row r="237" spans="48:49" x14ac:dyDescent="0.3">
      <c r="AV237">
        <v>1201</v>
      </c>
      <c r="AW237">
        <f t="shared" si="31"/>
        <v>6.3213954124101395E-3</v>
      </c>
    </row>
    <row r="238" spans="48:49" x14ac:dyDescent="0.3">
      <c r="AV238">
        <v>1206</v>
      </c>
      <c r="AW238">
        <f t="shared" si="31"/>
        <v>6.3056666111943171E-3</v>
      </c>
    </row>
    <row r="239" spans="48:49" x14ac:dyDescent="0.3">
      <c r="AV239">
        <v>1211</v>
      </c>
      <c r="AW239">
        <f t="shared" si="31"/>
        <v>6.2900546372243902E-3</v>
      </c>
    </row>
    <row r="240" spans="48:49" x14ac:dyDescent="0.3">
      <c r="AV240">
        <v>1216</v>
      </c>
      <c r="AW240">
        <f t="shared" si="31"/>
        <v>6.274558051381586E-3</v>
      </c>
    </row>
    <row r="241" spans="48:49" x14ac:dyDescent="0.3">
      <c r="AV241">
        <v>1221</v>
      </c>
      <c r="AW241">
        <f t="shared" si="31"/>
        <v>6.2591754392440583E-3</v>
      </c>
    </row>
    <row r="242" spans="48:49" x14ac:dyDescent="0.3">
      <c r="AV242">
        <v>1226</v>
      </c>
      <c r="AW242">
        <f t="shared" si="31"/>
        <v>6.2439054105446271E-3</v>
      </c>
    </row>
    <row r="243" spans="48:49" x14ac:dyDescent="0.3">
      <c r="AV243">
        <v>1231</v>
      </c>
      <c r="AW243">
        <f t="shared" si="31"/>
        <v>6.2287465986429966E-3</v>
      </c>
    </row>
    <row r="244" spans="48:49" x14ac:dyDescent="0.3">
      <c r="AV244">
        <v>1236</v>
      </c>
      <c r="AW244">
        <f t="shared" si="31"/>
        <v>6.2136976600120006E-3</v>
      </c>
    </row>
    <row r="245" spans="48:49" x14ac:dyDescent="0.3">
      <c r="AV245">
        <v>1241</v>
      </c>
      <c r="AW245">
        <f t="shared" si="31"/>
        <v>6.1987572737374373E-3</v>
      </c>
    </row>
    <row r="246" spans="48:49" x14ac:dyDescent="0.3">
      <c r="AV246">
        <v>1246</v>
      </c>
      <c r="AW246">
        <f t="shared" si="31"/>
        <v>6.1839241410310639E-3</v>
      </c>
    </row>
    <row r="247" spans="48:49" x14ac:dyDescent="0.3">
      <c r="AV247">
        <v>1251</v>
      </c>
      <c r="AW247">
        <f t="shared" si="31"/>
        <v>6.1691969847563581E-3</v>
      </c>
    </row>
    <row r="248" spans="48:49" x14ac:dyDescent="0.3">
      <c r="AV248">
        <v>1256</v>
      </c>
      <c r="AW248">
        <f t="shared" si="31"/>
        <v>6.1545745489666364E-3</v>
      </c>
    </row>
    <row r="249" spans="48:49" x14ac:dyDescent="0.3">
      <c r="AV249">
        <v>1261</v>
      </c>
      <c r="AW249">
        <f t="shared" si="31"/>
        <v>6.1400555984551675E-3</v>
      </c>
    </row>
    <row r="250" spans="48:49" x14ac:dyDescent="0.3">
      <c r="AV250">
        <v>1266</v>
      </c>
      <c r="AW250">
        <f t="shared" si="31"/>
        <v>6.1256389183168879E-3</v>
      </c>
    </row>
    <row r="251" spans="48:49" x14ac:dyDescent="0.3">
      <c r="AV251">
        <v>1271</v>
      </c>
      <c r="AW251">
        <f t="shared" si="31"/>
        <v>6.1113233135214086E-3</v>
      </c>
    </row>
    <row r="252" spans="48:49" x14ac:dyDescent="0.3">
      <c r="AV252">
        <v>1276</v>
      </c>
      <c r="AW252">
        <f t="shared" si="31"/>
        <v>6.0971076084969239E-3</v>
      </c>
    </row>
    <row r="253" spans="48:49" x14ac:dyDescent="0.3">
      <c r="AV253">
        <v>1281</v>
      </c>
      <c r="AW253">
        <f t="shared" si="31"/>
        <v>6.0829906467247362E-3</v>
      </c>
    </row>
    <row r="254" spans="48:49" x14ac:dyDescent="0.3">
      <c r="AV254">
        <v>1286</v>
      </c>
      <c r="AW254">
        <f t="shared" si="31"/>
        <v>6.0689712903440451E-3</v>
      </c>
    </row>
    <row r="255" spans="48:49" x14ac:dyDescent="0.3">
      <c r="AV255">
        <v>1291</v>
      </c>
      <c r="AW255">
        <f t="shared" si="31"/>
        <v>6.055048419766727E-3</v>
      </c>
    </row>
    <row r="256" spans="48:49" x14ac:dyDescent="0.3">
      <c r="AV256">
        <v>1296</v>
      </c>
      <c r="AW256">
        <f t="shared" si="31"/>
        <v>6.04122093330177E-3</v>
      </c>
    </row>
    <row r="257" spans="48:49" x14ac:dyDescent="0.3">
      <c r="AV257">
        <v>1301</v>
      </c>
      <c r="AW257">
        <f t="shared" si="31"/>
        <v>6.0274877467891225E-3</v>
      </c>
    </row>
    <row r="258" spans="48:49" x14ac:dyDescent="0.3">
      <c r="AV258">
        <v>1306</v>
      </c>
      <c r="AW258">
        <f t="shared" si="31"/>
        <v>6.0138477932426375E-3</v>
      </c>
    </row>
    <row r="259" spans="48:49" x14ac:dyDescent="0.3">
      <c r="AV259">
        <v>1311</v>
      </c>
      <c r="AW259">
        <f t="shared" si="31"/>
        <v>6.0003000225018754E-3</v>
      </c>
    </row>
    <row r="260" spans="48:49" x14ac:dyDescent="0.3">
      <c r="AV260">
        <v>1316</v>
      </c>
      <c r="AW260">
        <f t="shared" si="31"/>
        <v>5.9868434008924967E-3</v>
      </c>
    </row>
    <row r="261" spans="48:49" x14ac:dyDescent="0.3">
      <c r="AV261">
        <v>1321</v>
      </c>
      <c r="AW261">
        <f t="shared" ref="AW261:AW324" si="32">$AN$4/SQRT(AV261-200)</f>
        <v>5.9734769108949889E-3</v>
      </c>
    </row>
    <row r="262" spans="48:49" x14ac:dyDescent="0.3">
      <c r="AV262">
        <v>1326</v>
      </c>
      <c r="AW262">
        <f t="shared" si="32"/>
        <v>5.9601995508214989E-3</v>
      </c>
    </row>
    <row r="263" spans="48:49" x14ac:dyDescent="0.3">
      <c r="AV263">
        <v>1331</v>
      </c>
      <c r="AW263">
        <f t="shared" si="32"/>
        <v>5.9470103345005262E-3</v>
      </c>
    </row>
    <row r="264" spans="48:49" x14ac:dyDescent="0.3">
      <c r="AV264">
        <v>1336</v>
      </c>
      <c r="AW264">
        <f t="shared" si="32"/>
        <v>5.9339082909692668E-3</v>
      </c>
    </row>
    <row r="265" spans="48:49" x14ac:dyDescent="0.3">
      <c r="AV265">
        <v>1341</v>
      </c>
      <c r="AW265">
        <f t="shared" si="32"/>
        <v>5.9208924641733704E-3</v>
      </c>
    </row>
    <row r="266" spans="48:49" x14ac:dyDescent="0.3">
      <c r="AV266">
        <v>1346</v>
      </c>
      <c r="AW266">
        <f t="shared" si="32"/>
        <v>5.9079619126739119E-3</v>
      </c>
    </row>
    <row r="267" spans="48:49" x14ac:dyDescent="0.3">
      <c r="AV267">
        <v>1351</v>
      </c>
      <c r="AW267">
        <f t="shared" si="32"/>
        <v>5.8951157093613815E-3</v>
      </c>
    </row>
    <row r="268" spans="48:49" x14ac:dyDescent="0.3">
      <c r="AV268">
        <v>1356</v>
      </c>
      <c r="AW268">
        <f t="shared" si="32"/>
        <v>5.8823529411764705E-3</v>
      </c>
    </row>
    <row r="269" spans="48:49" x14ac:dyDescent="0.3">
      <c r="AV269">
        <v>1361</v>
      </c>
      <c r="AW269">
        <f t="shared" si="32"/>
        <v>5.8696727088374924E-3</v>
      </c>
    </row>
    <row r="270" spans="48:49" x14ac:dyDescent="0.3">
      <c r="AV270">
        <v>1366</v>
      </c>
      <c r="AW270">
        <f t="shared" si="32"/>
        <v>5.8570741265742271E-3</v>
      </c>
    </row>
    <row r="271" spans="48:49" x14ac:dyDescent="0.3">
      <c r="AV271">
        <v>1371</v>
      </c>
      <c r="AW271">
        <f t="shared" si="32"/>
        <v>5.8445563218680356E-3</v>
      </c>
    </row>
    <row r="272" spans="48:49" x14ac:dyDescent="0.3">
      <c r="AV272">
        <v>1376</v>
      </c>
      <c r="AW272">
        <f t="shared" si="32"/>
        <v>5.8321184351980433E-3</v>
      </c>
    </row>
    <row r="273" spans="48:49" x14ac:dyDescent="0.3">
      <c r="AV273">
        <v>1381</v>
      </c>
      <c r="AW273">
        <f t="shared" si="32"/>
        <v>5.8197596197932548E-3</v>
      </c>
    </row>
    <row r="274" spans="48:49" x14ac:dyDescent="0.3">
      <c r="AV274">
        <v>1386</v>
      </c>
      <c r="AW274">
        <f t="shared" si="32"/>
        <v>5.8074790413904101E-3</v>
      </c>
    </row>
    <row r="275" spans="48:49" x14ac:dyDescent="0.3">
      <c r="AV275">
        <v>1391</v>
      </c>
      <c r="AW275">
        <f t="shared" si="32"/>
        <v>5.7952758779974472E-3</v>
      </c>
    </row>
    <row r="276" spans="48:49" x14ac:dyDescent="0.3">
      <c r="AV276">
        <v>1396</v>
      </c>
      <c r="AW276">
        <f t="shared" si="32"/>
        <v>5.7831493196624029E-3</v>
      </c>
    </row>
    <row r="277" spans="48:49" x14ac:dyDescent="0.3">
      <c r="AV277">
        <v>1401</v>
      </c>
      <c r="AW277">
        <f t="shared" si="32"/>
        <v>5.7710985682476127E-3</v>
      </c>
    </row>
    <row r="278" spans="48:49" x14ac:dyDescent="0.3">
      <c r="AV278">
        <v>1406</v>
      </c>
      <c r="AW278">
        <f t="shared" si="32"/>
        <v>5.7591228372090679E-3</v>
      </c>
    </row>
    <row r="279" spans="48:49" x14ac:dyDescent="0.3">
      <c r="AV279">
        <v>1411</v>
      </c>
      <c r="AW279">
        <f t="shared" si="32"/>
        <v>5.7472213513807824E-3</v>
      </c>
    </row>
    <row r="280" spans="48:49" x14ac:dyDescent="0.3">
      <c r="AV280">
        <v>1416</v>
      </c>
      <c r="AW280">
        <f t="shared" si="32"/>
        <v>5.7353933467640438E-3</v>
      </c>
    </row>
    <row r="281" spans="48:49" x14ac:dyDescent="0.3">
      <c r="AV281">
        <v>1421</v>
      </c>
      <c r="AW281">
        <f t="shared" si="32"/>
        <v>5.7236380703214254E-3</v>
      </c>
    </row>
    <row r="282" spans="48:49" x14ac:dyDescent="0.3">
      <c r="AV282">
        <v>1426</v>
      </c>
      <c r="AW282">
        <f t="shared" si="32"/>
        <v>5.7119547797753988E-3</v>
      </c>
    </row>
    <row r="283" spans="48:49" x14ac:dyDescent="0.3">
      <c r="AV283">
        <v>1431</v>
      </c>
      <c r="AW283">
        <f t="shared" si="32"/>
        <v>5.7003427434114814E-3</v>
      </c>
    </row>
    <row r="284" spans="48:49" x14ac:dyDescent="0.3">
      <c r="AV284">
        <v>1436</v>
      </c>
      <c r="AW284">
        <f t="shared" si="32"/>
        <v>5.6888012398857426E-3</v>
      </c>
    </row>
    <row r="285" spans="48:49" x14ac:dyDescent="0.3">
      <c r="AV285">
        <v>1441</v>
      </c>
      <c r="AW285">
        <f t="shared" si="32"/>
        <v>5.6773295580365962E-3</v>
      </c>
    </row>
    <row r="286" spans="48:49" x14ac:dyDescent="0.3">
      <c r="AV286">
        <v>1446</v>
      </c>
      <c r="AW286">
        <f t="shared" si="32"/>
        <v>5.6659269967007349E-3</v>
      </c>
    </row>
    <row r="287" spans="48:49" x14ac:dyDescent="0.3">
      <c r="AV287">
        <v>1451</v>
      </c>
      <c r="AW287">
        <f t="shared" si="32"/>
        <v>5.6545928645331403E-3</v>
      </c>
    </row>
    <row r="288" spans="48:49" x14ac:dyDescent="0.3">
      <c r="AV288">
        <v>1456</v>
      </c>
      <c r="AW288">
        <f t="shared" si="32"/>
        <v>5.6433264798310036E-3</v>
      </c>
    </row>
    <row r="289" spans="48:49" x14ac:dyDescent="0.3">
      <c r="AV289">
        <v>1461</v>
      </c>
      <c r="AW289">
        <f t="shared" si="32"/>
        <v>5.6321271703615242E-3</v>
      </c>
    </row>
    <row r="290" spans="48:49" x14ac:dyDescent="0.3">
      <c r="AV290">
        <v>1466</v>
      </c>
      <c r="AW290">
        <f t="shared" si="32"/>
        <v>5.6209942731934278E-3</v>
      </c>
    </row>
    <row r="291" spans="48:49" x14ac:dyDescent="0.3">
      <c r="AV291">
        <v>1471</v>
      </c>
      <c r="AW291">
        <f t="shared" si="32"/>
        <v>5.6099271345321439E-3</v>
      </c>
    </row>
    <row r="292" spans="48:49" x14ac:dyDescent="0.3">
      <c r="AV292">
        <v>1476</v>
      </c>
      <c r="AW292">
        <f t="shared" si="32"/>
        <v>5.5989251095585439E-3</v>
      </c>
    </row>
    <row r="293" spans="48:49" x14ac:dyDescent="0.3">
      <c r="AV293">
        <v>1481</v>
      </c>
      <c r="AW293">
        <f t="shared" si="32"/>
        <v>5.5879875622711263E-3</v>
      </c>
    </row>
    <row r="294" spans="48:49" x14ac:dyDescent="0.3">
      <c r="AV294">
        <v>1486</v>
      </c>
      <c r="AW294">
        <f t="shared" si="32"/>
        <v>5.5771138653316048E-3</v>
      </c>
    </row>
    <row r="295" spans="48:49" x14ac:dyDescent="0.3">
      <c r="AV295">
        <v>1491</v>
      </c>
      <c r="AW295">
        <f t="shared" si="32"/>
        <v>5.5663033999137669E-3</v>
      </c>
    </row>
    <row r="296" spans="48:49" x14ac:dyDescent="0.3">
      <c r="AV296">
        <v>1496</v>
      </c>
      <c r="AW296">
        <f t="shared" si="32"/>
        <v>5.5555555555555558E-3</v>
      </c>
    </row>
    <row r="297" spans="48:49" x14ac:dyDescent="0.3">
      <c r="AV297">
        <v>1501</v>
      </c>
      <c r="AW297">
        <f t="shared" si="32"/>
        <v>5.5448697300142773E-3</v>
      </c>
    </row>
    <row r="298" spans="48:49" x14ac:dyDescent="0.3">
      <c r="AV298">
        <v>1506</v>
      </c>
      <c r="AW298">
        <f t="shared" si="32"/>
        <v>5.5342453291248551E-3</v>
      </c>
    </row>
    <row r="299" spans="48:49" x14ac:dyDescent="0.3">
      <c r="AV299">
        <v>1511</v>
      </c>
      <c r="AW299">
        <f t="shared" si="32"/>
        <v>5.5236817666610748E-3</v>
      </c>
    </row>
    <row r="300" spans="48:49" x14ac:dyDescent="0.3">
      <c r="AV300">
        <v>1516</v>
      </c>
      <c r="AW300">
        <f t="shared" si="32"/>
        <v>5.513178464199713E-3</v>
      </c>
    </row>
    <row r="301" spans="48:49" x14ac:dyDescent="0.3">
      <c r="AV301">
        <v>1521</v>
      </c>
      <c r="AW301">
        <f t="shared" si="32"/>
        <v>5.5027348509875092E-3</v>
      </c>
    </row>
    <row r="302" spans="48:49" x14ac:dyDescent="0.3">
      <c r="AV302">
        <v>1526</v>
      </c>
      <c r="AW302">
        <f t="shared" si="32"/>
        <v>5.4923503638108972E-3</v>
      </c>
    </row>
    <row r="303" spans="48:49" x14ac:dyDescent="0.3">
      <c r="AV303">
        <v>1531</v>
      </c>
      <c r="AW303">
        <f t="shared" si="32"/>
        <v>5.4820244468684297E-3</v>
      </c>
    </row>
    <row r="304" spans="48:49" x14ac:dyDescent="0.3">
      <c r="AV304">
        <v>1536</v>
      </c>
      <c r="AW304">
        <f t="shared" si="32"/>
        <v>5.4717565516458275E-3</v>
      </c>
    </row>
    <row r="305" spans="48:49" x14ac:dyDescent="0.3">
      <c r="AV305">
        <v>1541</v>
      </c>
      <c r="AW305">
        <f t="shared" si="32"/>
        <v>5.4615461367936036E-3</v>
      </c>
    </row>
    <row r="306" spans="48:49" x14ac:dyDescent="0.3">
      <c r="AV306">
        <v>1546</v>
      </c>
      <c r="AW306">
        <f t="shared" si="32"/>
        <v>5.451392668007175E-3</v>
      </c>
    </row>
    <row r="307" spans="48:49" x14ac:dyDescent="0.3">
      <c r="AV307">
        <v>1551</v>
      </c>
      <c r="AW307">
        <f t="shared" si="32"/>
        <v>5.4412956179094325E-3</v>
      </c>
    </row>
    <row r="308" spans="48:49" x14ac:dyDescent="0.3">
      <c r="AV308">
        <v>1556</v>
      </c>
      <c r="AW308">
        <f t="shared" si="32"/>
        <v>5.4312544659356849E-3</v>
      </c>
    </row>
    <row r="309" spans="48:49" x14ac:dyDescent="0.3">
      <c r="AV309">
        <v>1561</v>
      </c>
      <c r="AW309">
        <f t="shared" si="32"/>
        <v>5.4212686982209315E-3</v>
      </c>
    </row>
    <row r="310" spans="48:49" x14ac:dyDescent="0.3">
      <c r="AV310">
        <v>1566</v>
      </c>
      <c r="AW310">
        <f t="shared" si="32"/>
        <v>5.4113378074894091E-3</v>
      </c>
    </row>
    <row r="311" spans="48:49" x14ac:dyDescent="0.3">
      <c r="AV311">
        <v>1571</v>
      </c>
      <c r="AW311">
        <f t="shared" si="32"/>
        <v>5.4014612929463518E-3</v>
      </c>
    </row>
    <row r="312" spans="48:49" x14ac:dyDescent="0.3">
      <c r="AV312">
        <v>1576</v>
      </c>
      <c r="AW312">
        <f t="shared" si="32"/>
        <v>5.3916386601719213E-3</v>
      </c>
    </row>
    <row r="313" spans="48:49" x14ac:dyDescent="0.3">
      <c r="AV313">
        <v>1581</v>
      </c>
      <c r="AW313">
        <f t="shared" si="32"/>
        <v>5.381869421017248E-3</v>
      </c>
    </row>
    <row r="314" spans="48:49" x14ac:dyDescent="0.3">
      <c r="AV314">
        <v>1586</v>
      </c>
      <c r="AW314">
        <f t="shared" si="32"/>
        <v>5.3721530935025357E-3</v>
      </c>
    </row>
    <row r="315" spans="48:49" x14ac:dyDescent="0.3">
      <c r="AV315">
        <v>1591</v>
      </c>
      <c r="AW315">
        <f t="shared" si="32"/>
        <v>5.362489201717187E-3</v>
      </c>
    </row>
    <row r="316" spans="48:49" x14ac:dyDescent="0.3">
      <c r="AV316">
        <v>1596</v>
      </c>
      <c r="AW316">
        <f t="shared" si="32"/>
        <v>5.3528772757218922E-3</v>
      </c>
    </row>
    <row r="317" spans="48:49" x14ac:dyDescent="0.3">
      <c r="AV317">
        <v>1601</v>
      </c>
      <c r="AW317">
        <f t="shared" si="32"/>
        <v>5.3433168514526487E-3</v>
      </c>
    </row>
    <row r="318" spans="48:49" x14ac:dyDescent="0.3">
      <c r="AV318">
        <v>1606</v>
      </c>
      <c r="AW318">
        <f t="shared" si="32"/>
        <v>5.3338074706266499E-3</v>
      </c>
    </row>
    <row r="319" spans="48:49" x14ac:dyDescent="0.3">
      <c r="AV319">
        <v>1611</v>
      </c>
      <c r="AW319">
        <f t="shared" si="32"/>
        <v>5.3243486806500212E-3</v>
      </c>
    </row>
    <row r="320" spans="48:49" x14ac:dyDescent="0.3">
      <c r="AV320">
        <v>1616</v>
      </c>
      <c r="AW320">
        <f t="shared" si="32"/>
        <v>5.3149400345273391E-3</v>
      </c>
    </row>
    <row r="321" spans="48:49" x14ac:dyDescent="0.3">
      <c r="AV321">
        <v>1621</v>
      </c>
      <c r="AW321">
        <f t="shared" si="32"/>
        <v>5.3055810907729102E-3</v>
      </c>
    </row>
    <row r="322" spans="48:49" x14ac:dyDescent="0.3">
      <c r="AV322">
        <v>1626</v>
      </c>
      <c r="AW322">
        <f t="shared" si="32"/>
        <v>5.2962714133237615E-3</v>
      </c>
    </row>
    <row r="323" spans="48:49" x14ac:dyDescent="0.3">
      <c r="AV323">
        <v>1631</v>
      </c>
      <c r="AW323">
        <f t="shared" si="32"/>
        <v>5.2870105714542944E-3</v>
      </c>
    </row>
    <row r="324" spans="48:49" x14ac:dyDescent="0.3">
      <c r="AV324">
        <v>1636</v>
      </c>
      <c r="AW324">
        <f t="shared" si="32"/>
        <v>5.2777981396925954E-3</v>
      </c>
    </row>
    <row r="325" spans="48:49" x14ac:dyDescent="0.3">
      <c r="AV325">
        <v>1641</v>
      </c>
      <c r="AW325">
        <f t="shared" ref="AW325:AW388" si="33">$AN$4/SQRT(AV325-200)</f>
        <v>5.2686336977383228E-3</v>
      </c>
    </row>
    <row r="326" spans="48:49" x14ac:dyDescent="0.3">
      <c r="AV326">
        <v>1646</v>
      </c>
      <c r="AW326">
        <f t="shared" si="33"/>
        <v>5.2595168303821698E-3</v>
      </c>
    </row>
    <row r="327" spans="48:49" x14ac:dyDescent="0.3">
      <c r="AV327">
        <v>1651</v>
      </c>
      <c r="AW327">
        <f t="shared" si="33"/>
        <v>5.250447127426853E-3</v>
      </c>
    </row>
    <row r="328" spans="48:49" x14ac:dyDescent="0.3">
      <c r="AV328">
        <v>1656</v>
      </c>
      <c r="AW328">
        <f t="shared" si="33"/>
        <v>5.2414241836095917E-3</v>
      </c>
    </row>
    <row r="329" spans="48:49" x14ac:dyDescent="0.3">
      <c r="AV329">
        <v>1661</v>
      </c>
      <c r="AW329">
        <f t="shared" si="33"/>
        <v>5.2324475985260493E-3</v>
      </c>
    </row>
    <row r="330" spans="48:49" x14ac:dyDescent="0.3">
      <c r="AV330">
        <v>1666</v>
      </c>
      <c r="AW330">
        <f t="shared" si="33"/>
        <v>5.2235169765557027E-3</v>
      </c>
    </row>
    <row r="331" spans="48:49" x14ac:dyDescent="0.3">
      <c r="AV331">
        <v>1671</v>
      </c>
      <c r="AW331">
        <f t="shared" si="33"/>
        <v>5.2146319267886085E-3</v>
      </c>
    </row>
    <row r="332" spans="48:49" x14ac:dyDescent="0.3">
      <c r="AV332">
        <v>1676</v>
      </c>
      <c r="AW332">
        <f t="shared" si="33"/>
        <v>5.2057920629535364E-3</v>
      </c>
    </row>
    <row r="333" spans="48:49" x14ac:dyDescent="0.3">
      <c r="AV333">
        <v>1681</v>
      </c>
      <c r="AW333">
        <f t="shared" si="33"/>
        <v>5.19699700334743E-3</v>
      </c>
    </row>
    <row r="334" spans="48:49" x14ac:dyDescent="0.3">
      <c r="AV334">
        <v>1686</v>
      </c>
      <c r="AW334">
        <f t="shared" si="33"/>
        <v>5.1882463707661874E-3</v>
      </c>
    </row>
    <row r="335" spans="48:49" x14ac:dyDescent="0.3">
      <c r="AV335">
        <v>1691</v>
      </c>
      <c r="AW335">
        <f t="shared" si="33"/>
        <v>5.1795397924367069E-3</v>
      </c>
    </row>
    <row r="336" spans="48:49" x14ac:dyDescent="0.3">
      <c r="AV336">
        <v>1696</v>
      </c>
      <c r="AW336">
        <f t="shared" si="33"/>
        <v>5.1708768999501921E-3</v>
      </c>
    </row>
    <row r="337" spans="48:49" x14ac:dyDescent="0.3">
      <c r="AV337">
        <v>1701</v>
      </c>
      <c r="AW337">
        <f t="shared" si="33"/>
        <v>5.1622573291966733E-3</v>
      </c>
    </row>
    <row r="338" spans="48:49" x14ac:dyDescent="0.3">
      <c r="AV338">
        <v>1706</v>
      </c>
      <c r="AW338">
        <f t="shared" si="33"/>
        <v>5.1536807203007321E-3</v>
      </c>
    </row>
    <row r="339" spans="48:49" x14ac:dyDescent="0.3">
      <c r="AV339">
        <v>1711</v>
      </c>
      <c r="AW339">
        <f t="shared" si="33"/>
        <v>5.1451467175583883E-3</v>
      </c>
    </row>
    <row r="340" spans="48:49" x14ac:dyDescent="0.3">
      <c r="AV340">
        <v>1716</v>
      </c>
      <c r="AW340">
        <f t="shared" si="33"/>
        <v>5.1366549693751418E-3</v>
      </c>
    </row>
    <row r="341" spans="48:49" x14ac:dyDescent="0.3">
      <c r="AV341">
        <v>1721</v>
      </c>
      <c r="AW341">
        <f t="shared" si="33"/>
        <v>5.1282051282051282E-3</v>
      </c>
    </row>
    <row r="342" spans="48:49" x14ac:dyDescent="0.3">
      <c r="AV342">
        <v>1726</v>
      </c>
      <c r="AW342">
        <f t="shared" si="33"/>
        <v>5.119796850491379E-3</v>
      </c>
    </row>
    <row r="343" spans="48:49" x14ac:dyDescent="0.3">
      <c r="AV343">
        <v>1731</v>
      </c>
      <c r="AW343">
        <f t="shared" si="33"/>
        <v>5.1114297966071464E-3</v>
      </c>
    </row>
    <row r="344" spans="48:49" x14ac:dyDescent="0.3">
      <c r="AV344">
        <v>1736</v>
      </c>
      <c r="AW344">
        <f t="shared" si="33"/>
        <v>5.1031036307982881E-3</v>
      </c>
    </row>
    <row r="345" spans="48:49" x14ac:dyDescent="0.3">
      <c r="AV345">
        <v>1741</v>
      </c>
      <c r="AW345">
        <f t="shared" si="33"/>
        <v>5.0948180211266769E-3</v>
      </c>
    </row>
    <row r="346" spans="48:49" x14ac:dyDescent="0.3">
      <c r="AV346">
        <v>1746</v>
      </c>
      <c r="AW346">
        <f t="shared" si="33"/>
        <v>5.0865726394146186E-3</v>
      </c>
    </row>
    <row r="347" spans="48:49" x14ac:dyDescent="0.3">
      <c r="AV347">
        <v>1751</v>
      </c>
      <c r="AW347">
        <f t="shared" si="33"/>
        <v>5.0783671611902559E-3</v>
      </c>
    </row>
    <row r="348" spans="48:49" x14ac:dyDescent="0.3">
      <c r="AV348">
        <v>1756</v>
      </c>
      <c r="AW348">
        <f t="shared" si="33"/>
        <v>5.0702012656339383E-3</v>
      </c>
    </row>
    <row r="349" spans="48:49" x14ac:dyDescent="0.3">
      <c r="AV349">
        <v>1761</v>
      </c>
      <c r="AW349">
        <f t="shared" si="33"/>
        <v>5.0620746355255382E-3</v>
      </c>
    </row>
    <row r="350" spans="48:49" x14ac:dyDescent="0.3">
      <c r="AV350">
        <v>1766</v>
      </c>
      <c r="AW350">
        <f t="shared" si="33"/>
        <v>5.0539869571926896E-3</v>
      </c>
    </row>
    <row r="351" spans="48:49" x14ac:dyDescent="0.3">
      <c r="AV351">
        <v>1771</v>
      </c>
      <c r="AW351">
        <f t="shared" si="33"/>
        <v>5.0459379204599395E-3</v>
      </c>
    </row>
    <row r="352" spans="48:49" x14ac:dyDescent="0.3">
      <c r="AV352">
        <v>1776</v>
      </c>
      <c r="AW352">
        <f t="shared" si="33"/>
        <v>5.0379272185987842E-3</v>
      </c>
    </row>
    <row r="353" spans="48:49" x14ac:dyDescent="0.3">
      <c r="AV353">
        <v>1781</v>
      </c>
      <c r="AW353">
        <f t="shared" si="33"/>
        <v>5.0299545482785689E-3</v>
      </c>
    </row>
    <row r="354" spans="48:49" x14ac:dyDescent="0.3">
      <c r="AV354">
        <v>1786</v>
      </c>
      <c r="AW354">
        <f t="shared" si="33"/>
        <v>5.0220196095182544E-3</v>
      </c>
    </row>
    <row r="355" spans="48:49" x14ac:dyDescent="0.3">
      <c r="AV355">
        <v>1791</v>
      </c>
      <c r="AW355">
        <f t="shared" si="33"/>
        <v>5.0141221056390021E-3</v>
      </c>
    </row>
    <row r="356" spans="48:49" x14ac:dyDescent="0.3">
      <c r="AV356">
        <v>1796</v>
      </c>
      <c r="AW356">
        <f t="shared" si="33"/>
        <v>5.0062617432175896E-3</v>
      </c>
    </row>
    <row r="357" spans="48:49" x14ac:dyDescent="0.3">
      <c r="AV357">
        <v>1801</v>
      </c>
      <c r="AW357">
        <f t="shared" si="33"/>
        <v>4.9984382320406142E-3</v>
      </c>
    </row>
    <row r="358" spans="48:49" x14ac:dyDescent="0.3">
      <c r="AV358">
        <v>1806</v>
      </c>
      <c r="AW358">
        <f t="shared" si="33"/>
        <v>4.9906512850594964E-3</v>
      </c>
    </row>
    <row r="359" spans="48:49" x14ac:dyDescent="0.3">
      <c r="AV359">
        <v>1811</v>
      </c>
      <c r="AW359">
        <f t="shared" si="33"/>
        <v>4.9829006183462398E-3</v>
      </c>
    </row>
    <row r="360" spans="48:49" x14ac:dyDescent="0.3">
      <c r="AV360">
        <v>1816</v>
      </c>
      <c r="AW360">
        <f t="shared" si="33"/>
        <v>4.9751859510499463E-3</v>
      </c>
    </row>
    <row r="361" spans="48:49" x14ac:dyDescent="0.3">
      <c r="AV361">
        <v>1821</v>
      </c>
      <c r="AW361">
        <f t="shared" si="33"/>
        <v>4.9675070053540769E-3</v>
      </c>
    </row>
    <row r="362" spans="48:49" x14ac:dyDescent="0.3">
      <c r="AV362">
        <v>1826</v>
      </c>
      <c r="AW362">
        <f t="shared" si="33"/>
        <v>4.9598635064344284E-3</v>
      </c>
    </row>
    <row r="363" spans="48:49" x14ac:dyDescent="0.3">
      <c r="AV363">
        <v>1831</v>
      </c>
      <c r="AW363">
        <f t="shared" si="33"/>
        <v>4.9522551824178231E-3</v>
      </c>
    </row>
    <row r="364" spans="48:49" x14ac:dyDescent="0.3">
      <c r="AV364">
        <v>1836</v>
      </c>
      <c r="AW364">
        <f t="shared" si="33"/>
        <v>4.9446817643414879E-3</v>
      </c>
    </row>
    <row r="365" spans="48:49" x14ac:dyDescent="0.3">
      <c r="AV365">
        <v>1841</v>
      </c>
      <c r="AW365">
        <f t="shared" si="33"/>
        <v>4.9371429861131246E-3</v>
      </c>
    </row>
    <row r="366" spans="48:49" x14ac:dyDescent="0.3">
      <c r="AV366">
        <v>1846</v>
      </c>
      <c r="AW366">
        <f t="shared" si="33"/>
        <v>4.9296385844716396E-3</v>
      </c>
    </row>
    <row r="367" spans="48:49" x14ac:dyDescent="0.3">
      <c r="AV367">
        <v>1851</v>
      </c>
      <c r="AW367">
        <f t="shared" si="33"/>
        <v>4.9221682989485267E-3</v>
      </c>
    </row>
    <row r="368" spans="48:49" x14ac:dyDescent="0.3">
      <c r="AV368">
        <v>1856</v>
      </c>
      <c r="AW368">
        <f t="shared" si="33"/>
        <v>4.9147318718299046E-3</v>
      </c>
    </row>
    <row r="369" spans="48:49" x14ac:dyDescent="0.3">
      <c r="AV369">
        <v>1861</v>
      </c>
      <c r="AW369">
        <f t="shared" si="33"/>
        <v>4.9073290481191651E-3</v>
      </c>
    </row>
    <row r="370" spans="48:49" x14ac:dyDescent="0.3">
      <c r="AV370">
        <v>1866</v>
      </c>
      <c r="AW370">
        <f t="shared" si="33"/>
        <v>4.8999595755002531E-3</v>
      </c>
    </row>
    <row r="371" spans="48:49" x14ac:dyDescent="0.3">
      <c r="AV371">
        <v>1871</v>
      </c>
      <c r="AW371">
        <f t="shared" si="33"/>
        <v>4.892623204301544E-3</v>
      </c>
    </row>
    <row r="372" spans="48:49" x14ac:dyDescent="0.3">
      <c r="AV372">
        <v>1876</v>
      </c>
      <c r="AW372">
        <f t="shared" si="33"/>
        <v>4.8853196874603152E-3</v>
      </c>
    </row>
    <row r="373" spans="48:49" x14ac:dyDescent="0.3">
      <c r="AV373">
        <v>1881</v>
      </c>
      <c r="AW373">
        <f t="shared" si="33"/>
        <v>4.8780487804878049E-3</v>
      </c>
    </row>
    <row r="374" spans="48:49" x14ac:dyDescent="0.3">
      <c r="AV374">
        <v>1886</v>
      </c>
      <c r="AW374">
        <f t="shared" si="33"/>
        <v>4.8708102414348311E-3</v>
      </c>
    </row>
    <row r="375" spans="48:49" x14ac:dyDescent="0.3">
      <c r="AV375">
        <v>1891</v>
      </c>
      <c r="AW375">
        <f t="shared" si="33"/>
        <v>4.8636038308579755E-3</v>
      </c>
    </row>
    <row r="376" spans="48:49" x14ac:dyDescent="0.3">
      <c r="AV376">
        <v>1896</v>
      </c>
      <c r="AW376">
        <f t="shared" si="33"/>
        <v>4.8564293117863214E-3</v>
      </c>
    </row>
    <row r="377" spans="48:49" x14ac:dyDescent="0.3">
      <c r="AV377">
        <v>1901</v>
      </c>
      <c r="AW377">
        <f t="shared" si="33"/>
        <v>4.8492864496887198E-3</v>
      </c>
    </row>
    <row r="378" spans="48:49" x14ac:dyDescent="0.3">
      <c r="AV378">
        <v>1906</v>
      </c>
      <c r="AW378">
        <f t="shared" si="33"/>
        <v>4.8421750124415909E-3</v>
      </c>
    </row>
    <row r="379" spans="48:49" x14ac:dyDescent="0.3">
      <c r="AV379">
        <v>1911</v>
      </c>
      <c r="AW379">
        <f t="shared" si="33"/>
        <v>4.8350947702972382E-3</v>
      </c>
    </row>
    <row r="380" spans="48:49" x14ac:dyDescent="0.3">
      <c r="AV380">
        <v>1916</v>
      </c>
      <c r="AW380">
        <f t="shared" si="33"/>
        <v>4.8280454958526762E-3</v>
      </c>
    </row>
    <row r="381" spans="48:49" x14ac:dyDescent="0.3">
      <c r="AV381">
        <v>1921</v>
      </c>
      <c r="AW381">
        <f t="shared" si="33"/>
        <v>4.8210269640189523E-3</v>
      </c>
    </row>
    <row r="382" spans="48:49" x14ac:dyDescent="0.3">
      <c r="AV382">
        <v>1926</v>
      </c>
      <c r="AW382">
        <f t="shared" si="33"/>
        <v>4.8140389519909588E-3</v>
      </c>
    </row>
    <row r="383" spans="48:49" x14ac:dyDescent="0.3">
      <c r="AV383">
        <v>1931</v>
      </c>
      <c r="AW383">
        <f t="shared" si="33"/>
        <v>4.8070812392177293E-3</v>
      </c>
    </row>
    <row r="384" spans="48:49" x14ac:dyDescent="0.3">
      <c r="AV384">
        <v>1936</v>
      </c>
      <c r="AW384">
        <f t="shared" si="33"/>
        <v>4.8001536073731931E-3</v>
      </c>
    </row>
    <row r="385" spans="48:49" x14ac:dyDescent="0.3">
      <c r="AV385">
        <v>1941</v>
      </c>
      <c r="AW385">
        <f t="shared" si="33"/>
        <v>4.7932558403274133E-3</v>
      </c>
    </row>
    <row r="386" spans="48:49" x14ac:dyDescent="0.3">
      <c r="AV386">
        <v>1946</v>
      </c>
      <c r="AW386">
        <f t="shared" si="33"/>
        <v>4.7863877241182545E-3</v>
      </c>
    </row>
    <row r="387" spans="48:49" x14ac:dyDescent="0.3">
      <c r="AV387">
        <v>1951</v>
      </c>
      <c r="AW387">
        <f t="shared" si="33"/>
        <v>4.7795490469235129E-3</v>
      </c>
    </row>
    <row r="388" spans="48:49" x14ac:dyDescent="0.3">
      <c r="AV388">
        <v>1956</v>
      </c>
      <c r="AW388">
        <f t="shared" si="33"/>
        <v>4.7727395990334771E-3</v>
      </c>
    </row>
    <row r="389" spans="48:49" x14ac:dyDescent="0.3">
      <c r="AV389">
        <v>1961</v>
      </c>
      <c r="AW389">
        <f t="shared" ref="AW389:AW390" si="34">$AN$4/SQRT(AV389-200)</f>
        <v>4.7659591728239159E-3</v>
      </c>
    </row>
    <row r="390" spans="48:49" x14ac:dyDescent="0.3">
      <c r="AV390">
        <v>1966</v>
      </c>
      <c r="AW390">
        <f t="shared" si="34"/>
        <v>4.7592075627294885E-3</v>
      </c>
    </row>
  </sheetData>
  <sortState xmlns:xlrd2="http://schemas.microsoft.com/office/spreadsheetml/2017/richdata2" ref="B12:X32">
    <sortCondition ref="B12:B32"/>
    <sortCondition ref="J12:J32"/>
  </sortState>
  <mergeCells count="7">
    <mergeCell ref="T40:V40"/>
    <mergeCell ref="B41:C41"/>
    <mergeCell ref="E40:G40"/>
    <mergeCell ref="H40:J40"/>
    <mergeCell ref="K40:M40"/>
    <mergeCell ref="N40:P40"/>
    <mergeCell ref="Q40:S40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0E79-529B-4845-A2D1-3B84E474F2E2}">
  <dimension ref="A2:AZ397"/>
  <sheetViews>
    <sheetView topLeftCell="Y1" workbookViewId="0">
      <selection activeCell="AS5" sqref="AS5"/>
    </sheetView>
  </sheetViews>
  <sheetFormatPr defaultRowHeight="14.4" x14ac:dyDescent="0.3"/>
  <cols>
    <col min="47" max="47" width="12" bestFit="1" customWidth="1"/>
    <col min="52" max="52" width="12" bestFit="1" customWidth="1"/>
  </cols>
  <sheetData>
    <row r="2" spans="1:52" ht="57.6" x14ac:dyDescent="0.3">
      <c r="A2" t="s">
        <v>219</v>
      </c>
      <c r="C2" s="1" t="s">
        <v>0</v>
      </c>
      <c r="D2" s="1" t="s">
        <v>15</v>
      </c>
      <c r="E2" s="1"/>
      <c r="F2" s="1" t="s">
        <v>1</v>
      </c>
      <c r="G2" s="1" t="s">
        <v>2</v>
      </c>
      <c r="H2" s="1" t="s">
        <v>9</v>
      </c>
      <c r="I2" s="1" t="s">
        <v>2</v>
      </c>
      <c r="J2" s="1"/>
      <c r="K2" s="1" t="s">
        <v>3</v>
      </c>
      <c r="L2" s="1" t="s">
        <v>4</v>
      </c>
      <c r="M2" s="1" t="s">
        <v>17</v>
      </c>
      <c r="N2" s="1" t="s">
        <v>5</v>
      </c>
      <c r="O2" s="1" t="s">
        <v>17</v>
      </c>
      <c r="Q2" s="1" t="s">
        <v>53</v>
      </c>
      <c r="R2" s="1" t="s">
        <v>2</v>
      </c>
      <c r="S2" s="1" t="s">
        <v>54</v>
      </c>
      <c r="T2" s="1" t="s">
        <v>2</v>
      </c>
      <c r="V2" t="s">
        <v>55</v>
      </c>
      <c r="W2" s="1" t="s">
        <v>17</v>
      </c>
      <c r="X2" s="1"/>
      <c r="Y2" t="s">
        <v>56</v>
      </c>
      <c r="Z2" t="s">
        <v>17</v>
      </c>
      <c r="AL2" t="s">
        <v>61</v>
      </c>
      <c r="AM2" t="s">
        <v>62</v>
      </c>
      <c r="AU2" t="s">
        <v>60</v>
      </c>
      <c r="AW2" t="s">
        <v>13</v>
      </c>
      <c r="AY2" t="s">
        <v>101</v>
      </c>
      <c r="AZ2" t="s">
        <v>102</v>
      </c>
    </row>
    <row r="3" spans="1:52" x14ac:dyDescent="0.3">
      <c r="AR3" t="s">
        <v>291</v>
      </c>
      <c r="AS3" t="s">
        <v>292</v>
      </c>
    </row>
    <row r="4" spans="1:52" x14ac:dyDescent="0.3">
      <c r="A4">
        <v>1943</v>
      </c>
      <c r="C4" t="s">
        <v>103</v>
      </c>
      <c r="D4">
        <v>1</v>
      </c>
      <c r="F4" s="11"/>
      <c r="G4" s="11"/>
      <c r="H4" s="11">
        <f>$G$43+$J$43</f>
        <v>96.199999999999989</v>
      </c>
      <c r="I4" s="11">
        <f>SQRT($H$43^2+$K$43^2)</f>
        <v>0.80622577482985491</v>
      </c>
      <c r="K4" s="3">
        <v>30.983000000000001</v>
      </c>
      <c r="L4" s="3">
        <v>1.1969999999999901</v>
      </c>
      <c r="M4" s="3">
        <f>L4*'Geometry Efficiency Calibration'!$H$44</f>
        <v>5.5159162463509465E-2</v>
      </c>
      <c r="N4" s="3">
        <v>160.41522748327299</v>
      </c>
      <c r="O4" s="2">
        <f>(N4/2)*(SQRT(N4*A4)/(N4*A4))</f>
        <v>0.14366679380859554</v>
      </c>
      <c r="Q4">
        <f>Data!$N$11</f>
        <v>9.4030496245358179</v>
      </c>
      <c r="R4">
        <f>Data!$O$11</f>
        <v>0.58337987118009516</v>
      </c>
      <c r="S4">
        <f t="shared" ref="S4:S28" si="0">1000*Q4*H4/100</f>
        <v>9045.7337388034557</v>
      </c>
      <c r="T4">
        <f t="shared" ref="T4:T28" si="1">S4*SQRT((R4/Q4)^2+(I4/H4)^2)</f>
        <v>566.30857597898205</v>
      </c>
      <c r="V4">
        <f t="shared" ref="V4:V11" si="2">N4*L4*SQRT(2*PI())</f>
        <v>481.3153098344464</v>
      </c>
      <c r="W4">
        <f>V4*SQRT((O4/N4)^2+(M4/L4)^2)</f>
        <v>22.183761892847222</v>
      </c>
      <c r="Y4">
        <f t="shared" ref="Y4:Y28" si="3">V4/S4</f>
        <v>5.3209095440179675E-2</v>
      </c>
      <c r="Z4">
        <f t="shared" ref="Z4:Z28" si="4">Y4*SQRT((W4/V4)^2+(T4/S4)^2)</f>
        <v>4.1365300543941951E-3</v>
      </c>
      <c r="AL4">
        <f>Y4</f>
        <v>5.3209095440179675E-2</v>
      </c>
      <c r="AM4" s="3">
        <f>1/K4</f>
        <v>3.2275764128715745E-2</v>
      </c>
      <c r="AO4" t="s">
        <v>57</v>
      </c>
      <c r="AP4">
        <v>6.7</v>
      </c>
      <c r="AQ4">
        <v>0.2</v>
      </c>
      <c r="AR4">
        <f>AP4-AQ4</f>
        <v>6.5</v>
      </c>
      <c r="AS4">
        <f>AP4+AQ4</f>
        <v>6.9</v>
      </c>
      <c r="AU4">
        <f>$AP$4/K4-$AP$6/(K4^$AP$5)</f>
        <v>7.3138107056286039E-2</v>
      </c>
      <c r="AW4">
        <f t="shared" ref="AW4:AW33" si="5">AL4-AU4</f>
        <v>-1.9929011616106364E-2</v>
      </c>
      <c r="AY4">
        <v>1</v>
      </c>
      <c r="AZ4">
        <f>$AP$4/(AY4^$AP$7)-$AP$6/(AY4^$AP$5)</f>
        <v>-5993.3</v>
      </c>
    </row>
    <row r="5" spans="1:52" x14ac:dyDescent="0.3">
      <c r="A5">
        <v>1943</v>
      </c>
      <c r="C5" t="s">
        <v>103</v>
      </c>
      <c r="D5">
        <v>5</v>
      </c>
      <c r="F5" s="11">
        <v>80.997900000000001</v>
      </c>
      <c r="G5" s="11">
        <v>1.1000000000000001E-3</v>
      </c>
      <c r="H5" s="11">
        <v>33.31</v>
      </c>
      <c r="I5" s="4">
        <v>0.3</v>
      </c>
      <c r="K5" s="3">
        <v>81.23</v>
      </c>
      <c r="L5" s="3">
        <v>1.45199999999999</v>
      </c>
      <c r="M5" s="3">
        <f>L5*'Geometry Efficiency Calibration'!$H$44</f>
        <v>6.6909861233931375E-2</v>
      </c>
      <c r="N5" s="3">
        <v>56.1366083376221</v>
      </c>
      <c r="O5" s="2">
        <f t="shared" ref="O5:O33" si="6">(N5/2)*(SQRT(N5*A5)/(N5*A5))</f>
        <v>8.498781991508822E-2</v>
      </c>
      <c r="Q5">
        <f>Data!$N$11</f>
        <v>9.4030496245358179</v>
      </c>
      <c r="R5">
        <f>Data!$O$11</f>
        <v>0.58337987118009516</v>
      </c>
      <c r="S5">
        <f t="shared" si="0"/>
        <v>3132.1558299328813</v>
      </c>
      <c r="T5">
        <f t="shared" si="1"/>
        <v>196.3606604294601</v>
      </c>
      <c r="V5">
        <f t="shared" si="2"/>
        <v>204.31616128580688</v>
      </c>
      <c r="W5">
        <f t="shared" ref="W5:W33" si="7">V5*SQRT((O5/N5)^2+(M5/L5)^2)</f>
        <v>9.4202079747493066</v>
      </c>
      <c r="Y5">
        <f t="shared" si="3"/>
        <v>6.5231799559022946E-2</v>
      </c>
      <c r="Z5">
        <f t="shared" si="4"/>
        <v>5.0763733236761288E-3</v>
      </c>
      <c r="AL5">
        <f>Y5</f>
        <v>6.5231799559022946E-2</v>
      </c>
      <c r="AM5" s="3">
        <f>1/K5</f>
        <v>1.2310722639418934E-2</v>
      </c>
      <c r="AO5" t="s">
        <v>58</v>
      </c>
      <c r="AP5">
        <v>3.1</v>
      </c>
      <c r="AQ5">
        <v>0.1</v>
      </c>
      <c r="AR5">
        <f t="shared" ref="AR5:AR6" si="8">AP5+AQ5</f>
        <v>3.2</v>
      </c>
      <c r="AS5">
        <f t="shared" ref="AS5:AS6" si="9">AP5-AQ5</f>
        <v>3</v>
      </c>
      <c r="AU5">
        <f t="shared" ref="AU5:AU33" si="10">$AP$4/K5-$AP$6/(K5^$AP$5)</f>
        <v>7.5270264677452375E-2</v>
      </c>
      <c r="AW5">
        <f t="shared" si="5"/>
        <v>-1.0038465118429429E-2</v>
      </c>
      <c r="AY5">
        <v>6</v>
      </c>
      <c r="AZ5">
        <f t="shared" ref="AZ5:AZ68" si="11">$AP$4/(AY5^$AP$7)-$AP$6/(AY5^$AP$5)</f>
        <v>-22.104411168831582</v>
      </c>
    </row>
    <row r="6" spans="1:52" x14ac:dyDescent="0.3">
      <c r="A6">
        <v>1943</v>
      </c>
      <c r="C6" t="s">
        <v>103</v>
      </c>
      <c r="D6">
        <v>7</v>
      </c>
      <c r="F6" s="11">
        <v>160.6121</v>
      </c>
      <c r="G6" s="11">
        <v>1.6000000000000001E-3</v>
      </c>
      <c r="H6" s="11">
        <v>0.63800000000000001</v>
      </c>
      <c r="I6" s="4">
        <v>6.0000000000000001E-3</v>
      </c>
      <c r="K6" s="3">
        <v>161.29199999999901</v>
      </c>
      <c r="L6" s="3">
        <v>1.2329999999999901</v>
      </c>
      <c r="M6" s="3">
        <f>L6*'Geometry Efficiency Calibration'!$H$44</f>
        <v>5.6818084642863149E-2</v>
      </c>
      <c r="N6" s="3">
        <v>1.22977251672671</v>
      </c>
      <c r="O6" s="2">
        <f t="shared" si="6"/>
        <v>1.2578996479657793E-2</v>
      </c>
      <c r="Q6">
        <f>Data!$N$11</f>
        <v>9.4030496245358179</v>
      </c>
      <c r="R6">
        <f>Data!$O$11</f>
        <v>0.58337987118009516</v>
      </c>
      <c r="S6">
        <f t="shared" si="0"/>
        <v>59.991456604538513</v>
      </c>
      <c r="T6">
        <f t="shared" si="1"/>
        <v>3.7644807489198588</v>
      </c>
      <c r="V6">
        <f t="shared" si="2"/>
        <v>3.8008242986886374</v>
      </c>
      <c r="W6">
        <f t="shared" si="7"/>
        <v>0.17940941747188102</v>
      </c>
      <c r="Y6">
        <f t="shared" si="3"/>
        <v>6.335609291408828E-2</v>
      </c>
      <c r="Z6">
        <f t="shared" si="4"/>
        <v>4.9748448343765479E-3</v>
      </c>
      <c r="AL6">
        <f>Y6</f>
        <v>6.335609291408828E-2</v>
      </c>
      <c r="AM6" s="3">
        <f>1/K6</f>
        <v>6.1999355206706231E-3</v>
      </c>
      <c r="AO6" s="6" t="s">
        <v>11</v>
      </c>
      <c r="AP6">
        <v>6000</v>
      </c>
      <c r="AQ6">
        <v>500</v>
      </c>
      <c r="AR6">
        <f t="shared" si="8"/>
        <v>6500</v>
      </c>
      <c r="AS6">
        <f t="shared" si="9"/>
        <v>5500</v>
      </c>
      <c r="AU6">
        <f t="shared" si="10"/>
        <v>4.0679462960937399E-2</v>
      </c>
      <c r="AW6">
        <f t="shared" si="5"/>
        <v>2.2676629953150881E-2</v>
      </c>
      <c r="AY6">
        <v>11</v>
      </c>
      <c r="AZ6">
        <f t="shared" si="11"/>
        <v>-2.9376864411574974</v>
      </c>
    </row>
    <row r="7" spans="1:52" x14ac:dyDescent="0.3">
      <c r="A7">
        <v>1943</v>
      </c>
      <c r="C7" t="s">
        <v>103</v>
      </c>
      <c r="D7">
        <v>9</v>
      </c>
      <c r="F7" s="11">
        <v>276.39890000000003</v>
      </c>
      <c r="G7" s="11">
        <v>1.1999999999999999E-3</v>
      </c>
      <c r="H7" s="11">
        <v>7.13</v>
      </c>
      <c r="I7" s="11">
        <v>0.06</v>
      </c>
      <c r="K7" s="3">
        <v>277.54599999999903</v>
      </c>
      <c r="L7" s="3">
        <v>1.2009999999999901</v>
      </c>
      <c r="M7" s="3">
        <f>L7*'Geometry Efficiency Calibration'!$H$44</f>
        <v>5.5343487150104322E-2</v>
      </c>
      <c r="N7" s="3">
        <v>6.0671230056613403</v>
      </c>
      <c r="O7" s="2">
        <f t="shared" si="6"/>
        <v>2.7939910076769384E-2</v>
      </c>
      <c r="Q7">
        <f>Data!$N$11</f>
        <v>9.4030496245358179</v>
      </c>
      <c r="R7">
        <f>Data!$O$11</f>
        <v>0.58337987118009516</v>
      </c>
      <c r="S7">
        <f t="shared" si="0"/>
        <v>670.43743822940382</v>
      </c>
      <c r="T7">
        <f t="shared" si="1"/>
        <v>41.975862170761026</v>
      </c>
      <c r="V7">
        <f t="shared" si="2"/>
        <v>18.264834508057426</v>
      </c>
      <c r="W7">
        <f t="shared" si="7"/>
        <v>0.84585740920934149</v>
      </c>
      <c r="Y7">
        <f t="shared" si="3"/>
        <v>2.724316016166111E-2</v>
      </c>
      <c r="Z7">
        <f t="shared" si="4"/>
        <v>2.1215848734022361E-3</v>
      </c>
      <c r="AL7">
        <f>Y7</f>
        <v>2.724316016166111E-2</v>
      </c>
      <c r="AM7" s="3">
        <f>1/K7</f>
        <v>3.6030063484971987E-3</v>
      </c>
      <c r="AO7" t="s">
        <v>218</v>
      </c>
      <c r="AP7">
        <v>1</v>
      </c>
      <c r="AU7">
        <f t="shared" si="10"/>
        <v>2.3980255652242308E-2</v>
      </c>
      <c r="AW7">
        <f t="shared" si="5"/>
        <v>3.2629045094188028E-3</v>
      </c>
      <c r="AY7">
        <v>16</v>
      </c>
      <c r="AZ7">
        <f t="shared" si="11"/>
        <v>-0.69139396961210875</v>
      </c>
    </row>
    <row r="8" spans="1:52" x14ac:dyDescent="0.3">
      <c r="A8">
        <v>1943</v>
      </c>
      <c r="C8" t="s">
        <v>103</v>
      </c>
      <c r="D8">
        <v>10</v>
      </c>
      <c r="F8" s="11">
        <v>302.85079999999999</v>
      </c>
      <c r="G8" s="11">
        <v>5.0000000000000001E-4</v>
      </c>
      <c r="H8" s="11">
        <v>18.309999999999999</v>
      </c>
      <c r="I8" s="11">
        <v>0.11</v>
      </c>
      <c r="K8" s="3">
        <v>304.099999999999</v>
      </c>
      <c r="L8" s="3">
        <v>1.19799999999999</v>
      </c>
      <c r="M8" s="3">
        <f>L8*'Geometry Efficiency Calibration'!$H$44</f>
        <v>5.520524363515817E-2</v>
      </c>
      <c r="N8" s="3">
        <v>14.83184251158</v>
      </c>
      <c r="O8" s="2">
        <f t="shared" si="6"/>
        <v>4.3684880971263898E-2</v>
      </c>
      <c r="Q8">
        <f>Data!$N$11</f>
        <v>9.4030496245358179</v>
      </c>
      <c r="R8">
        <f>Data!$O$11</f>
        <v>0.58337987118009516</v>
      </c>
      <c r="S8">
        <f t="shared" si="0"/>
        <v>1721.6983862525078</v>
      </c>
      <c r="T8">
        <f t="shared" si="1"/>
        <v>107.3164729704454</v>
      </c>
      <c r="V8">
        <f t="shared" si="2"/>
        <v>44.539143133671416</v>
      </c>
      <c r="W8">
        <f t="shared" si="7"/>
        <v>2.0566040049402758</v>
      </c>
      <c r="Y8">
        <f t="shared" si="3"/>
        <v>2.5869306429807629E-2</v>
      </c>
      <c r="Z8">
        <f t="shared" si="4"/>
        <v>2.0067307163784899E-3</v>
      </c>
      <c r="AL8">
        <f t="shared" ref="AL8:AL32" si="12">Y8</f>
        <v>2.5869306429807629E-2</v>
      </c>
      <c r="AM8" s="3">
        <f t="shared" ref="AM8:AM32" si="13">1/K8</f>
        <v>3.2883919763235887E-3</v>
      </c>
      <c r="AU8">
        <f t="shared" si="10"/>
        <v>2.191177803201318E-2</v>
      </c>
      <c r="AW8">
        <f t="shared" si="5"/>
        <v>3.9575283977944485E-3</v>
      </c>
      <c r="AY8">
        <v>21</v>
      </c>
      <c r="AZ8">
        <f t="shared" si="11"/>
        <v>-0.15878020661664816</v>
      </c>
    </row>
    <row r="9" spans="1:52" x14ac:dyDescent="0.3">
      <c r="A9">
        <v>1943</v>
      </c>
      <c r="C9" t="s">
        <v>103</v>
      </c>
      <c r="D9">
        <v>12</v>
      </c>
      <c r="F9" s="11">
        <v>356.0129</v>
      </c>
      <c r="G9" s="11">
        <v>6.9999999999999999E-4</v>
      </c>
      <c r="H9" s="11">
        <v>62.05</v>
      </c>
      <c r="I9" s="11">
        <v>0.19</v>
      </c>
      <c r="K9" s="3">
        <v>357.4</v>
      </c>
      <c r="L9" s="3">
        <v>1.44999999999999</v>
      </c>
      <c r="M9" s="3">
        <f>L9*'Geometry Efficiency Calibration'!$H$44</f>
        <v>6.681769889063395E-2</v>
      </c>
      <c r="N9" s="3">
        <v>33.112418939783701</v>
      </c>
      <c r="O9" s="2">
        <f t="shared" si="6"/>
        <v>6.5272321327813368E-2</v>
      </c>
      <c r="Q9">
        <f>Data!$N$11</f>
        <v>9.4030496245358179</v>
      </c>
      <c r="R9">
        <f>Data!$O$11</f>
        <v>0.58337987118009516</v>
      </c>
      <c r="S9">
        <f t="shared" si="0"/>
        <v>5834.5922920244748</v>
      </c>
      <c r="T9">
        <f t="shared" si="1"/>
        <v>362.42782296308656</v>
      </c>
      <c r="V9">
        <f t="shared" si="2"/>
        <v>120.35076205603804</v>
      </c>
      <c r="W9">
        <f t="shared" si="7"/>
        <v>5.5509760525059235</v>
      </c>
      <c r="Y9">
        <f t="shared" si="3"/>
        <v>2.0627107436547033E-2</v>
      </c>
      <c r="Z9">
        <f t="shared" si="4"/>
        <v>1.5958892545342217E-3</v>
      </c>
      <c r="AL9">
        <f t="shared" si="12"/>
        <v>2.0627107436547033E-2</v>
      </c>
      <c r="AM9" s="3">
        <f t="shared" si="13"/>
        <v>2.7979854504756579E-3</v>
      </c>
      <c r="AO9" t="s">
        <v>217</v>
      </c>
      <c r="AU9">
        <f t="shared" si="10"/>
        <v>1.8673494232466555E-2</v>
      </c>
      <c r="AW9">
        <f t="shared" si="5"/>
        <v>1.9536132040804781E-3</v>
      </c>
      <c r="AY9">
        <v>26</v>
      </c>
      <c r="AZ9">
        <f t="shared" si="11"/>
        <v>1.1239442404983646E-2</v>
      </c>
    </row>
    <row r="10" spans="1:52" x14ac:dyDescent="0.3">
      <c r="A10">
        <v>1943</v>
      </c>
      <c r="C10" t="s">
        <v>103</v>
      </c>
      <c r="D10">
        <v>13</v>
      </c>
      <c r="F10" s="11">
        <v>383.8485</v>
      </c>
      <c r="G10" s="11">
        <v>1.1999999999999999E-3</v>
      </c>
      <c r="H10" s="11">
        <v>8.94</v>
      </c>
      <c r="I10" s="11">
        <v>0.06</v>
      </c>
      <c r="K10" s="3">
        <v>385.94999999999902</v>
      </c>
      <c r="L10" s="3">
        <v>1.8599999999999901</v>
      </c>
      <c r="M10" s="3">
        <f>L10*'Geometry Efficiency Calibration'!$H$44</f>
        <v>8.5710979266606438E-2</v>
      </c>
      <c r="N10" s="3">
        <v>6.0136850231600496</v>
      </c>
      <c r="O10" s="2">
        <f t="shared" si="6"/>
        <v>2.7816593423367144E-2</v>
      </c>
      <c r="Q10">
        <f>Data!$N$11</f>
        <v>9.4030496245358179</v>
      </c>
      <c r="R10">
        <f>Data!$O$11</f>
        <v>0.58337987118009516</v>
      </c>
      <c r="S10">
        <f t="shared" si="0"/>
        <v>840.63263643350206</v>
      </c>
      <c r="T10">
        <f t="shared" si="1"/>
        <v>52.458428292750625</v>
      </c>
      <c r="V10">
        <f t="shared" si="2"/>
        <v>28.03777561962686</v>
      </c>
      <c r="W10">
        <f t="shared" si="7"/>
        <v>1.2985062716972444</v>
      </c>
      <c r="Y10">
        <f t="shared" si="3"/>
        <v>3.3353184737843301E-2</v>
      </c>
      <c r="Z10">
        <f t="shared" si="4"/>
        <v>2.5919241020159974E-3</v>
      </c>
      <c r="AL10">
        <f t="shared" si="12"/>
        <v>3.3353184737843301E-2</v>
      </c>
      <c r="AM10" s="3">
        <f t="shared" si="13"/>
        <v>2.5910091980826597E-3</v>
      </c>
      <c r="AU10">
        <f t="shared" si="10"/>
        <v>1.7302230218205459E-2</v>
      </c>
      <c r="AW10">
        <f t="shared" si="5"/>
        <v>1.6050954519637842E-2</v>
      </c>
      <c r="AY10">
        <v>31</v>
      </c>
      <c r="AZ10">
        <f t="shared" si="11"/>
        <v>7.3262665765805868E-2</v>
      </c>
    </row>
    <row r="11" spans="1:52" x14ac:dyDescent="0.3">
      <c r="A11">
        <v>7876</v>
      </c>
      <c r="C11" t="s">
        <v>14</v>
      </c>
      <c r="D11">
        <v>1</v>
      </c>
      <c r="H11">
        <f>$G$40+$J$40</f>
        <v>58.5</v>
      </c>
      <c r="I11">
        <f>SQRT($H$40^2+$K$40^2)</f>
        <v>0.58309518948452999</v>
      </c>
      <c r="K11">
        <v>39.906999999999897</v>
      </c>
      <c r="L11">
        <v>1.1809999999999901</v>
      </c>
      <c r="M11" s="3">
        <f>L11*'Geometry Efficiency Calibration'!$H$44</f>
        <v>5.4421863717130051E-2</v>
      </c>
      <c r="N11" s="3">
        <v>48.914941594718002</v>
      </c>
      <c r="O11" s="2">
        <f t="shared" si="6"/>
        <v>3.9403783140513286E-2</v>
      </c>
      <c r="Q11">
        <f>Data!$N$5</f>
        <v>5.2713726140193762</v>
      </c>
      <c r="R11">
        <f>Data!$O$5</f>
        <v>0.15293335261036162</v>
      </c>
      <c r="S11">
        <f t="shared" si="0"/>
        <v>3083.7529792013347</v>
      </c>
      <c r="T11">
        <f t="shared" si="1"/>
        <v>94.598825192735021</v>
      </c>
      <c r="V11">
        <f t="shared" si="2"/>
        <v>144.80427084648011</v>
      </c>
      <c r="W11">
        <f t="shared" si="7"/>
        <v>6.6737699608567889</v>
      </c>
      <c r="Y11">
        <f t="shared" si="3"/>
        <v>4.6957156368595765E-2</v>
      </c>
      <c r="Z11">
        <f t="shared" si="4"/>
        <v>2.5997360008036107E-3</v>
      </c>
      <c r="AL11">
        <f t="shared" si="12"/>
        <v>4.6957156368595765E-2</v>
      </c>
      <c r="AM11" s="3">
        <f t="shared" si="13"/>
        <v>2.5058260455559239E-2</v>
      </c>
      <c r="AU11">
        <f t="shared" si="10"/>
        <v>0.10259246237791586</v>
      </c>
      <c r="AW11">
        <f t="shared" si="5"/>
        <v>-5.5635306009320096E-2</v>
      </c>
      <c r="AY11">
        <v>36</v>
      </c>
      <c r="AZ11">
        <f t="shared" si="11"/>
        <v>9.6241368470733085E-2</v>
      </c>
    </row>
    <row r="12" spans="1:52" x14ac:dyDescent="0.3">
      <c r="A12">
        <v>2625</v>
      </c>
      <c r="C12" t="s">
        <v>7</v>
      </c>
      <c r="D12">
        <v>1</v>
      </c>
      <c r="F12">
        <v>1173.2280000000001</v>
      </c>
      <c r="G12">
        <v>3.0000000000000001E-3</v>
      </c>
      <c r="H12">
        <v>99.85</v>
      </c>
      <c r="I12">
        <v>0.03</v>
      </c>
      <c r="K12">
        <v>1176.78899999999</v>
      </c>
      <c r="L12">
        <v>1.6479999999999899</v>
      </c>
      <c r="M12" s="3">
        <f>L12*'Geometry Efficiency Calibration'!$H$44</f>
        <v>7.5941770877079193E-2</v>
      </c>
      <c r="N12">
        <v>19.352523809523799</v>
      </c>
      <c r="O12" s="2">
        <f t="shared" si="6"/>
        <v>4.2931311483216224E-2</v>
      </c>
      <c r="Q12">
        <f>Data!$N$6</f>
        <v>10.074941625407249</v>
      </c>
      <c r="R12">
        <f>Data!$O$6</f>
        <v>0.72811893768096991</v>
      </c>
      <c r="S12">
        <f t="shared" si="0"/>
        <v>10059.829212969138</v>
      </c>
      <c r="T12">
        <f t="shared" si="1"/>
        <v>727.03304195991996</v>
      </c>
      <c r="V12">
        <f t="shared" ref="V12:V13" si="14">N12*L12*SQRT(2*PI())</f>
        <v>79.943793387862954</v>
      </c>
      <c r="W12">
        <f t="shared" si="7"/>
        <v>3.6881699804660708</v>
      </c>
      <c r="Y12">
        <f t="shared" si="3"/>
        <v>7.9468340560691995E-3</v>
      </c>
      <c r="Z12">
        <f t="shared" si="4"/>
        <v>6.8136770955571193E-4</v>
      </c>
      <c r="AL12">
        <f t="shared" si="12"/>
        <v>7.9468340560691995E-3</v>
      </c>
      <c r="AM12" s="3">
        <f>1/K35</f>
        <v>8.5107179726788931E-4</v>
      </c>
      <c r="AU12">
        <f t="shared" si="10"/>
        <v>5.6916436098802944E-3</v>
      </c>
      <c r="AW12">
        <f t="shared" si="5"/>
        <v>2.2551904461889051E-3</v>
      </c>
      <c r="AY12">
        <v>41</v>
      </c>
      <c r="AZ12">
        <f t="shared" si="11"/>
        <v>0.10336348886884714</v>
      </c>
    </row>
    <row r="13" spans="1:52" x14ac:dyDescent="0.3">
      <c r="A13">
        <v>2625</v>
      </c>
      <c r="C13" t="s">
        <v>7</v>
      </c>
      <c r="D13">
        <v>2</v>
      </c>
      <c r="F13">
        <v>1332.492</v>
      </c>
      <c r="G13">
        <v>4.0000000000000001E-3</v>
      </c>
      <c r="H13">
        <v>99.982600000000005</v>
      </c>
      <c r="I13">
        <v>5.9999999999999995E-4</v>
      </c>
      <c r="K13">
        <v>1336.5129999999899</v>
      </c>
      <c r="L13">
        <v>1.70399999999999</v>
      </c>
      <c r="M13" s="3">
        <f>L13*'Geometry Efficiency Calibration'!$H$44</f>
        <v>7.8522316489407148E-2</v>
      </c>
      <c r="N13">
        <v>16.737666666666701</v>
      </c>
      <c r="O13" s="2">
        <f t="shared" si="6"/>
        <v>3.9925724690523717E-2</v>
      </c>
      <c r="Q13">
        <f>Data!$N$6</f>
        <v>10.074941625407249</v>
      </c>
      <c r="R13">
        <f>Data!$O$6</f>
        <v>0.72811893768096991</v>
      </c>
      <c r="S13">
        <f t="shared" si="0"/>
        <v>10073.188585564429</v>
      </c>
      <c r="T13">
        <f t="shared" si="1"/>
        <v>727.99224749556549</v>
      </c>
      <c r="V13">
        <f t="shared" si="14"/>
        <v>71.491504914698098</v>
      </c>
      <c r="W13">
        <f t="shared" si="7"/>
        <v>3.2988231978607621</v>
      </c>
      <c r="Y13">
        <f t="shared" si="3"/>
        <v>7.0972070370200688E-3</v>
      </c>
      <c r="Z13">
        <f t="shared" si="4"/>
        <v>6.0854811508070049E-4</v>
      </c>
      <c r="AL13">
        <f t="shared" si="12"/>
        <v>7.0972070370200688E-3</v>
      </c>
      <c r="AM13" s="3">
        <f>1/K36</f>
        <v>7.4938924776307302E-4</v>
      </c>
      <c r="AU13">
        <f t="shared" si="10"/>
        <v>5.0118215549667701E-3</v>
      </c>
      <c r="AW13">
        <f t="shared" si="5"/>
        <v>2.0853854820532987E-3</v>
      </c>
      <c r="AY13">
        <v>46</v>
      </c>
      <c r="AZ13">
        <f t="shared" si="11"/>
        <v>0.10361805270905231</v>
      </c>
    </row>
    <row r="14" spans="1:52" x14ac:dyDescent="0.3">
      <c r="A14">
        <v>6516</v>
      </c>
      <c r="C14" t="s">
        <v>8</v>
      </c>
      <c r="D14">
        <v>1</v>
      </c>
      <c r="F14">
        <v>661.65700000000004</v>
      </c>
      <c r="G14">
        <v>3.0000000000000001E-3</v>
      </c>
      <c r="H14">
        <v>84.99</v>
      </c>
      <c r="I14" s="4">
        <v>0.2</v>
      </c>
      <c r="K14" s="3">
        <v>662.74699999999905</v>
      </c>
      <c r="L14" s="3">
        <v>1.25999999999999</v>
      </c>
      <c r="M14" s="3">
        <f>L14*'Geometry Efficiency Calibration'!$H$44</f>
        <v>5.8062276277378408E-2</v>
      </c>
      <c r="N14" s="3">
        <v>50.482694904849602</v>
      </c>
      <c r="O14" s="2">
        <f t="shared" si="6"/>
        <v>4.4009935478740589E-2</v>
      </c>
      <c r="Q14">
        <f>Data!$N$4</f>
        <v>15.27139747251133</v>
      </c>
      <c r="R14">
        <f>Data!$O$4</f>
        <v>0.93405577819370234</v>
      </c>
      <c r="S14">
        <f t="shared" si="0"/>
        <v>12979.160711887378</v>
      </c>
      <c r="T14">
        <f t="shared" si="1"/>
        <v>794.44134143787915</v>
      </c>
      <c r="V14">
        <f t="shared" ref="V14:V28" si="15">N14*L14*SQRT(2*PI())</f>
        <v>159.44210153936231</v>
      </c>
      <c r="W14">
        <f t="shared" si="7"/>
        <v>7.3485935502382969</v>
      </c>
      <c r="Y14">
        <f t="shared" si="3"/>
        <v>1.2284469318060928E-2</v>
      </c>
      <c r="Z14">
        <f t="shared" si="4"/>
        <v>9.4124811681421498E-4</v>
      </c>
      <c r="AL14">
        <f t="shared" si="12"/>
        <v>1.2284469318060928E-2</v>
      </c>
      <c r="AM14" s="3">
        <f t="shared" si="13"/>
        <v>1.5088714094518745E-3</v>
      </c>
      <c r="AU14">
        <f t="shared" si="10"/>
        <v>1.0098674456397654E-2</v>
      </c>
      <c r="AW14">
        <f t="shared" si="5"/>
        <v>2.1857948616632733E-3</v>
      </c>
      <c r="AY14">
        <v>51</v>
      </c>
      <c r="AZ14">
        <f t="shared" si="11"/>
        <v>0.10084557869699719</v>
      </c>
    </row>
    <row r="15" spans="1:52" x14ac:dyDescent="0.3">
      <c r="A15">
        <v>7876</v>
      </c>
      <c r="C15" t="s">
        <v>14</v>
      </c>
      <c r="D15">
        <v>7</v>
      </c>
      <c r="F15">
        <v>121.7817</v>
      </c>
      <c r="G15">
        <v>2.9999999999999997E-4</v>
      </c>
      <c r="H15">
        <v>28.41</v>
      </c>
      <c r="I15">
        <v>0.13</v>
      </c>
      <c r="K15" s="3">
        <v>122.20699999999999</v>
      </c>
      <c r="L15" s="3">
        <v>1.1279999999999899</v>
      </c>
      <c r="M15" s="3">
        <f>L15*'Geometry Efficiency Calibration'!$H$44</f>
        <v>5.1979561619748232E-2</v>
      </c>
      <c r="N15" s="3">
        <v>23.415165058405201</v>
      </c>
      <c r="O15" s="2">
        <f t="shared" si="6"/>
        <v>2.7262505260296829E-2</v>
      </c>
      <c r="Q15">
        <f>Data!$N$5</f>
        <v>5.2713726140193762</v>
      </c>
      <c r="R15">
        <f>Data!$O$5</f>
        <v>0.15293335261036162</v>
      </c>
      <c r="S15">
        <f t="shared" si="0"/>
        <v>1497.5969596429047</v>
      </c>
      <c r="T15">
        <f t="shared" si="1"/>
        <v>43.985464833250198</v>
      </c>
      <c r="V15">
        <f t="shared" si="15"/>
        <v>66.205833483740165</v>
      </c>
      <c r="W15">
        <f t="shared" si="7"/>
        <v>3.0518160440880453</v>
      </c>
      <c r="Y15">
        <f t="shared" si="3"/>
        <v>4.4208044799668028E-2</v>
      </c>
      <c r="Z15">
        <f t="shared" si="4"/>
        <v>2.4163115078028974E-3</v>
      </c>
      <c r="AL15">
        <f t="shared" si="12"/>
        <v>4.4208044799668028E-2</v>
      </c>
      <c r="AM15" s="3">
        <f t="shared" si="13"/>
        <v>8.182837317011301E-3</v>
      </c>
      <c r="AU15">
        <f t="shared" si="10"/>
        <v>5.2791935055709574E-2</v>
      </c>
      <c r="AW15">
        <f t="shared" si="5"/>
        <v>-8.5838902560415459E-3</v>
      </c>
      <c r="AY15">
        <v>56</v>
      </c>
      <c r="AZ15">
        <f t="shared" si="11"/>
        <v>9.6799056224919702E-2</v>
      </c>
    </row>
    <row r="16" spans="1:52" x14ac:dyDescent="0.3">
      <c r="A16">
        <v>7876</v>
      </c>
      <c r="C16" t="s">
        <v>14</v>
      </c>
      <c r="D16">
        <v>9</v>
      </c>
      <c r="F16">
        <v>244.69739999999999</v>
      </c>
      <c r="G16">
        <v>8.0000000000000004E-4</v>
      </c>
      <c r="H16">
        <v>7.55</v>
      </c>
      <c r="I16">
        <v>0.04</v>
      </c>
      <c r="K16" s="3">
        <v>245.390999999999</v>
      </c>
      <c r="L16" s="3">
        <v>1.16099999999999</v>
      </c>
      <c r="M16" s="3">
        <f>L16*'Geometry Efficiency Calibration'!$H$44</f>
        <v>5.350024028415578E-2</v>
      </c>
      <c r="N16" s="3">
        <v>3.1665977653631199</v>
      </c>
      <c r="O16" s="2">
        <f t="shared" si="6"/>
        <v>1.0025674515193926E-2</v>
      </c>
      <c r="Q16">
        <f>Data!$N$5</f>
        <v>5.2713726140193762</v>
      </c>
      <c r="R16">
        <f>Data!$O$5</f>
        <v>0.15293335261036162</v>
      </c>
      <c r="S16">
        <f t="shared" si="0"/>
        <v>397.98863235846284</v>
      </c>
      <c r="T16">
        <f t="shared" si="1"/>
        <v>11.737414756750999</v>
      </c>
      <c r="V16">
        <f t="shared" si="15"/>
        <v>9.2154183354223083</v>
      </c>
      <c r="W16">
        <f t="shared" si="7"/>
        <v>0.42565840608077227</v>
      </c>
      <c r="Y16">
        <f t="shared" si="3"/>
        <v>2.3154978776183006E-2</v>
      </c>
      <c r="Z16">
        <f t="shared" si="4"/>
        <v>1.2689407247030058E-3</v>
      </c>
      <c r="AL16">
        <f t="shared" si="12"/>
        <v>2.3154978776183006E-2</v>
      </c>
      <c r="AM16" s="3">
        <f>1/K16</f>
        <v>4.0751290797136162E-3</v>
      </c>
      <c r="AU16">
        <f t="shared" si="10"/>
        <v>2.7069163429118442E-2</v>
      </c>
      <c r="AW16">
        <f t="shared" si="5"/>
        <v>-3.914184652935436E-3</v>
      </c>
      <c r="AY16">
        <v>61</v>
      </c>
      <c r="AZ16">
        <f t="shared" si="11"/>
        <v>9.2312246450248034E-2</v>
      </c>
    </row>
    <row r="17" spans="1:52" x14ac:dyDescent="0.3">
      <c r="A17">
        <v>7876</v>
      </c>
      <c r="C17" t="s">
        <v>14</v>
      </c>
      <c r="D17">
        <v>12</v>
      </c>
      <c r="F17">
        <v>344.27850000000001</v>
      </c>
      <c r="G17">
        <v>1.1999999999999999E-3</v>
      </c>
      <c r="H17">
        <v>26.59</v>
      </c>
      <c r="I17">
        <v>0.12</v>
      </c>
      <c r="K17" s="12">
        <v>345.094999999999</v>
      </c>
      <c r="L17" s="3">
        <v>1.1819999999999899</v>
      </c>
      <c r="M17" s="3">
        <f>L17*'Geometry Efficiency Calibration'!$H$44</f>
        <v>5.4467944888778756E-2</v>
      </c>
      <c r="N17" s="3">
        <v>8.7809344845099009</v>
      </c>
      <c r="O17" s="2">
        <f t="shared" si="6"/>
        <v>1.6695042118140793E-2</v>
      </c>
      <c r="Q17">
        <f>Data!$N$5</f>
        <v>5.2713726140193762</v>
      </c>
      <c r="R17">
        <f>Data!$O$5</f>
        <v>0.15293335261036162</v>
      </c>
      <c r="S17">
        <f t="shared" si="0"/>
        <v>1401.6579780677521</v>
      </c>
      <c r="T17">
        <f t="shared" si="1"/>
        <v>41.154031209327151</v>
      </c>
      <c r="V17">
        <f t="shared" si="15"/>
        <v>26.016456692047676</v>
      </c>
      <c r="W17">
        <f t="shared" si="7"/>
        <v>1.1998888143156461</v>
      </c>
      <c r="Y17">
        <f t="shared" si="3"/>
        <v>1.8561201876018656E-2</v>
      </c>
      <c r="Z17">
        <f t="shared" si="4"/>
        <v>1.0147997491996264E-3</v>
      </c>
      <c r="AL17">
        <f t="shared" si="12"/>
        <v>1.8561201876018656E-2</v>
      </c>
      <c r="AM17" s="3">
        <f t="shared" si="13"/>
        <v>2.8977527927092623E-3</v>
      </c>
      <c r="AU17">
        <f t="shared" si="10"/>
        <v>1.9333559270521314E-2</v>
      </c>
      <c r="AW17">
        <f t="shared" si="5"/>
        <v>-7.7235739450265753E-4</v>
      </c>
      <c r="AY17">
        <v>66</v>
      </c>
      <c r="AZ17">
        <f t="shared" si="11"/>
        <v>8.7788486029268087E-2</v>
      </c>
    </row>
    <row r="18" spans="1:52" x14ac:dyDescent="0.3">
      <c r="A18">
        <v>7876</v>
      </c>
      <c r="C18" t="s">
        <v>14</v>
      </c>
      <c r="D18">
        <v>13</v>
      </c>
      <c r="F18">
        <v>367.78910000000002</v>
      </c>
      <c r="G18" s="2">
        <v>2E-3</v>
      </c>
      <c r="H18">
        <v>0.86199999999999999</v>
      </c>
      <c r="I18">
        <v>5.0000000000000001E-3</v>
      </c>
      <c r="K18" s="3">
        <v>368.29899999999998</v>
      </c>
      <c r="L18" s="3">
        <v>1.4099999999999899</v>
      </c>
      <c r="M18" s="3">
        <f>L18*'Geometry Efficiency Calibration'!$H$44</f>
        <v>6.4974452024685408E-2</v>
      </c>
      <c r="N18" s="3">
        <v>0.29648349415947101</v>
      </c>
      <c r="O18" s="2">
        <f t="shared" si="6"/>
        <v>3.0677319590800738E-3</v>
      </c>
      <c r="Q18">
        <f>Data!$N$5</f>
        <v>5.2713726140193762</v>
      </c>
      <c r="R18">
        <f>Data!$O$5</f>
        <v>0.15293335261036162</v>
      </c>
      <c r="S18">
        <f t="shared" si="0"/>
        <v>45.439231932847015</v>
      </c>
      <c r="T18">
        <f t="shared" si="1"/>
        <v>1.3443753498502642</v>
      </c>
      <c r="V18">
        <f t="shared" si="15"/>
        <v>1.0478752122843429</v>
      </c>
      <c r="W18">
        <f t="shared" si="7"/>
        <v>4.9489627501551926E-2</v>
      </c>
      <c r="Y18">
        <f t="shared" si="3"/>
        <v>2.306102387102316E-2</v>
      </c>
      <c r="Z18">
        <f t="shared" si="4"/>
        <v>1.2852007534111831E-3</v>
      </c>
      <c r="AL18">
        <f t="shared" si="12"/>
        <v>2.306102387102316E-2</v>
      </c>
      <c r="AM18" s="3">
        <f t="shared" si="13"/>
        <v>2.7151852163595342E-3</v>
      </c>
      <c r="AU18">
        <f t="shared" si="10"/>
        <v>1.8125224420783733E-2</v>
      </c>
      <c r="AW18">
        <f t="shared" si="5"/>
        <v>4.9357994502394267E-3</v>
      </c>
      <c r="AY18">
        <v>71</v>
      </c>
      <c r="AZ18">
        <f t="shared" si="11"/>
        <v>8.3420325079328325E-2</v>
      </c>
    </row>
    <row r="19" spans="1:52" x14ac:dyDescent="0.3">
      <c r="A19">
        <v>7876</v>
      </c>
      <c r="C19" t="s">
        <v>14</v>
      </c>
      <c r="D19">
        <v>14</v>
      </c>
      <c r="F19">
        <v>411.11649999999997</v>
      </c>
      <c r="G19">
        <v>1.1999999999999999E-3</v>
      </c>
      <c r="H19">
        <v>2.238</v>
      </c>
      <c r="I19" s="3">
        <v>0.01</v>
      </c>
      <c r="K19" s="3">
        <v>412.015999999999</v>
      </c>
      <c r="L19" s="3">
        <v>1.2229999999999901</v>
      </c>
      <c r="M19" s="3">
        <f>L19*'Geometry Efficiency Calibration'!$H$44</f>
        <v>5.6357272926376017E-2</v>
      </c>
      <c r="N19" s="3">
        <v>0.55991213814118701</v>
      </c>
      <c r="O19" s="2">
        <f t="shared" si="6"/>
        <v>4.2157717748479897E-3</v>
      </c>
      <c r="Q19">
        <f>Data!$N$5</f>
        <v>5.2713726140193762</v>
      </c>
      <c r="R19">
        <f>Data!$O$5</f>
        <v>0.15293335261036162</v>
      </c>
      <c r="S19">
        <f t="shared" si="0"/>
        <v>117.97331910175362</v>
      </c>
      <c r="T19">
        <f t="shared" si="1"/>
        <v>3.4630038950973452</v>
      </c>
      <c r="V19">
        <f t="shared" si="15"/>
        <v>1.7164702228543409</v>
      </c>
      <c r="W19">
        <f t="shared" si="7"/>
        <v>8.0145842237445364E-2</v>
      </c>
      <c r="Y19">
        <f t="shared" si="3"/>
        <v>1.4549647631545076E-2</v>
      </c>
      <c r="Z19">
        <f t="shared" si="4"/>
        <v>8.0245366019697268E-4</v>
      </c>
      <c r="AL19">
        <f t="shared" si="12"/>
        <v>1.4549647631545076E-2</v>
      </c>
      <c r="AM19" s="3">
        <f t="shared" si="13"/>
        <v>2.4270902100889343E-3</v>
      </c>
      <c r="AU19">
        <f t="shared" si="10"/>
        <v>1.6214523911580837E-2</v>
      </c>
      <c r="AW19">
        <f t="shared" si="5"/>
        <v>-1.6648762800357611E-3</v>
      </c>
      <c r="AY19">
        <v>76</v>
      </c>
      <c r="AZ19">
        <f t="shared" si="11"/>
        <v>7.9293907657887491E-2</v>
      </c>
    </row>
    <row r="20" spans="1:52" x14ac:dyDescent="0.3">
      <c r="A20">
        <v>7876</v>
      </c>
      <c r="C20" t="s">
        <v>14</v>
      </c>
      <c r="D20">
        <v>15</v>
      </c>
      <c r="F20">
        <v>443.96499999999997</v>
      </c>
      <c r="G20">
        <v>3.0000000000000001E-3</v>
      </c>
      <c r="H20" s="4">
        <v>2.8</v>
      </c>
      <c r="I20">
        <v>0.02</v>
      </c>
      <c r="K20" s="3">
        <v>444.87299999999902</v>
      </c>
      <c r="L20" s="3">
        <v>1.2229999999999901</v>
      </c>
      <c r="M20" s="3">
        <f>L20*'Geometry Efficiency Calibration'!$H$44</f>
        <v>5.6357272926376017E-2</v>
      </c>
      <c r="N20" s="3">
        <v>0.68235754189944098</v>
      </c>
      <c r="O20" s="2">
        <f t="shared" si="6"/>
        <v>4.6539653832052361E-3</v>
      </c>
      <c r="Q20">
        <f>Data!$N$5</f>
        <v>5.2713726140193762</v>
      </c>
      <c r="R20">
        <f>Data!$O$5</f>
        <v>0.15293335261036162</v>
      </c>
      <c r="S20">
        <f t="shared" si="0"/>
        <v>147.5984331925425</v>
      </c>
      <c r="T20">
        <f t="shared" si="1"/>
        <v>4.4100074009574142</v>
      </c>
      <c r="V20">
        <f t="shared" si="15"/>
        <v>2.0918396338018539</v>
      </c>
      <c r="W20">
        <f t="shared" si="7"/>
        <v>9.7444538998052777E-2</v>
      </c>
      <c r="Y20">
        <f t="shared" si="3"/>
        <v>1.417250568692043E-2</v>
      </c>
      <c r="Z20">
        <f t="shared" si="4"/>
        <v>7.8433164709087587E-4</v>
      </c>
      <c r="AL20">
        <f t="shared" si="12"/>
        <v>1.417250568692043E-2</v>
      </c>
      <c r="AM20" s="3">
        <f t="shared" si="13"/>
        <v>2.2478325274853769E-3</v>
      </c>
      <c r="AU20">
        <f t="shared" si="10"/>
        <v>1.5023442324352198E-2</v>
      </c>
      <c r="AW20">
        <f t="shared" si="5"/>
        <v>-8.5093663743176715E-4</v>
      </c>
      <c r="AY20">
        <v>81</v>
      </c>
      <c r="AZ20">
        <f t="shared" si="11"/>
        <v>7.5440803231471565E-2</v>
      </c>
    </row>
    <row r="21" spans="1:52" x14ac:dyDescent="0.3">
      <c r="A21">
        <v>7876</v>
      </c>
      <c r="C21" t="s">
        <v>14</v>
      </c>
      <c r="D21">
        <v>16</v>
      </c>
      <c r="F21">
        <v>778.90449999999998</v>
      </c>
      <c r="G21">
        <v>2.3999999999999998E-3</v>
      </c>
      <c r="H21">
        <v>12.97</v>
      </c>
      <c r="I21">
        <v>0.06</v>
      </c>
      <c r="K21" s="3">
        <v>780.077</v>
      </c>
      <c r="L21" s="3">
        <v>1.3099999999999901</v>
      </c>
      <c r="M21" s="3">
        <f>L21*'Geometry Efficiency Calibration'!$H$44</f>
        <v>6.0366334859814075E-2</v>
      </c>
      <c r="N21" s="3">
        <v>1.67437277805992</v>
      </c>
      <c r="O21" s="2">
        <f t="shared" si="6"/>
        <v>7.290263535834088E-3</v>
      </c>
      <c r="Q21">
        <f>Data!$N$5</f>
        <v>5.2713726140193762</v>
      </c>
      <c r="R21">
        <f>Data!$O$5</f>
        <v>0.15293335261036162</v>
      </c>
      <c r="S21">
        <f t="shared" si="0"/>
        <v>683.69702803831296</v>
      </c>
      <c r="T21">
        <f t="shared" si="1"/>
        <v>20.086033980110759</v>
      </c>
      <c r="V21">
        <f t="shared" si="15"/>
        <v>5.4981094935622208</v>
      </c>
      <c r="W21">
        <f t="shared" si="7"/>
        <v>0.254487760759737</v>
      </c>
      <c r="Y21">
        <f t="shared" si="3"/>
        <v>8.0417337915561597E-3</v>
      </c>
      <c r="Z21">
        <f t="shared" si="4"/>
        <v>4.4086979857495501E-4</v>
      </c>
      <c r="AL21">
        <f t="shared" si="12"/>
        <v>8.0417337915561597E-3</v>
      </c>
      <c r="AM21" s="3">
        <f t="shared" si="13"/>
        <v>1.2819247330712225E-3</v>
      </c>
      <c r="AU21">
        <f t="shared" si="10"/>
        <v>8.582401520190101E-3</v>
      </c>
      <c r="AW21">
        <f t="shared" si="5"/>
        <v>-5.4066772863394126E-4</v>
      </c>
      <c r="AY21">
        <v>86</v>
      </c>
      <c r="AZ21">
        <f t="shared" si="11"/>
        <v>7.1864624329171484E-2</v>
      </c>
    </row>
    <row r="22" spans="1:52" x14ac:dyDescent="0.3">
      <c r="A22">
        <v>7876</v>
      </c>
      <c r="C22" t="s">
        <v>14</v>
      </c>
      <c r="D22">
        <v>17</v>
      </c>
      <c r="F22" s="3">
        <v>867.38</v>
      </c>
      <c r="G22">
        <v>3.0000000000000001E-3</v>
      </c>
      <c r="H22">
        <v>4.2430000000000003</v>
      </c>
      <c r="I22">
        <v>2.3E-2</v>
      </c>
      <c r="K22" s="3">
        <v>868.65099999999904</v>
      </c>
      <c r="L22" s="3">
        <v>1.3379999999999901</v>
      </c>
      <c r="M22" s="3">
        <f>L22*'Geometry Efficiency Calibration'!$H$44</f>
        <v>6.1656607665978053E-2</v>
      </c>
      <c r="N22" s="3">
        <v>0.42262011173184399</v>
      </c>
      <c r="O22" s="2">
        <f t="shared" si="6"/>
        <v>3.6626231058991109E-3</v>
      </c>
      <c r="Q22">
        <f>Data!$N$5</f>
        <v>5.2713726140193762</v>
      </c>
      <c r="R22">
        <f>Data!$O$5</f>
        <v>0.15293335261036162</v>
      </c>
      <c r="S22">
        <f t="shared" si="0"/>
        <v>223.6643400128421</v>
      </c>
      <c r="T22">
        <f t="shared" si="1"/>
        <v>6.6012560647978056</v>
      </c>
      <c r="V22">
        <f t="shared" si="15"/>
        <v>1.4174123357599686</v>
      </c>
      <c r="W22">
        <f t="shared" si="7"/>
        <v>6.6461102992607227E-2</v>
      </c>
      <c r="Y22">
        <f t="shared" si="3"/>
        <v>6.3372298672134562E-3</v>
      </c>
      <c r="Z22">
        <f t="shared" si="4"/>
        <v>3.5111143283408431E-4</v>
      </c>
      <c r="AL22">
        <f t="shared" si="12"/>
        <v>6.3372298672134562E-3</v>
      </c>
      <c r="AM22" s="3">
        <f t="shared" si="13"/>
        <v>1.1512103249751639E-3</v>
      </c>
      <c r="AU22">
        <f t="shared" si="10"/>
        <v>7.7084562020442006E-3</v>
      </c>
      <c r="AW22">
        <f t="shared" si="5"/>
        <v>-1.3712263348307444E-3</v>
      </c>
      <c r="AY22">
        <v>91</v>
      </c>
      <c r="AZ22">
        <f t="shared" si="11"/>
        <v>6.8555031219995455E-2</v>
      </c>
    </row>
    <row r="23" spans="1:52" x14ac:dyDescent="0.3">
      <c r="A23">
        <v>7876</v>
      </c>
      <c r="C23" t="s">
        <v>14</v>
      </c>
      <c r="D23">
        <v>18</v>
      </c>
      <c r="F23">
        <v>964.07899999999995</v>
      </c>
      <c r="G23">
        <v>1.7999999999999999E-2</v>
      </c>
      <c r="H23" s="4">
        <v>14.5</v>
      </c>
      <c r="I23">
        <v>0.06</v>
      </c>
      <c r="K23" s="3">
        <v>965.35399999999902</v>
      </c>
      <c r="L23" s="3">
        <v>1.4229999999999901</v>
      </c>
      <c r="M23" s="3">
        <f>L23*'Geometry Efficiency Calibration'!$H$44</f>
        <v>6.5573507256118685E-2</v>
      </c>
      <c r="N23" s="3">
        <v>1.3572148298628699</v>
      </c>
      <c r="O23" s="2">
        <f t="shared" si="6"/>
        <v>6.5635900624650603E-3</v>
      </c>
      <c r="Q23">
        <f>Data!$N$5</f>
        <v>5.2713726140193762</v>
      </c>
      <c r="R23">
        <f>Data!$O$5</f>
        <v>0.15293335261036162</v>
      </c>
      <c r="S23">
        <f t="shared" si="0"/>
        <v>764.34902903280954</v>
      </c>
      <c r="T23">
        <f t="shared" si="1"/>
        <v>22.39975413563652</v>
      </c>
      <c r="V23">
        <f t="shared" si="15"/>
        <v>4.8410930547433511</v>
      </c>
      <c r="W23">
        <f t="shared" si="7"/>
        <v>0.22430837721371011</v>
      </c>
      <c r="Y23">
        <f t="shared" si="3"/>
        <v>6.3336157578026409E-3</v>
      </c>
      <c r="Z23">
        <f t="shared" si="4"/>
        <v>3.4723489083552295E-4</v>
      </c>
      <c r="AL23">
        <f t="shared" si="12"/>
        <v>6.3336157578026409E-3</v>
      </c>
      <c r="AM23" s="3">
        <f t="shared" si="13"/>
        <v>1.0358894250192168E-3</v>
      </c>
      <c r="AU23">
        <f t="shared" si="10"/>
        <v>6.9371046863043566E-3</v>
      </c>
      <c r="AW23">
        <f t="shared" si="5"/>
        <v>-6.0348892850171573E-4</v>
      </c>
      <c r="AY23">
        <v>96</v>
      </c>
      <c r="AZ23">
        <f t="shared" si="11"/>
        <v>6.5495210078838045E-2</v>
      </c>
    </row>
    <row r="24" spans="1:52" x14ac:dyDescent="0.3">
      <c r="A24">
        <v>7876</v>
      </c>
      <c r="C24" t="s">
        <v>14</v>
      </c>
      <c r="D24">
        <v>19</v>
      </c>
      <c r="F24">
        <v>1085.837</v>
      </c>
      <c r="G24" s="3">
        <v>0.01</v>
      </c>
      <c r="H24">
        <v>10.130000000000001</v>
      </c>
      <c r="I24">
        <v>0.06</v>
      </c>
      <c r="K24" s="3">
        <v>1087.3799999999901</v>
      </c>
      <c r="L24" s="3">
        <v>1.60499999999999</v>
      </c>
      <c r="M24" s="3">
        <f>L24*'Geometry Efficiency Calibration'!$H$44</f>
        <v>7.3960280496184527E-2</v>
      </c>
      <c r="N24" s="3">
        <v>0.883514982224479</v>
      </c>
      <c r="O24" s="2">
        <f t="shared" si="6"/>
        <v>5.2957089670028577E-3</v>
      </c>
      <c r="Q24">
        <f>Data!$N$5</f>
        <v>5.2713726140193762</v>
      </c>
      <c r="R24">
        <f>Data!$O$5</f>
        <v>0.15293335261036162</v>
      </c>
      <c r="S24">
        <f t="shared" si="0"/>
        <v>533.99004580016276</v>
      </c>
      <c r="T24">
        <f t="shared" si="1"/>
        <v>15.811708376117853</v>
      </c>
      <c r="V24">
        <f t="shared" si="15"/>
        <v>3.5545030349838735</v>
      </c>
      <c r="W24">
        <f t="shared" si="7"/>
        <v>0.16517547788197298</v>
      </c>
      <c r="Y24">
        <f t="shared" si="3"/>
        <v>6.6564968072721142E-3</v>
      </c>
      <c r="Z24">
        <f t="shared" si="4"/>
        <v>3.6678340045643573E-4</v>
      </c>
      <c r="AL24">
        <f t="shared" si="12"/>
        <v>6.6564968072721142E-3</v>
      </c>
      <c r="AM24" s="3">
        <f t="shared" si="13"/>
        <v>9.1964170759073103E-4</v>
      </c>
      <c r="AU24">
        <f t="shared" si="10"/>
        <v>6.1592800758868615E-3</v>
      </c>
      <c r="AW24">
        <f t="shared" si="5"/>
        <v>4.9721673138525269E-4</v>
      </c>
      <c r="AY24">
        <v>101</v>
      </c>
      <c r="AZ24">
        <f t="shared" si="11"/>
        <v>6.2665882106514623E-2</v>
      </c>
    </row>
    <row r="25" spans="1:52" x14ac:dyDescent="0.3">
      <c r="A25">
        <v>7876</v>
      </c>
      <c r="C25" t="s">
        <v>14</v>
      </c>
      <c r="D25">
        <v>20</v>
      </c>
      <c r="F25" s="3">
        <v>1112.076</v>
      </c>
      <c r="G25">
        <v>3.0000000000000001E-3</v>
      </c>
      <c r="H25">
        <v>13.41</v>
      </c>
      <c r="I25">
        <v>0.06</v>
      </c>
      <c r="K25" s="3">
        <v>1113.48099999999</v>
      </c>
      <c r="L25" s="3">
        <v>1.4449999999999901</v>
      </c>
      <c r="M25" s="3">
        <f>L25*'Geometry Efficiency Calibration'!$H$44</f>
        <v>6.6587293032390388E-2</v>
      </c>
      <c r="N25" s="3">
        <v>1.1037846622651</v>
      </c>
      <c r="O25" s="2">
        <f t="shared" si="6"/>
        <v>5.919149759110804E-3</v>
      </c>
      <c r="Q25">
        <f>Data!$N$5</f>
        <v>5.2713726140193762</v>
      </c>
      <c r="R25">
        <f>Data!$O$5</f>
        <v>0.15293335261036162</v>
      </c>
      <c r="S25">
        <f t="shared" si="0"/>
        <v>706.89106753999829</v>
      </c>
      <c r="T25">
        <f t="shared" si="1"/>
        <v>20.750816582601225</v>
      </c>
      <c r="V25">
        <f t="shared" si="15"/>
        <v>3.9979939839119911</v>
      </c>
      <c r="W25">
        <f t="shared" si="7"/>
        <v>0.18547554610668018</v>
      </c>
      <c r="Y25">
        <f t="shared" si="3"/>
        <v>5.6557426844069877E-3</v>
      </c>
      <c r="Z25">
        <f t="shared" si="4"/>
        <v>3.1049719619652888E-4</v>
      </c>
      <c r="AL25">
        <f t="shared" si="12"/>
        <v>5.6557426844069877E-3</v>
      </c>
      <c r="AM25" s="3">
        <f t="shared" si="13"/>
        <v>8.9808447562195399E-4</v>
      </c>
      <c r="AU25">
        <f t="shared" si="10"/>
        <v>6.0150110498710628E-3</v>
      </c>
      <c r="AW25">
        <f t="shared" si="5"/>
        <v>-3.5926836546407506E-4</v>
      </c>
      <c r="AY25">
        <v>106</v>
      </c>
      <c r="AZ25">
        <f t="shared" si="11"/>
        <v>6.0047430854877001E-2</v>
      </c>
    </row>
    <row r="26" spans="1:52" x14ac:dyDescent="0.3">
      <c r="A26">
        <v>7876</v>
      </c>
      <c r="C26" t="s">
        <v>14</v>
      </c>
      <c r="D26">
        <v>21</v>
      </c>
      <c r="F26" s="3">
        <v>1408.0129999999999</v>
      </c>
      <c r="G26">
        <v>3.0000000000000001E-3</v>
      </c>
      <c r="H26">
        <v>20.85</v>
      </c>
      <c r="I26">
        <v>0.08</v>
      </c>
      <c r="K26" s="3">
        <v>1409.7179999999901</v>
      </c>
      <c r="L26" s="3">
        <v>1.5899999999999901</v>
      </c>
      <c r="M26" s="3">
        <f>L26*'Geometry Efficiency Calibration'!$H$44</f>
        <v>7.3269062921453826E-2</v>
      </c>
      <c r="N26" s="3">
        <v>1.2346114779075601</v>
      </c>
      <c r="O26" s="2">
        <f t="shared" si="6"/>
        <v>6.260114917938089E-3</v>
      </c>
      <c r="Q26">
        <f>Data!$N$5</f>
        <v>5.2713726140193762</v>
      </c>
      <c r="R26">
        <f>Data!$O$5</f>
        <v>0.15293335261036162</v>
      </c>
      <c r="S26">
        <f t="shared" si="0"/>
        <v>1099.0811900230399</v>
      </c>
      <c r="T26">
        <f t="shared" si="1"/>
        <v>32.164257059538102</v>
      </c>
      <c r="V26">
        <f t="shared" si="15"/>
        <v>4.9205921415441898</v>
      </c>
      <c r="W26">
        <f t="shared" si="7"/>
        <v>0.22811519651326273</v>
      </c>
      <c r="Y26">
        <f t="shared" si="3"/>
        <v>4.4770051441250123E-3</v>
      </c>
      <c r="Z26">
        <f t="shared" si="4"/>
        <v>2.4544467164126262E-4</v>
      </c>
      <c r="AL26">
        <f t="shared" si="12"/>
        <v>4.4770051441250123E-3</v>
      </c>
      <c r="AM26" s="3">
        <f t="shared" si="13"/>
        <v>7.0936173050213376E-4</v>
      </c>
      <c r="AU26">
        <f t="shared" si="10"/>
        <v>4.7516864450354171E-3</v>
      </c>
      <c r="AW26">
        <f t="shared" si="5"/>
        <v>-2.7468130091040481E-4</v>
      </c>
      <c r="AY26">
        <v>111</v>
      </c>
      <c r="AZ26">
        <f t="shared" si="11"/>
        <v>5.7620994644269612E-2</v>
      </c>
    </row>
    <row r="27" spans="1:52" x14ac:dyDescent="0.3">
      <c r="A27">
        <v>610</v>
      </c>
      <c r="C27" t="s">
        <v>6</v>
      </c>
      <c r="D27">
        <v>1</v>
      </c>
      <c r="F27">
        <v>511</v>
      </c>
      <c r="G27">
        <v>0</v>
      </c>
      <c r="H27">
        <v>180.7</v>
      </c>
      <c r="I27">
        <v>0.2</v>
      </c>
      <c r="K27" s="3">
        <v>511.86899999999901</v>
      </c>
      <c r="L27" s="3">
        <v>1.7649999999999999</v>
      </c>
      <c r="M27" s="3">
        <f>L27*'Geometry Efficiency Calibration'!$H$44</f>
        <v>8.1333267959979125E-2</v>
      </c>
      <c r="N27" s="3">
        <v>26.900639344262299</v>
      </c>
      <c r="O27" s="2">
        <f t="shared" si="6"/>
        <v>0.10499929614179056</v>
      </c>
      <c r="Q27">
        <f>Data!$N$10</f>
        <v>7.2883819429507763</v>
      </c>
      <c r="R27">
        <f>Data!$O$10</f>
        <v>1.0143820292328465</v>
      </c>
      <c r="S27">
        <f t="shared" si="0"/>
        <v>13170.106170912051</v>
      </c>
      <c r="T27">
        <f t="shared" si="1"/>
        <v>1833.0462864634733</v>
      </c>
      <c r="V27">
        <f t="shared" si="15"/>
        <v>119.01377912325295</v>
      </c>
      <c r="W27">
        <f t="shared" si="7"/>
        <v>5.5039331604575779</v>
      </c>
      <c r="Y27">
        <f t="shared" si="3"/>
        <v>9.0366605689262292E-3</v>
      </c>
      <c r="Z27">
        <f t="shared" si="4"/>
        <v>1.3253560625545383E-3</v>
      </c>
      <c r="AL27">
        <f t="shared" si="12"/>
        <v>9.0366605689262292E-3</v>
      </c>
      <c r="AM27" s="3">
        <f t="shared" si="13"/>
        <v>1.9536248532339368E-3</v>
      </c>
      <c r="AU27">
        <f t="shared" si="10"/>
        <v>1.3065311501962747E-2</v>
      </c>
      <c r="AW27">
        <f t="shared" si="5"/>
        <v>-4.0286509330365178E-3</v>
      </c>
      <c r="AY27">
        <v>116</v>
      </c>
      <c r="AZ27">
        <f t="shared" si="11"/>
        <v>5.5368986167230169E-2</v>
      </c>
    </row>
    <row r="28" spans="1:52" x14ac:dyDescent="0.3">
      <c r="A28">
        <v>610</v>
      </c>
      <c r="C28" t="s">
        <v>6</v>
      </c>
      <c r="D28">
        <v>2</v>
      </c>
      <c r="F28">
        <v>1274.537</v>
      </c>
      <c r="G28">
        <v>7.0000000000000001E-3</v>
      </c>
      <c r="H28">
        <v>99.94</v>
      </c>
      <c r="I28">
        <v>0.13</v>
      </c>
      <c r="K28" s="3">
        <v>1276.02099999999</v>
      </c>
      <c r="L28" s="3">
        <v>1.52399999999999</v>
      </c>
      <c r="M28" s="3">
        <f>L28*'Geometry Efficiency Calibration'!$H$44</f>
        <v>7.0227705592638745E-2</v>
      </c>
      <c r="N28" s="3">
        <v>7.8349180327868702</v>
      </c>
      <c r="O28" s="2">
        <f t="shared" si="6"/>
        <v>5.6665968452417337E-2</v>
      </c>
      <c r="Q28">
        <f>Data!$N$10</f>
        <v>7.2883819429507763</v>
      </c>
      <c r="R28">
        <f>Data!$O$10</f>
        <v>1.0143820292328465</v>
      </c>
      <c r="S28">
        <f t="shared" si="0"/>
        <v>7284.0089137850064</v>
      </c>
      <c r="T28">
        <f t="shared" si="1"/>
        <v>1013.8176760358692</v>
      </c>
      <c r="V28">
        <f t="shared" si="15"/>
        <v>29.930182055289194</v>
      </c>
      <c r="W28">
        <f t="shared" si="7"/>
        <v>1.3961020912982194</v>
      </c>
      <c r="Y28">
        <f t="shared" si="3"/>
        <v>4.1090260060838539E-3</v>
      </c>
      <c r="Z28">
        <f t="shared" si="4"/>
        <v>6.0317333155785163E-4</v>
      </c>
      <c r="AL28">
        <f t="shared" si="12"/>
        <v>4.1090260060838539E-3</v>
      </c>
      <c r="AM28" s="3">
        <f t="shared" si="13"/>
        <v>7.8368616190486508E-4</v>
      </c>
      <c r="AU28">
        <f t="shared" si="10"/>
        <v>5.24928477322858E-3</v>
      </c>
      <c r="AW28">
        <f t="shared" si="5"/>
        <v>-1.1402587671447261E-3</v>
      </c>
      <c r="AY28">
        <v>121</v>
      </c>
      <c r="AZ28">
        <f t="shared" si="11"/>
        <v>5.3275295897740431E-2</v>
      </c>
    </row>
    <row r="29" spans="1:52" x14ac:dyDescent="0.3">
      <c r="A29">
        <v>2462</v>
      </c>
      <c r="C29" t="s">
        <v>109</v>
      </c>
      <c r="D29">
        <v>4</v>
      </c>
      <c r="H29">
        <f>21.75+30.6</f>
        <v>52.35</v>
      </c>
      <c r="I29">
        <f>SQRT(0.3^2+0.5^2)</f>
        <v>0.58309518948452999</v>
      </c>
      <c r="K29" s="3">
        <v>72.971000000000004</v>
      </c>
      <c r="L29" s="3">
        <v>2.46199999999999</v>
      </c>
      <c r="M29" s="3">
        <f>L29*'Geometry Efficiency Calibration'!$H$44</f>
        <v>0.11345184459913189</v>
      </c>
      <c r="N29" s="3">
        <v>175.38885377741599</v>
      </c>
      <c r="O29" s="2">
        <f t="shared" si="6"/>
        <v>0.13345258020520123</v>
      </c>
      <c r="Q29">
        <f>Data!$N$12</f>
        <v>49.237110241729809</v>
      </c>
      <c r="R29">
        <f>Data!$O$12</f>
        <v>0.22753888897199723</v>
      </c>
      <c r="S29">
        <f t="shared" ref="S29:S32" si="16">1000*Q29*H29/100</f>
        <v>25775.627211545558</v>
      </c>
      <c r="T29">
        <f t="shared" ref="T29:T32" si="17">S29*SQRT((R29/Q29)^2+(I29/H29)^2)</f>
        <v>310.82909973120957</v>
      </c>
      <c r="V29">
        <f t="shared" ref="V29:V32" si="18">N29*L29*SQRT(2*PI())</f>
        <v>1082.3805327565017</v>
      </c>
      <c r="W29">
        <f t="shared" si="7"/>
        <v>49.884162147260589</v>
      </c>
      <c r="Y29">
        <f t="shared" ref="Y29:Y32" si="19">V29/S29</f>
        <v>4.1992403283659996E-2</v>
      </c>
      <c r="Z29">
        <f t="shared" ref="Z29:Z32" si="20">Y29*SQRT((W29/V29)^2+(T29/S29)^2)</f>
        <v>2.0004757745115632E-3</v>
      </c>
      <c r="AL29">
        <f t="shared" si="12"/>
        <v>4.1992403283659996E-2</v>
      </c>
      <c r="AM29" s="3">
        <f t="shared" si="13"/>
        <v>1.3704074221265981E-2</v>
      </c>
      <c r="AU29">
        <f t="shared" si="10"/>
        <v>8.1762221991001777E-2</v>
      </c>
      <c r="AW29">
        <f t="shared" si="5"/>
        <v>-3.9769818707341781E-2</v>
      </c>
      <c r="AY29">
        <v>126</v>
      </c>
      <c r="AZ29">
        <f t="shared" si="11"/>
        <v>5.132532365265037E-2</v>
      </c>
    </row>
    <row r="30" spans="1:52" x14ac:dyDescent="0.3">
      <c r="A30">
        <v>2462</v>
      </c>
      <c r="C30" t="s">
        <v>109</v>
      </c>
      <c r="D30">
        <v>7</v>
      </c>
      <c r="F30" s="11">
        <v>569.69799999999998</v>
      </c>
      <c r="G30" s="11">
        <v>2E-3</v>
      </c>
      <c r="H30" s="11">
        <v>97.76</v>
      </c>
      <c r="I30" s="11">
        <v>0.03</v>
      </c>
      <c r="K30">
        <v>570.17499999999995</v>
      </c>
      <c r="L30">
        <v>1.89099999999999</v>
      </c>
      <c r="M30" s="3">
        <f>L30*'Geometry Efficiency Calibration'!$H$44</f>
        <v>8.7139495587716553E-2</v>
      </c>
      <c r="N30">
        <v>78.814678310316793</v>
      </c>
      <c r="O30" s="2">
        <f t="shared" si="6"/>
        <v>8.946013180067959E-2</v>
      </c>
      <c r="Q30">
        <f>Data!$N$12</f>
        <v>49.237110241729809</v>
      </c>
      <c r="R30">
        <f>Data!$O$12</f>
        <v>0.22753888897199723</v>
      </c>
      <c r="S30">
        <f t="shared" si="16"/>
        <v>48134.198972315062</v>
      </c>
      <c r="T30">
        <f t="shared" si="17"/>
        <v>222.93191265819402</v>
      </c>
      <c r="V30">
        <f t="shared" si="18"/>
        <v>373.58426019633549</v>
      </c>
      <c r="W30">
        <f t="shared" si="7"/>
        <v>17.22042214506493</v>
      </c>
      <c r="Y30">
        <f t="shared" si="19"/>
        <v>7.761306268152645E-3</v>
      </c>
      <c r="Z30">
        <f t="shared" si="20"/>
        <v>3.5955990453938856E-4</v>
      </c>
      <c r="AL30">
        <f t="shared" si="12"/>
        <v>7.761306268152645E-3</v>
      </c>
      <c r="AM30" s="3">
        <f t="shared" si="13"/>
        <v>1.7538475029596177E-3</v>
      </c>
      <c r="AU30">
        <f t="shared" si="10"/>
        <v>1.1733617928595452E-2</v>
      </c>
      <c r="AW30">
        <f t="shared" si="5"/>
        <v>-3.9723116604428073E-3</v>
      </c>
      <c r="AY30">
        <v>131</v>
      </c>
      <c r="AZ30">
        <f t="shared" si="11"/>
        <v>4.9505920113881448E-2</v>
      </c>
    </row>
    <row r="31" spans="1:52" x14ac:dyDescent="0.3">
      <c r="A31">
        <v>2462</v>
      </c>
      <c r="C31" t="s">
        <v>109</v>
      </c>
      <c r="D31">
        <v>9</v>
      </c>
      <c r="F31" s="11">
        <v>1063.6559999999999</v>
      </c>
      <c r="G31" s="11">
        <v>3.0000000000000001E-3</v>
      </c>
      <c r="H31" s="11">
        <v>74.58</v>
      </c>
      <c r="I31" s="11">
        <v>0.22</v>
      </c>
      <c r="K31">
        <v>1065.0899999999899</v>
      </c>
      <c r="L31">
        <v>2.1319999999999899</v>
      </c>
      <c r="M31" s="3">
        <f>L31*'Geometry Efficiency Calibration'!$H$44</f>
        <v>9.8245057955056475E-2</v>
      </c>
      <c r="N31">
        <v>30.631006498781499</v>
      </c>
      <c r="O31" s="2">
        <f t="shared" si="6"/>
        <v>5.5770766550068143E-2</v>
      </c>
      <c r="Q31">
        <f>Data!$N$12</f>
        <v>49.237110241729809</v>
      </c>
      <c r="R31">
        <f>Data!$O$12</f>
        <v>0.22753888897199723</v>
      </c>
      <c r="S31">
        <f t="shared" si="16"/>
        <v>36721.036818282089</v>
      </c>
      <c r="T31">
        <f t="shared" si="17"/>
        <v>201.32352146581925</v>
      </c>
      <c r="V31">
        <f t="shared" si="18"/>
        <v>163.69612614057567</v>
      </c>
      <c r="W31">
        <f t="shared" si="7"/>
        <v>7.5491950962007204</v>
      </c>
      <c r="Y31">
        <f t="shared" si="19"/>
        <v>4.4578296345673231E-3</v>
      </c>
      <c r="Z31">
        <f t="shared" si="20"/>
        <v>2.0702994834680068E-4</v>
      </c>
      <c r="AL31">
        <f t="shared" si="12"/>
        <v>4.4578296345673231E-3</v>
      </c>
      <c r="AM31" s="3">
        <f t="shared" si="13"/>
        <v>9.3888779351980532E-4</v>
      </c>
      <c r="AU31">
        <f t="shared" si="10"/>
        <v>6.2880750481294845E-3</v>
      </c>
      <c r="AW31">
        <f t="shared" si="5"/>
        <v>-1.8302454135621614E-3</v>
      </c>
      <c r="AY31">
        <v>136</v>
      </c>
      <c r="AZ31">
        <f t="shared" si="11"/>
        <v>4.7805284736863858E-2</v>
      </c>
    </row>
    <row r="32" spans="1:52" x14ac:dyDescent="0.3">
      <c r="A32">
        <v>2462</v>
      </c>
      <c r="C32" t="s">
        <v>109</v>
      </c>
      <c r="D32">
        <v>11</v>
      </c>
      <c r="F32" s="11">
        <v>1770.2280000000001</v>
      </c>
      <c r="G32" s="11">
        <v>8.9999999999999993E-3</v>
      </c>
      <c r="H32" s="11">
        <v>6.8710000000000004</v>
      </c>
      <c r="I32" s="11">
        <v>2.5999999999999999E-2</v>
      </c>
      <c r="K32">
        <v>1773.2169999999901</v>
      </c>
      <c r="L32">
        <v>2.1829999999999901</v>
      </c>
      <c r="M32" s="3">
        <f>L32*'Geometry Efficiency Calibration'!$H$44</f>
        <v>0.10059519770914087</v>
      </c>
      <c r="N32">
        <v>1.7885889520714799</v>
      </c>
      <c r="O32" s="2">
        <f t="shared" si="6"/>
        <v>1.3476628353794571E-2</v>
      </c>
      <c r="Q32">
        <f>Data!$N$12</f>
        <v>49.237110241729809</v>
      </c>
      <c r="R32">
        <f>Data!$O$12</f>
        <v>0.22753888897199723</v>
      </c>
      <c r="S32">
        <f t="shared" si="16"/>
        <v>3383.0818447092552</v>
      </c>
      <c r="T32">
        <f t="shared" si="17"/>
        <v>20.206690135634261</v>
      </c>
      <c r="V32">
        <f t="shared" si="18"/>
        <v>9.7871042358387257</v>
      </c>
      <c r="W32">
        <f t="shared" si="7"/>
        <v>0.45699041883757779</v>
      </c>
      <c r="Y32">
        <f t="shared" si="19"/>
        <v>2.8929552062550937E-3</v>
      </c>
      <c r="Z32">
        <f t="shared" si="20"/>
        <v>1.3618177380529271E-4</v>
      </c>
      <c r="AL32">
        <f t="shared" si="12"/>
        <v>2.8929552062550937E-3</v>
      </c>
      <c r="AM32" s="3">
        <f t="shared" si="13"/>
        <v>5.6394677019225823E-4</v>
      </c>
      <c r="AU32">
        <f t="shared" si="10"/>
        <v>3.7779340418449083E-3</v>
      </c>
      <c r="AW32">
        <f t="shared" si="5"/>
        <v>-8.8497883558981459E-4</v>
      </c>
      <c r="AY32">
        <v>141</v>
      </c>
      <c r="AZ32">
        <f t="shared" si="11"/>
        <v>4.6212846210573241E-2</v>
      </c>
    </row>
    <row r="33" spans="1:52" x14ac:dyDescent="0.3">
      <c r="A33">
        <v>1390</v>
      </c>
      <c r="C33" t="s">
        <v>131</v>
      </c>
      <c r="D33">
        <v>1</v>
      </c>
      <c r="F33" s="11">
        <v>59.540900000000001</v>
      </c>
      <c r="G33" s="11">
        <v>1E-4</v>
      </c>
      <c r="H33" s="11">
        <v>35.92</v>
      </c>
      <c r="I33" s="11">
        <v>0.17</v>
      </c>
      <c r="K33">
        <v>59.6829999999999</v>
      </c>
      <c r="L33">
        <v>1.3089999999999899</v>
      </c>
      <c r="M33" s="3">
        <f>L33*'Geometry Efficiency Calibration'!$H$44</f>
        <v>6.0320253688165355E-2</v>
      </c>
      <c r="N33">
        <v>432.183381294963</v>
      </c>
      <c r="O33" s="2">
        <f t="shared" si="6"/>
        <v>0.27880248200816687</v>
      </c>
      <c r="Q33">
        <f>Data!$N$21</f>
        <v>36.648003216110261</v>
      </c>
      <c r="R33">
        <f>Data!$O$21</f>
        <v>1.4662154502431579</v>
      </c>
      <c r="S33">
        <f t="shared" ref="S33" si="21">1000*Q33*H33/100</f>
        <v>13163.962755226807</v>
      </c>
      <c r="T33">
        <f t="shared" ref="T33" si="22">S33*SQRT((R33/Q33)^2+(I33/H33)^2)</f>
        <v>530.33676104573772</v>
      </c>
      <c r="V33">
        <f t="shared" ref="V33" si="23">N33*L33*SQRT(2*PI())</f>
        <v>1418.0699161438656</v>
      </c>
      <c r="W33">
        <f t="shared" si="7"/>
        <v>65.35272616413296</v>
      </c>
      <c r="Y33">
        <f t="shared" ref="Y33" si="24">V33/S33</f>
        <v>0.1077236347832126</v>
      </c>
      <c r="Z33">
        <f t="shared" ref="Z33" si="25">Y33*SQRT((W33/V33)^2+(T33/S33)^2)</f>
        <v>6.5940012597208745E-3</v>
      </c>
      <c r="AL33">
        <f t="shared" ref="AL33" si="26">Y33</f>
        <v>0.1077236347832126</v>
      </c>
      <c r="AM33" s="3">
        <f t="shared" ref="AM33" si="27">1/K33</f>
        <v>1.6755189920077771E-2</v>
      </c>
      <c r="AU33">
        <f t="shared" si="10"/>
        <v>9.3509212125201191E-2</v>
      </c>
      <c r="AW33">
        <f t="shared" si="5"/>
        <v>1.4214422658011414E-2</v>
      </c>
      <c r="AY33">
        <v>146</v>
      </c>
      <c r="AZ33">
        <f t="shared" si="11"/>
        <v>4.471913994025245E-2</v>
      </c>
    </row>
    <row r="34" spans="1:52" x14ac:dyDescent="0.3">
      <c r="F34" s="11"/>
      <c r="G34" s="11"/>
      <c r="H34" s="11"/>
      <c r="I34" s="11"/>
      <c r="O34" s="2"/>
      <c r="AM34" s="3"/>
      <c r="AY34">
        <v>151</v>
      </c>
      <c r="AZ34">
        <f t="shared" si="11"/>
        <v>4.3315690250072182E-2</v>
      </c>
    </row>
    <row r="35" spans="1:52" x14ac:dyDescent="0.3">
      <c r="K35" s="3">
        <v>1174.989</v>
      </c>
      <c r="L35" s="3">
        <v>1.43</v>
      </c>
      <c r="M35" s="3"/>
      <c r="N35" s="3">
        <v>0.38500000000000001</v>
      </c>
      <c r="AM35" s="3"/>
      <c r="AY35">
        <v>156</v>
      </c>
      <c r="AZ35">
        <f t="shared" si="11"/>
        <v>4.1994901087448196E-2</v>
      </c>
    </row>
    <row r="36" spans="1:52" x14ac:dyDescent="0.3">
      <c r="K36" s="3">
        <v>1334.42</v>
      </c>
      <c r="L36" s="3">
        <v>1.47</v>
      </c>
      <c r="M36" s="3"/>
      <c r="N36" s="3">
        <v>0.33900000000000002</v>
      </c>
      <c r="AM36" s="3"/>
      <c r="AY36">
        <v>161</v>
      </c>
      <c r="AZ36">
        <f t="shared" si="11"/>
        <v>4.0749956769217645E-2</v>
      </c>
    </row>
    <row r="37" spans="1:52" x14ac:dyDescent="0.3">
      <c r="F37" s="23">
        <v>1</v>
      </c>
      <c r="G37" s="23"/>
      <c r="H37" s="23"/>
      <c r="I37" s="23">
        <v>2</v>
      </c>
      <c r="J37" s="23"/>
      <c r="K37" s="23"/>
      <c r="L37" s="23">
        <v>3</v>
      </c>
      <c r="M37" s="23"/>
      <c r="N37" s="23"/>
      <c r="O37" s="23"/>
      <c r="P37" s="23">
        <v>4</v>
      </c>
      <c r="Q37" s="23"/>
      <c r="R37" s="23"/>
      <c r="S37" s="23">
        <v>5</v>
      </c>
      <c r="T37" s="23"/>
      <c r="U37" s="23"/>
      <c r="V37" s="23">
        <v>6</v>
      </c>
      <c r="W37" s="23"/>
      <c r="X37" s="23"/>
      <c r="AY37">
        <v>166</v>
      </c>
      <c r="AZ37">
        <f t="shared" si="11"/>
        <v>3.9574733053488777E-2</v>
      </c>
    </row>
    <row r="38" spans="1:52" x14ac:dyDescent="0.3">
      <c r="C38" s="23" t="s">
        <v>66</v>
      </c>
      <c r="D38" s="23"/>
      <c r="F38" t="s">
        <v>67</v>
      </c>
      <c r="G38" t="s">
        <v>68</v>
      </c>
      <c r="H38" t="s">
        <v>17</v>
      </c>
      <c r="I38" t="s">
        <v>67</v>
      </c>
      <c r="J38" t="s">
        <v>68</v>
      </c>
      <c r="K38" t="s">
        <v>17</v>
      </c>
      <c r="L38" t="s">
        <v>67</v>
      </c>
      <c r="N38" t="s">
        <v>68</v>
      </c>
      <c r="O38" t="s">
        <v>17</v>
      </c>
      <c r="P38" t="s">
        <v>67</v>
      </c>
      <c r="Q38" t="s">
        <v>68</v>
      </c>
      <c r="R38" t="s">
        <v>17</v>
      </c>
      <c r="S38" t="s">
        <v>67</v>
      </c>
      <c r="T38" t="s">
        <v>68</v>
      </c>
      <c r="U38" t="s">
        <v>17</v>
      </c>
      <c r="V38" t="s">
        <v>67</v>
      </c>
      <c r="W38" t="s">
        <v>68</v>
      </c>
      <c r="X38" t="s">
        <v>17</v>
      </c>
      <c r="Z38" t="s">
        <v>69</v>
      </c>
      <c r="AY38">
        <v>171</v>
      </c>
      <c r="AZ38">
        <f t="shared" si="11"/>
        <v>3.8463718144745113E-2</v>
      </c>
    </row>
    <row r="39" spans="1:52" x14ac:dyDescent="0.3">
      <c r="AY39">
        <v>176</v>
      </c>
      <c r="AZ39">
        <f t="shared" si="11"/>
        <v>3.7411942903692638E-2</v>
      </c>
    </row>
    <row r="40" spans="1:52" x14ac:dyDescent="0.3">
      <c r="C40" t="s">
        <v>14</v>
      </c>
      <c r="D40">
        <v>0</v>
      </c>
      <c r="F40">
        <v>39.5229</v>
      </c>
      <c r="G40">
        <v>20.8</v>
      </c>
      <c r="H40">
        <v>0.3</v>
      </c>
      <c r="I40">
        <v>40.118600000000001</v>
      </c>
      <c r="J40">
        <v>37.700000000000003</v>
      </c>
      <c r="K40">
        <v>0.5</v>
      </c>
      <c r="Z40">
        <f>(F40*G40+I40*J40)/(G40+J40)</f>
        <v>39.906795555555554</v>
      </c>
      <c r="AY40">
        <v>181</v>
      </c>
      <c r="AZ40">
        <f t="shared" si="11"/>
        <v>3.6414919394356426E-2</v>
      </c>
    </row>
    <row r="41" spans="1:52" x14ac:dyDescent="0.3">
      <c r="C41" t="s">
        <v>14</v>
      </c>
      <c r="D41">
        <v>1</v>
      </c>
      <c r="F41">
        <v>45.289000000000001</v>
      </c>
      <c r="G41">
        <v>11.78</v>
      </c>
      <c r="H41">
        <v>0.19</v>
      </c>
      <c r="I41">
        <v>45.412999999999997</v>
      </c>
      <c r="J41">
        <f>G41</f>
        <v>11.78</v>
      </c>
      <c r="K41">
        <f>H41</f>
        <v>0.19</v>
      </c>
      <c r="L41">
        <v>45.731000000000002</v>
      </c>
      <c r="N41">
        <f>J41</f>
        <v>11.78</v>
      </c>
      <c r="O41">
        <f>K41</f>
        <v>0.19</v>
      </c>
      <c r="P41">
        <v>46.575000000000003</v>
      </c>
      <c r="Q41">
        <v>3.04</v>
      </c>
      <c r="R41">
        <v>0.08</v>
      </c>
      <c r="S41">
        <v>46.704999999999998</v>
      </c>
      <c r="T41">
        <f>Q41</f>
        <v>3.04</v>
      </c>
      <c r="U41">
        <f>R41</f>
        <v>0.08</v>
      </c>
      <c r="V41">
        <v>46.813000000000002</v>
      </c>
      <c r="W41">
        <f>T41</f>
        <v>3.04</v>
      </c>
      <c r="X41">
        <f>U41</f>
        <v>0.08</v>
      </c>
      <c r="Z41">
        <f>(F41*G41+I41*J41+L41*N41+P41*Q41+S41*T41+V41*W41)/(G41+J41+N41+Q41+T41+W41)</f>
        <v>45.727923076923076</v>
      </c>
      <c r="AY41">
        <v>186</v>
      </c>
      <c r="AZ41">
        <f t="shared" si="11"/>
        <v>3.5468586873612165E-2</v>
      </c>
    </row>
    <row r="42" spans="1:52" x14ac:dyDescent="0.3">
      <c r="AY42">
        <v>191</v>
      </c>
      <c r="AZ42">
        <f t="shared" si="11"/>
        <v>3.4569264361699117E-2</v>
      </c>
    </row>
    <row r="43" spans="1:52" x14ac:dyDescent="0.3">
      <c r="C43" t="s">
        <v>103</v>
      </c>
      <c r="D43">
        <v>1</v>
      </c>
      <c r="F43">
        <v>30.625399999999999</v>
      </c>
      <c r="G43">
        <v>33.799999999999997</v>
      </c>
      <c r="H43">
        <v>0.4</v>
      </c>
      <c r="I43">
        <v>30.973099999999999</v>
      </c>
      <c r="J43">
        <v>62.4</v>
      </c>
      <c r="K43">
        <v>0.7</v>
      </c>
      <c r="AY43">
        <v>196</v>
      </c>
      <c r="AZ43">
        <f t="shared" si="11"/>
        <v>3.371360899607382E-2</v>
      </c>
    </row>
    <row r="44" spans="1:52" x14ac:dyDescent="0.3">
      <c r="D44" t="s">
        <v>108</v>
      </c>
      <c r="AY44">
        <v>201</v>
      </c>
      <c r="AZ44">
        <f t="shared" si="11"/>
        <v>3.289857944753919E-2</v>
      </c>
    </row>
    <row r="45" spans="1:52" x14ac:dyDescent="0.3">
      <c r="AY45">
        <v>206</v>
      </c>
      <c r="AZ45">
        <f t="shared" si="11"/>
        <v>3.2121403756811412E-2</v>
      </c>
    </row>
    <row r="46" spans="1:52" x14ac:dyDescent="0.3">
      <c r="AY46">
        <v>211</v>
      </c>
      <c r="AZ46">
        <f t="shared" si="11"/>
        <v>3.1379551026029448E-2</v>
      </c>
    </row>
    <row r="47" spans="1:52" x14ac:dyDescent="0.3">
      <c r="AY47">
        <v>216</v>
      </c>
      <c r="AZ47">
        <f t="shared" si="11"/>
        <v>3.0670706470367116E-2</v>
      </c>
    </row>
    <row r="48" spans="1:52" x14ac:dyDescent="0.3">
      <c r="AY48">
        <v>221</v>
      </c>
      <c r="AZ48">
        <f t="shared" si="11"/>
        <v>2.9992749398685955E-2</v>
      </c>
    </row>
    <row r="49" spans="4:52" x14ac:dyDescent="0.3">
      <c r="AY49">
        <v>226</v>
      </c>
      <c r="AZ49">
        <f t="shared" si="11"/>
        <v>2.9343733748810202E-2</v>
      </c>
    </row>
    <row r="50" spans="4:52" x14ac:dyDescent="0.3">
      <c r="AY50">
        <v>231</v>
      </c>
      <c r="AZ50">
        <f t="shared" si="11"/>
        <v>2.8721870852764925E-2</v>
      </c>
    </row>
    <row r="51" spans="4:52" x14ac:dyDescent="0.3">
      <c r="AY51">
        <v>236</v>
      </c>
      <c r="AZ51">
        <f t="shared" si="11"/>
        <v>2.8125514150709709E-2</v>
      </c>
    </row>
    <row r="52" spans="4:52" x14ac:dyDescent="0.3">
      <c r="AY52">
        <v>241</v>
      </c>
      <c r="AZ52">
        <f t="shared" si="11"/>
        <v>2.7553145609948853E-2</v>
      </c>
    </row>
    <row r="53" spans="4:52" x14ac:dyDescent="0.3">
      <c r="AY53">
        <v>246</v>
      </c>
      <c r="AZ53">
        <f t="shared" si="11"/>
        <v>2.7003363637956995E-2</v>
      </c>
    </row>
    <row r="54" spans="4:52" x14ac:dyDescent="0.3">
      <c r="AY54">
        <v>251</v>
      </c>
      <c r="AZ54">
        <f t="shared" si="11"/>
        <v>2.6474872306455115E-2</v>
      </c>
    </row>
    <row r="55" spans="4:52" x14ac:dyDescent="0.3">
      <c r="D55" t="s">
        <v>104</v>
      </c>
      <c r="E55" t="s">
        <v>106</v>
      </c>
      <c r="AY55">
        <v>256</v>
      </c>
      <c r="AZ55">
        <f t="shared" si="11"/>
        <v>2.596647172778898E-2</v>
      </c>
    </row>
    <row r="56" spans="4:52" x14ac:dyDescent="0.3">
      <c r="D56" t="s">
        <v>105</v>
      </c>
      <c r="E56" t="s">
        <v>107</v>
      </c>
      <c r="AY56">
        <v>261</v>
      </c>
      <c r="AZ56">
        <f t="shared" si="11"/>
        <v>2.5477049445724126E-2</v>
      </c>
    </row>
    <row r="57" spans="4:52" x14ac:dyDescent="0.3">
      <c r="AY57">
        <v>266</v>
      </c>
      <c r="AZ57">
        <f t="shared" si="11"/>
        <v>2.5005572720743479E-2</v>
      </c>
    </row>
    <row r="58" spans="4:52" x14ac:dyDescent="0.3">
      <c r="AY58">
        <v>271</v>
      </c>
      <c r="AZ58">
        <f t="shared" si="11"/>
        <v>2.455108160542133E-2</v>
      </c>
    </row>
    <row r="59" spans="4:52" x14ac:dyDescent="0.3">
      <c r="AY59">
        <v>276</v>
      </c>
      <c r="AZ59">
        <f t="shared" si="11"/>
        <v>2.4112682718803138E-2</v>
      </c>
    </row>
    <row r="60" spans="4:52" x14ac:dyDescent="0.3">
      <c r="AY60">
        <v>281</v>
      </c>
      <c r="AZ60">
        <f t="shared" si="11"/>
        <v>2.3689543640248632E-2</v>
      </c>
    </row>
    <row r="61" spans="4:52" x14ac:dyDescent="0.3">
      <c r="AY61">
        <v>286</v>
      </c>
      <c r="AZ61">
        <f t="shared" si="11"/>
        <v>2.3280887853155945E-2</v>
      </c>
    </row>
    <row r="62" spans="4:52" x14ac:dyDescent="0.3">
      <c r="AY62">
        <v>291</v>
      </c>
      <c r="AZ62">
        <f t="shared" si="11"/>
        <v>2.2885990177601852E-2</v>
      </c>
    </row>
    <row r="63" spans="4:52" x14ac:dyDescent="0.3">
      <c r="AY63">
        <v>296</v>
      </c>
      <c r="AZ63">
        <f t="shared" si="11"/>
        <v>2.2504172638397307E-2</v>
      </c>
    </row>
    <row r="64" spans="4:52" x14ac:dyDescent="0.3">
      <c r="AY64">
        <v>301</v>
      </c>
      <c r="AZ64">
        <f t="shared" si="11"/>
        <v>2.2134800721532524E-2</v>
      </c>
    </row>
    <row r="65" spans="51:52" x14ac:dyDescent="0.3">
      <c r="AY65">
        <v>306</v>
      </c>
      <c r="AZ65">
        <f t="shared" si="11"/>
        <v>2.1777279977610763E-2</v>
      </c>
    </row>
    <row r="66" spans="51:52" x14ac:dyDescent="0.3">
      <c r="AY66">
        <v>311</v>
      </c>
      <c r="AZ66">
        <f t="shared" si="11"/>
        <v>2.1431052935763549E-2</v>
      </c>
    </row>
    <row r="67" spans="51:52" x14ac:dyDescent="0.3">
      <c r="AY67">
        <v>316</v>
      </c>
      <c r="AZ67">
        <f t="shared" si="11"/>
        <v>2.1095596295804198E-2</v>
      </c>
    </row>
    <row r="68" spans="51:52" x14ac:dyDescent="0.3">
      <c r="AY68">
        <v>321</v>
      </c>
      <c r="AZ68">
        <f t="shared" si="11"/>
        <v>2.0770418370097379E-2</v>
      </c>
    </row>
    <row r="69" spans="51:52" x14ac:dyDescent="0.3">
      <c r="AY69">
        <v>326</v>
      </c>
      <c r="AZ69">
        <f t="shared" ref="AZ69:AZ132" si="28">$AP$4/(AY69^$AP$7)-$AP$6/(AY69^$AP$5)</f>
        <v>2.0455056749875026E-2</v>
      </c>
    </row>
    <row r="70" spans="51:52" x14ac:dyDescent="0.3">
      <c r="AY70">
        <v>331</v>
      </c>
      <c r="AZ70">
        <f t="shared" si="28"/>
        <v>2.0149076173575683E-2</v>
      </c>
    </row>
    <row r="71" spans="51:52" x14ac:dyDescent="0.3">
      <c r="AY71">
        <v>336</v>
      </c>
      <c r="AZ71">
        <f t="shared" si="28"/>
        <v>1.9852066577280517E-2</v>
      </c>
    </row>
    <row r="72" spans="51:52" x14ac:dyDescent="0.3">
      <c r="AY72">
        <v>341</v>
      </c>
      <c r="AZ72">
        <f t="shared" si="28"/>
        <v>1.9563641309511059E-2</v>
      </c>
    </row>
    <row r="73" spans="51:52" x14ac:dyDescent="0.3">
      <c r="AY73">
        <v>346</v>
      </c>
      <c r="AZ73">
        <f t="shared" si="28"/>
        <v>1.9283435494581048E-2</v>
      </c>
    </row>
    <row r="74" spans="51:52" x14ac:dyDescent="0.3">
      <c r="AY74">
        <v>351</v>
      </c>
      <c r="AZ74">
        <f t="shared" si="28"/>
        <v>1.9011104530392592E-2</v>
      </c>
    </row>
    <row r="75" spans="51:52" x14ac:dyDescent="0.3">
      <c r="AY75">
        <v>356</v>
      </c>
      <c r="AZ75">
        <f t="shared" si="28"/>
        <v>1.8746322708064169E-2</v>
      </c>
    </row>
    <row r="76" spans="51:52" x14ac:dyDescent="0.3">
      <c r="AY76">
        <v>361</v>
      </c>
      <c r="AZ76">
        <f t="shared" si="28"/>
        <v>1.8488781942100945E-2</v>
      </c>
    </row>
    <row r="77" spans="51:52" x14ac:dyDescent="0.3">
      <c r="AY77">
        <v>366</v>
      </c>
      <c r="AZ77">
        <f t="shared" si="28"/>
        <v>1.8238190600987997E-2</v>
      </c>
    </row>
    <row r="78" spans="51:52" x14ac:dyDescent="0.3">
      <c r="AY78">
        <v>371</v>
      </c>
      <c r="AZ78">
        <f t="shared" si="28"/>
        <v>1.7994272429124079E-2</v>
      </c>
    </row>
    <row r="79" spans="51:52" x14ac:dyDescent="0.3">
      <c r="AY79">
        <v>376</v>
      </c>
      <c r="AZ79">
        <f t="shared" si="28"/>
        <v>1.775676555193309E-2</v>
      </c>
    </row>
    <row r="80" spans="51:52" x14ac:dyDescent="0.3">
      <c r="AY80">
        <v>381</v>
      </c>
      <c r="AZ80">
        <f t="shared" si="28"/>
        <v>1.7525421556807915E-2</v>
      </c>
    </row>
    <row r="81" spans="51:52" x14ac:dyDescent="0.3">
      <c r="AY81">
        <v>386</v>
      </c>
      <c r="AZ81">
        <f t="shared" si="28"/>
        <v>1.7300004643268196E-2</v>
      </c>
    </row>
    <row r="82" spans="51:52" x14ac:dyDescent="0.3">
      <c r="AY82">
        <v>391</v>
      </c>
      <c r="AZ82">
        <f t="shared" si="28"/>
        <v>1.7080290836361312E-2</v>
      </c>
    </row>
    <row r="83" spans="51:52" x14ac:dyDescent="0.3">
      <c r="AY83">
        <v>396</v>
      </c>
      <c r="AZ83">
        <f t="shared" si="28"/>
        <v>1.6866067257913665E-2</v>
      </c>
    </row>
    <row r="84" spans="51:52" x14ac:dyDescent="0.3">
      <c r="AY84">
        <v>401</v>
      </c>
      <c r="AZ84">
        <f t="shared" si="28"/>
        <v>1.6657131450755348E-2</v>
      </c>
    </row>
    <row r="85" spans="51:52" x14ac:dyDescent="0.3">
      <c r="AY85">
        <v>406</v>
      </c>
      <c r="AZ85">
        <f t="shared" si="28"/>
        <v>1.64532907515029E-2</v>
      </c>
    </row>
    <row r="86" spans="51:52" x14ac:dyDescent="0.3">
      <c r="AY86">
        <v>411</v>
      </c>
      <c r="AZ86">
        <f t="shared" si="28"/>
        <v>1.6254361707897971E-2</v>
      </c>
    </row>
    <row r="87" spans="51:52" x14ac:dyDescent="0.3">
      <c r="AY87">
        <v>416</v>
      </c>
      <c r="AZ87">
        <f t="shared" si="28"/>
        <v>1.6060169537070509E-2</v>
      </c>
    </row>
    <row r="88" spans="51:52" x14ac:dyDescent="0.3">
      <c r="AY88">
        <v>421</v>
      </c>
      <c r="AZ88">
        <f t="shared" si="28"/>
        <v>1.5870547621427381E-2</v>
      </c>
    </row>
    <row r="89" spans="51:52" x14ac:dyDescent="0.3">
      <c r="AY89">
        <v>426</v>
      </c>
      <c r="AZ89">
        <f t="shared" si="28"/>
        <v>1.5685337039166587E-2</v>
      </c>
    </row>
    <row r="90" spans="51:52" x14ac:dyDescent="0.3">
      <c r="AY90">
        <v>431</v>
      </c>
      <c r="AZ90">
        <f t="shared" si="28"/>
        <v>1.5504386126685881E-2</v>
      </c>
    </row>
    <row r="91" spans="51:52" x14ac:dyDescent="0.3">
      <c r="AY91">
        <v>436</v>
      </c>
      <c r="AZ91">
        <f t="shared" si="28"/>
        <v>1.5327550070397083E-2</v>
      </c>
    </row>
    <row r="92" spans="51:52" x14ac:dyDescent="0.3">
      <c r="AY92">
        <v>441</v>
      </c>
      <c r="AZ92">
        <f t="shared" si="28"/>
        <v>1.5154690525675829E-2</v>
      </c>
    </row>
    <row r="93" spans="51:52" x14ac:dyDescent="0.3">
      <c r="AY93">
        <v>446</v>
      </c>
      <c r="AZ93">
        <f t="shared" si="28"/>
        <v>1.4985675260873681E-2</v>
      </c>
    </row>
    <row r="94" spans="51:52" x14ac:dyDescent="0.3">
      <c r="AY94">
        <v>451</v>
      </c>
      <c r="AZ94">
        <f t="shared" si="28"/>
        <v>1.4820377824497806E-2</v>
      </c>
    </row>
    <row r="95" spans="51:52" x14ac:dyDescent="0.3">
      <c r="AY95">
        <v>456</v>
      </c>
      <c r="AZ95">
        <f t="shared" si="28"/>
        <v>1.4658677233824809E-2</v>
      </c>
    </row>
    <row r="96" spans="51:52" x14ac:dyDescent="0.3">
      <c r="AY96">
        <v>461</v>
      </c>
      <c r="AZ96">
        <f t="shared" si="28"/>
        <v>1.4500457683361221E-2</v>
      </c>
    </row>
    <row r="97" spans="51:52" x14ac:dyDescent="0.3">
      <c r="AY97">
        <v>466</v>
      </c>
      <c r="AZ97">
        <f t="shared" si="28"/>
        <v>1.4345608271695719E-2</v>
      </c>
    </row>
    <row r="98" spans="51:52" x14ac:dyDescent="0.3">
      <c r="AY98">
        <v>471</v>
      </c>
      <c r="AZ98">
        <f t="shared" si="28"/>
        <v>1.4194022745408225E-2</v>
      </c>
    </row>
    <row r="99" spans="51:52" x14ac:dyDescent="0.3">
      <c r="AY99">
        <v>476</v>
      </c>
      <c r="AZ99">
        <f t="shared" si="28"/>
        <v>1.4045599258810278E-2</v>
      </c>
    </row>
    <row r="100" spans="51:52" x14ac:dyDescent="0.3">
      <c r="AY100">
        <v>481</v>
      </c>
      <c r="AZ100">
        <f t="shared" si="28"/>
        <v>1.3900240148390275E-2</v>
      </c>
    </row>
    <row r="101" spans="51:52" x14ac:dyDescent="0.3">
      <c r="AY101">
        <v>486</v>
      </c>
      <c r="AZ101">
        <f t="shared" si="28"/>
        <v>1.3757851720927599E-2</v>
      </c>
    </row>
    <row r="102" spans="51:52" x14ac:dyDescent="0.3">
      <c r="AY102">
        <v>491</v>
      </c>
      <c r="AZ102">
        <f t="shared" si="28"/>
        <v>1.361834405432188E-2</v>
      </c>
    </row>
    <row r="103" spans="51:52" x14ac:dyDescent="0.3">
      <c r="AY103">
        <v>496</v>
      </c>
      <c r="AZ103">
        <f t="shared" si="28"/>
        <v>1.3481630810258736E-2</v>
      </c>
    </row>
    <row r="104" spans="51:52" x14ac:dyDescent="0.3">
      <c r="AY104">
        <v>501</v>
      </c>
      <c r="AZ104">
        <f t="shared" si="28"/>
        <v>1.3347629057901831E-2</v>
      </c>
    </row>
    <row r="105" spans="51:52" x14ac:dyDescent="0.3">
      <c r="AY105">
        <v>506</v>
      </c>
      <c r="AZ105">
        <f t="shared" si="28"/>
        <v>1.3216259107863603E-2</v>
      </c>
    </row>
    <row r="106" spans="51:52" x14ac:dyDescent="0.3">
      <c r="AY106">
        <v>511</v>
      </c>
      <c r="AZ106">
        <f t="shared" si="28"/>
        <v>1.3087444355764311E-2</v>
      </c>
    </row>
    <row r="107" spans="51:52" x14ac:dyDescent="0.3">
      <c r="AY107">
        <v>516</v>
      </c>
      <c r="AZ107">
        <f t="shared" si="28"/>
        <v>1.2961111134741247E-2</v>
      </c>
    </row>
    <row r="108" spans="51:52" x14ac:dyDescent="0.3">
      <c r="AY108">
        <v>521</v>
      </c>
      <c r="AZ108">
        <f t="shared" si="28"/>
        <v>1.2837188576318052E-2</v>
      </c>
    </row>
    <row r="109" spans="51:52" x14ac:dyDescent="0.3">
      <c r="AY109">
        <v>526</v>
      </c>
      <c r="AZ109">
        <f t="shared" si="28"/>
        <v>1.2715608479087861E-2</v>
      </c>
    </row>
    <row r="110" spans="51:52" x14ac:dyDescent="0.3">
      <c r="AY110">
        <v>531</v>
      </c>
      <c r="AZ110">
        <f t="shared" si="28"/>
        <v>1.2596305184704398E-2</v>
      </c>
    </row>
    <row r="111" spans="51:52" x14ac:dyDescent="0.3">
      <c r="AY111">
        <v>536</v>
      </c>
      <c r="AZ111">
        <f t="shared" si="28"/>
        <v>1.247921546071208E-2</v>
      </c>
    </row>
    <row r="112" spans="51:52" x14ac:dyDescent="0.3">
      <c r="AY112">
        <v>541</v>
      </c>
      <c r="AZ112">
        <f t="shared" si="28"/>
        <v>1.236427838978019E-2</v>
      </c>
    </row>
    <row r="113" spans="51:52" x14ac:dyDescent="0.3">
      <c r="AY113">
        <v>546</v>
      </c>
      <c r="AZ113">
        <f t="shared" si="28"/>
        <v>1.2251435264937442E-2</v>
      </c>
    </row>
    <row r="114" spans="51:52" x14ac:dyDescent="0.3">
      <c r="AY114">
        <v>551</v>
      </c>
      <c r="AZ114">
        <f t="shared" si="28"/>
        <v>1.2140629490431973E-2</v>
      </c>
    </row>
    <row r="115" spans="51:52" x14ac:dyDescent="0.3">
      <c r="AY115">
        <v>556</v>
      </c>
      <c r="AZ115">
        <f t="shared" si="28"/>
        <v>1.2031806487868304E-2</v>
      </c>
    </row>
    <row r="116" spans="51:52" x14ac:dyDescent="0.3">
      <c r="AY116">
        <v>561</v>
      </c>
      <c r="AZ116">
        <f t="shared" si="28"/>
        <v>1.1924913607297208E-2</v>
      </c>
    </row>
    <row r="117" spans="51:52" x14ac:dyDescent="0.3">
      <c r="AY117">
        <v>566</v>
      </c>
      <c r="AZ117">
        <f t="shared" si="28"/>
        <v>1.1819900042956882E-2</v>
      </c>
    </row>
    <row r="118" spans="51:52" x14ac:dyDescent="0.3">
      <c r="AY118">
        <v>571</v>
      </c>
      <c r="AZ118">
        <f t="shared" si="28"/>
        <v>1.1716716753384621E-2</v>
      </c>
    </row>
    <row r="119" spans="51:52" x14ac:dyDescent="0.3">
      <c r="AY119">
        <v>576</v>
      </c>
      <c r="AZ119">
        <f t="shared" si="28"/>
        <v>1.1615316385637311E-2</v>
      </c>
    </row>
    <row r="120" spans="51:52" x14ac:dyDescent="0.3">
      <c r="AY120">
        <v>581</v>
      </c>
      <c r="AZ120">
        <f t="shared" si="28"/>
        <v>1.1515653203376847E-2</v>
      </c>
    </row>
    <row r="121" spans="51:52" x14ac:dyDescent="0.3">
      <c r="AY121">
        <v>586</v>
      </c>
      <c r="AZ121">
        <f t="shared" si="28"/>
        <v>1.1417683018592858E-2</v>
      </c>
    </row>
    <row r="122" spans="51:52" x14ac:dyDescent="0.3">
      <c r="AY122">
        <v>591</v>
      </c>
      <c r="AZ122">
        <f t="shared" si="28"/>
        <v>1.1321363126750346E-2</v>
      </c>
    </row>
    <row r="123" spans="51:52" x14ac:dyDescent="0.3">
      <c r="AY123">
        <v>596</v>
      </c>
      <c r="AZ123">
        <f t="shared" si="28"/>
        <v>1.1226652245163881E-2</v>
      </c>
    </row>
    <row r="124" spans="51:52" x14ac:dyDescent="0.3">
      <c r="AY124">
        <v>601</v>
      </c>
      <c r="AZ124">
        <f t="shared" si="28"/>
        <v>1.1133510454412923E-2</v>
      </c>
    </row>
    <row r="125" spans="51:52" x14ac:dyDescent="0.3">
      <c r="AY125">
        <v>606</v>
      </c>
      <c r="AZ125">
        <f t="shared" si="28"/>
        <v>1.1041899142624986E-2</v>
      </c>
    </row>
    <row r="126" spans="51:52" x14ac:dyDescent="0.3">
      <c r="AY126">
        <v>611</v>
      </c>
      <c r="AZ126">
        <f t="shared" si="28"/>
        <v>1.0951780952464428E-2</v>
      </c>
    </row>
    <row r="127" spans="51:52" x14ac:dyDescent="0.3">
      <c r="AY127">
        <v>616</v>
      </c>
      <c r="AZ127">
        <f t="shared" si="28"/>
        <v>1.0863119730675157E-2</v>
      </c>
    </row>
    <row r="128" spans="51:52" x14ac:dyDescent="0.3">
      <c r="AY128">
        <v>621</v>
      </c>
      <c r="AZ128">
        <f t="shared" si="28"/>
        <v>1.0775880480035048E-2</v>
      </c>
    </row>
    <row r="129" spans="51:52" x14ac:dyDescent="0.3">
      <c r="AY129">
        <v>626</v>
      </c>
      <c r="AZ129">
        <f t="shared" si="28"/>
        <v>1.0690029313588912E-2</v>
      </c>
    </row>
    <row r="130" spans="51:52" x14ac:dyDescent="0.3">
      <c r="AY130">
        <v>631</v>
      </c>
      <c r="AZ130">
        <f t="shared" si="28"/>
        <v>1.0605533411035125E-2</v>
      </c>
    </row>
    <row r="131" spans="51:52" x14ac:dyDescent="0.3">
      <c r="AY131">
        <v>636</v>
      </c>
      <c r="AZ131">
        <f t="shared" si="28"/>
        <v>1.0522360977148836E-2</v>
      </c>
    </row>
    <row r="132" spans="51:52" x14ac:dyDescent="0.3">
      <c r="AY132">
        <v>641</v>
      </c>
      <c r="AZ132">
        <f t="shared" si="28"/>
        <v>1.0440481202131801E-2</v>
      </c>
    </row>
    <row r="133" spans="51:52" x14ac:dyDescent="0.3">
      <c r="AY133">
        <v>646</v>
      </c>
      <c r="AZ133">
        <f t="shared" ref="AZ133:AZ196" si="29">$AP$4/(AY133^$AP$7)-$AP$6/(AY133^$AP$5)</f>
        <v>1.0359864223785683E-2</v>
      </c>
    </row>
    <row r="134" spans="51:52" x14ac:dyDescent="0.3">
      <c r="AY134">
        <v>651</v>
      </c>
      <c r="AZ134">
        <f t="shared" si="29"/>
        <v>1.0280481091411862E-2</v>
      </c>
    </row>
    <row r="135" spans="51:52" x14ac:dyDescent="0.3">
      <c r="AY135">
        <v>656</v>
      </c>
      <c r="AZ135">
        <f t="shared" si="29"/>
        <v>1.0202303731346656E-2</v>
      </c>
    </row>
    <row r="136" spans="51:52" x14ac:dyDescent="0.3">
      <c r="AY136">
        <v>661</v>
      </c>
      <c r="AZ136">
        <f t="shared" si="29"/>
        <v>1.0125304914046316E-2</v>
      </c>
    </row>
    <row r="137" spans="51:52" x14ac:dyDescent="0.3">
      <c r="AY137">
        <v>666</v>
      </c>
      <c r="AZ137">
        <f t="shared" si="29"/>
        <v>1.0049458222641187E-2</v>
      </c>
    </row>
    <row r="138" spans="51:52" x14ac:dyDescent="0.3">
      <c r="AY138">
        <v>671</v>
      </c>
      <c r="AZ138">
        <f t="shared" si="29"/>
        <v>9.974738022883246E-3</v>
      </c>
    </row>
    <row r="139" spans="51:52" x14ac:dyDescent="0.3">
      <c r="AY139">
        <v>676</v>
      </c>
      <c r="AZ139">
        <f t="shared" si="29"/>
        <v>9.9011194344155729E-3</v>
      </c>
    </row>
    <row r="140" spans="51:52" x14ac:dyDescent="0.3">
      <c r="AY140">
        <v>681</v>
      </c>
      <c r="AZ140">
        <f t="shared" si="29"/>
        <v>9.8285783032965538E-3</v>
      </c>
    </row>
    <row r="141" spans="51:52" x14ac:dyDescent="0.3">
      <c r="AY141">
        <v>686</v>
      </c>
      <c r="AZ141">
        <f t="shared" si="29"/>
        <v>9.7570911757153805E-3</v>
      </c>
    </row>
    <row r="142" spans="51:52" x14ac:dyDescent="0.3">
      <c r="AY142">
        <v>691</v>
      </c>
      <c r="AZ142">
        <f t="shared" si="29"/>
        <v>9.6866352728391652E-3</v>
      </c>
    </row>
    <row r="143" spans="51:52" x14ac:dyDescent="0.3">
      <c r="AY143">
        <v>696</v>
      </c>
      <c r="AZ143">
        <f t="shared" si="29"/>
        <v>9.6171884667352586E-3</v>
      </c>
    </row>
    <row r="144" spans="51:52" x14ac:dyDescent="0.3">
      <c r="AY144">
        <v>701</v>
      </c>
      <c r="AZ144">
        <f t="shared" si="29"/>
        <v>9.548729257315626E-3</v>
      </c>
    </row>
    <row r="145" spans="51:52" x14ac:dyDescent="0.3">
      <c r="AY145">
        <v>706</v>
      </c>
      <c r="AZ145">
        <f t="shared" si="29"/>
        <v>9.4812367502530928E-3</v>
      </c>
    </row>
    <row r="146" spans="51:52" x14ac:dyDescent="0.3">
      <c r="AY146">
        <v>711</v>
      </c>
      <c r="AZ146">
        <f t="shared" si="29"/>
        <v>9.4146906358220407E-3</v>
      </c>
    </row>
    <row r="147" spans="51:52" x14ac:dyDescent="0.3">
      <c r="AY147">
        <v>716</v>
      </c>
      <c r="AZ147">
        <f t="shared" si="29"/>
        <v>9.3490711686187861E-3</v>
      </c>
    </row>
    <row r="148" spans="51:52" x14ac:dyDescent="0.3">
      <c r="AY148">
        <v>721</v>
      </c>
      <c r="AZ148">
        <f t="shared" si="29"/>
        <v>9.2843591481193231E-3</v>
      </c>
    </row>
    <row r="149" spans="51:52" x14ac:dyDescent="0.3">
      <c r="AY149">
        <v>726</v>
      </c>
      <c r="AZ149">
        <f t="shared" si="29"/>
        <v>9.2205359000344187E-3</v>
      </c>
    </row>
    <row r="150" spans="51:52" x14ac:dyDescent="0.3">
      <c r="AY150">
        <v>731</v>
      </c>
      <c r="AZ150">
        <f t="shared" si="29"/>
        <v>9.1575832584242043E-3</v>
      </c>
    </row>
    <row r="151" spans="51:52" x14ac:dyDescent="0.3">
      <c r="AY151">
        <v>736</v>
      </c>
      <c r="AZ151">
        <f t="shared" si="29"/>
        <v>9.0954835485364573E-3</v>
      </c>
    </row>
    <row r="152" spans="51:52" x14ac:dyDescent="0.3">
      <c r="AY152">
        <v>741</v>
      </c>
      <c r="AZ152">
        <f t="shared" si="29"/>
        <v>9.0342195703347044E-3</v>
      </c>
    </row>
    <row r="153" spans="51:52" x14ac:dyDescent="0.3">
      <c r="AY153">
        <v>746</v>
      </c>
      <c r="AZ153">
        <f t="shared" si="29"/>
        <v>8.9737745826839951E-3</v>
      </c>
    </row>
    <row r="154" spans="51:52" x14ac:dyDescent="0.3">
      <c r="AY154">
        <v>751</v>
      </c>
      <c r="AZ154">
        <f t="shared" si="29"/>
        <v>8.9141322881640273E-3</v>
      </c>
    </row>
    <row r="155" spans="51:52" x14ac:dyDescent="0.3">
      <c r="AY155">
        <v>756</v>
      </c>
      <c r="AZ155">
        <f t="shared" si="29"/>
        <v>8.8552768184807194E-3</v>
      </c>
    </row>
    <row r="156" spans="51:52" x14ac:dyDescent="0.3">
      <c r="AY156">
        <v>761</v>
      </c>
      <c r="AZ156">
        <f t="shared" si="29"/>
        <v>8.797192720449017E-3</v>
      </c>
    </row>
    <row r="157" spans="51:52" x14ac:dyDescent="0.3">
      <c r="AY157">
        <v>766</v>
      </c>
      <c r="AZ157">
        <f t="shared" si="29"/>
        <v>8.7398649425209692E-3</v>
      </c>
    </row>
    <row r="158" spans="51:52" x14ac:dyDescent="0.3">
      <c r="AY158">
        <v>771</v>
      </c>
      <c r="AZ158">
        <f t="shared" si="29"/>
        <v>8.6832788218345388E-3</v>
      </c>
    </row>
    <row r="159" spans="51:52" x14ac:dyDescent="0.3">
      <c r="AY159">
        <v>776</v>
      </c>
      <c r="AZ159">
        <f t="shared" si="29"/>
        <v>8.6274200717598639E-3</v>
      </c>
    </row>
    <row r="160" spans="51:52" x14ac:dyDescent="0.3">
      <c r="AY160">
        <v>781</v>
      </c>
      <c r="AZ160">
        <f t="shared" si="29"/>
        <v>8.5722747699207794E-3</v>
      </c>
    </row>
    <row r="161" spans="51:52" x14ac:dyDescent="0.3">
      <c r="AY161">
        <v>786</v>
      </c>
      <c r="AZ161">
        <f t="shared" si="29"/>
        <v>8.5178293466706811E-3</v>
      </c>
    </row>
    <row r="162" spans="51:52" x14ac:dyDescent="0.3">
      <c r="AY162">
        <v>791</v>
      </c>
      <c r="AZ162">
        <f t="shared" si="29"/>
        <v>8.4640705740026845E-3</v>
      </c>
    </row>
    <row r="163" spans="51:52" x14ac:dyDescent="0.3">
      <c r="AY163">
        <v>796</v>
      </c>
      <c r="AZ163">
        <f t="shared" si="29"/>
        <v>8.4109855548751885E-3</v>
      </c>
    </row>
    <row r="164" spans="51:52" x14ac:dyDescent="0.3">
      <c r="AY164">
        <v>801</v>
      </c>
      <c r="AZ164">
        <f t="shared" si="29"/>
        <v>8.3585617129347915E-3</v>
      </c>
    </row>
    <row r="165" spans="51:52" x14ac:dyDescent="0.3">
      <c r="AY165">
        <v>806</v>
      </c>
      <c r="AZ165">
        <f t="shared" si="29"/>
        <v>8.3067867826194346E-3</v>
      </c>
    </row>
    <row r="166" spans="51:52" x14ac:dyDescent="0.3">
      <c r="AY166">
        <v>811</v>
      </c>
      <c r="AZ166">
        <f t="shared" si="29"/>
        <v>8.2556487996254622E-3</v>
      </c>
    </row>
    <row r="167" spans="51:52" x14ac:dyDescent="0.3">
      <c r="AY167">
        <v>816</v>
      </c>
      <c r="AZ167">
        <f t="shared" si="29"/>
        <v>8.2051360917231274E-3</v>
      </c>
    </row>
    <row r="168" spans="51:52" x14ac:dyDescent="0.3">
      <c r="AY168">
        <v>821</v>
      </c>
      <c r="AZ168">
        <f t="shared" si="29"/>
        <v>8.1552372699057445E-3</v>
      </c>
    </row>
    <row r="169" spans="51:52" x14ac:dyDescent="0.3">
      <c r="AY169">
        <v>826</v>
      </c>
      <c r="AZ169">
        <f t="shared" si="29"/>
        <v>8.1059412198584944E-3</v>
      </c>
    </row>
    <row r="170" spans="51:52" x14ac:dyDescent="0.3">
      <c r="AY170">
        <v>831</v>
      </c>
      <c r="AZ170">
        <f t="shared" si="29"/>
        <v>8.0572370937334655E-3</v>
      </c>
    </row>
    <row r="171" spans="51:52" x14ac:dyDescent="0.3">
      <c r="AY171">
        <v>836</v>
      </c>
      <c r="AZ171">
        <f t="shared" si="29"/>
        <v>8.0091143022182239E-3</v>
      </c>
    </row>
    <row r="172" spans="51:52" x14ac:dyDescent="0.3">
      <c r="AY172">
        <v>841</v>
      </c>
      <c r="AZ172">
        <f t="shared" si="29"/>
        <v>7.9615625068857505E-3</v>
      </c>
    </row>
    <row r="173" spans="51:52" x14ac:dyDescent="0.3">
      <c r="AY173">
        <v>846</v>
      </c>
      <c r="AZ173">
        <f t="shared" si="29"/>
        <v>7.9145716128141922E-3</v>
      </c>
    </row>
    <row r="174" spans="51:52" x14ac:dyDescent="0.3">
      <c r="AY174">
        <v>851</v>
      </c>
      <c r="AZ174">
        <f t="shared" si="29"/>
        <v>7.8681317614654016E-3</v>
      </c>
    </row>
    <row r="175" spans="51:52" x14ac:dyDescent="0.3">
      <c r="AY175">
        <v>856</v>
      </c>
      <c r="AZ175">
        <f t="shared" si="29"/>
        <v>7.8222333238117392E-3</v>
      </c>
    </row>
    <row r="176" spans="51:52" x14ac:dyDescent="0.3">
      <c r="AY176">
        <v>861</v>
      </c>
      <c r="AZ176">
        <f t="shared" si="29"/>
        <v>7.7768668937011143E-3</v>
      </c>
    </row>
    <row r="177" spans="51:52" x14ac:dyDescent="0.3">
      <c r="AY177">
        <v>866</v>
      </c>
      <c r="AZ177">
        <f t="shared" si="29"/>
        <v>7.7320232814506876E-3</v>
      </c>
    </row>
    <row r="178" spans="51:52" x14ac:dyDescent="0.3">
      <c r="AY178">
        <v>871</v>
      </c>
      <c r="AZ178">
        <f t="shared" si="29"/>
        <v>7.6876935076601151E-3</v>
      </c>
    </row>
    <row r="179" spans="51:52" x14ac:dyDescent="0.3">
      <c r="AY179">
        <v>876</v>
      </c>
      <c r="AZ179">
        <f t="shared" si="29"/>
        <v>7.643868797235589E-3</v>
      </c>
    </row>
    <row r="180" spans="51:52" x14ac:dyDescent="0.3">
      <c r="AY180">
        <v>881</v>
      </c>
      <c r="AZ180">
        <f t="shared" si="29"/>
        <v>7.6005405736163838E-3</v>
      </c>
    </row>
    <row r="181" spans="51:52" x14ac:dyDescent="0.3">
      <c r="AY181">
        <v>886</v>
      </c>
      <c r="AZ181">
        <f t="shared" si="29"/>
        <v>7.5577004531959119E-3</v>
      </c>
    </row>
    <row r="182" spans="51:52" x14ac:dyDescent="0.3">
      <c r="AY182">
        <v>891</v>
      </c>
      <c r="AZ182">
        <f t="shared" si="29"/>
        <v>7.5153402399297338E-3</v>
      </c>
    </row>
    <row r="183" spans="51:52" x14ac:dyDescent="0.3">
      <c r="AY183">
        <v>896</v>
      </c>
      <c r="AZ183">
        <f t="shared" si="29"/>
        <v>7.4734519201232275E-3</v>
      </c>
    </row>
    <row r="184" spans="51:52" x14ac:dyDescent="0.3">
      <c r="AY184">
        <v>901</v>
      </c>
      <c r="AZ184">
        <f t="shared" si="29"/>
        <v>7.4320276573919914E-3</v>
      </c>
    </row>
    <row r="185" spans="51:52" x14ac:dyDescent="0.3">
      <c r="AY185">
        <v>906</v>
      </c>
      <c r="AZ185">
        <f t="shared" si="29"/>
        <v>7.3910597877883503E-3</v>
      </c>
    </row>
    <row r="186" spans="51:52" x14ac:dyDescent="0.3">
      <c r="AY186">
        <v>911</v>
      </c>
      <c r="AZ186">
        <f t="shared" si="29"/>
        <v>7.3505408150875981E-3</v>
      </c>
    </row>
    <row r="187" spans="51:52" x14ac:dyDescent="0.3">
      <c r="AY187">
        <v>916</v>
      </c>
      <c r="AZ187">
        <f t="shared" si="29"/>
        <v>7.3104634062279199E-3</v>
      </c>
    </row>
    <row r="188" spans="51:52" x14ac:dyDescent="0.3">
      <c r="AY188">
        <v>921</v>
      </c>
      <c r="AZ188">
        <f t="shared" si="29"/>
        <v>7.2708203868981922E-3</v>
      </c>
    </row>
    <row r="189" spans="51:52" x14ac:dyDescent="0.3">
      <c r="AY189">
        <v>926</v>
      </c>
      <c r="AZ189">
        <f t="shared" si="29"/>
        <v>7.2316047372680712E-3</v>
      </c>
    </row>
    <row r="190" spans="51:52" x14ac:dyDescent="0.3">
      <c r="AY190">
        <v>931</v>
      </c>
      <c r="AZ190">
        <f t="shared" si="29"/>
        <v>7.1928095878550846E-3</v>
      </c>
    </row>
    <row r="191" spans="51:52" x14ac:dyDescent="0.3">
      <c r="AY191">
        <v>936</v>
      </c>
      <c r="AZ191">
        <f t="shared" si="29"/>
        <v>7.1544282155235998E-3</v>
      </c>
    </row>
    <row r="192" spans="51:52" x14ac:dyDescent="0.3">
      <c r="AY192">
        <v>941</v>
      </c>
      <c r="AZ192">
        <f t="shared" si="29"/>
        <v>7.1164540396108011E-3</v>
      </c>
    </row>
    <row r="193" spans="51:52" x14ac:dyDescent="0.3">
      <c r="AY193">
        <v>946</v>
      </c>
      <c r="AZ193">
        <f t="shared" si="29"/>
        <v>7.0788806181750086E-3</v>
      </c>
    </row>
    <row r="194" spans="51:52" x14ac:dyDescent="0.3">
      <c r="AY194">
        <v>951</v>
      </c>
      <c r="AZ194">
        <f t="shared" si="29"/>
        <v>7.0417016443618374E-3</v>
      </c>
    </row>
    <row r="195" spans="51:52" x14ac:dyDescent="0.3">
      <c r="AY195">
        <v>956</v>
      </c>
      <c r="AZ195">
        <f t="shared" si="29"/>
        <v>7.0049109428839173E-3</v>
      </c>
    </row>
    <row r="196" spans="51:52" x14ac:dyDescent="0.3">
      <c r="AY196">
        <v>961</v>
      </c>
      <c r="AZ196">
        <f t="shared" si="29"/>
        <v>6.9685024666100619E-3</v>
      </c>
    </row>
    <row r="197" spans="51:52" x14ac:dyDescent="0.3">
      <c r="AY197">
        <v>966</v>
      </c>
      <c r="AZ197">
        <f t="shared" ref="AZ197:AZ260" si="30">$AP$4/(AY197^$AP$7)-$AP$6/(AY197^$AP$5)</f>
        <v>6.9324702932599212E-3</v>
      </c>
    </row>
    <row r="198" spans="51:52" x14ac:dyDescent="0.3">
      <c r="AY198">
        <v>971</v>
      </c>
      <c r="AZ198">
        <f t="shared" si="30"/>
        <v>6.8968086222003589E-3</v>
      </c>
    </row>
    <row r="199" spans="51:52" x14ac:dyDescent="0.3">
      <c r="AY199">
        <v>976</v>
      </c>
      <c r="AZ199">
        <f t="shared" si="30"/>
        <v>6.861511771339898E-3</v>
      </c>
    </row>
    <row r="200" spans="51:52" x14ac:dyDescent="0.3">
      <c r="AY200">
        <v>981</v>
      </c>
      <c r="AZ200">
        <f t="shared" si="30"/>
        <v>6.8265741741177681E-3</v>
      </c>
    </row>
    <row r="201" spans="51:52" x14ac:dyDescent="0.3">
      <c r="AY201">
        <v>986</v>
      </c>
      <c r="AZ201">
        <f t="shared" si="30"/>
        <v>6.7919903765842103E-3</v>
      </c>
    </row>
    <row r="202" spans="51:52" x14ac:dyDescent="0.3">
      <c r="AY202">
        <v>991</v>
      </c>
      <c r="AZ202">
        <f t="shared" si="30"/>
        <v>6.7577550345688259E-3</v>
      </c>
    </row>
    <row r="203" spans="51:52" x14ac:dyDescent="0.3">
      <c r="AY203">
        <v>996</v>
      </c>
      <c r="AZ203">
        <f t="shared" si="30"/>
        <v>6.7238629109338827E-3</v>
      </c>
    </row>
    <row r="204" spans="51:52" x14ac:dyDescent="0.3">
      <c r="AY204">
        <v>1001</v>
      </c>
      <c r="AZ204">
        <f t="shared" si="30"/>
        <v>6.6903088729096446E-3</v>
      </c>
    </row>
    <row r="205" spans="51:52" x14ac:dyDescent="0.3">
      <c r="AY205">
        <v>1006</v>
      </c>
      <c r="AZ205">
        <f t="shared" si="30"/>
        <v>6.6570878895088536E-3</v>
      </c>
    </row>
    <row r="206" spans="51:52" x14ac:dyDescent="0.3">
      <c r="AY206">
        <v>1011</v>
      </c>
      <c r="AZ206">
        <f t="shared" si="30"/>
        <v>6.6241950290176661E-3</v>
      </c>
    </row>
    <row r="207" spans="51:52" x14ac:dyDescent="0.3">
      <c r="AY207">
        <v>1016</v>
      </c>
      <c r="AZ207">
        <f t="shared" si="30"/>
        <v>6.5916254565603818E-3</v>
      </c>
    </row>
    <row r="208" spans="51:52" x14ac:dyDescent="0.3">
      <c r="AY208">
        <v>1021</v>
      </c>
      <c r="AZ208">
        <f t="shared" si="30"/>
        <v>6.5593744317354987E-3</v>
      </c>
    </row>
    <row r="209" spans="51:52" x14ac:dyDescent="0.3">
      <c r="AY209">
        <v>1026</v>
      </c>
      <c r="AZ209">
        <f t="shared" si="30"/>
        <v>6.5274373063206126E-3</v>
      </c>
    </row>
    <row r="210" spans="51:52" x14ac:dyDescent="0.3">
      <c r="AY210">
        <v>1031</v>
      </c>
      <c r="AZ210">
        <f t="shared" si="30"/>
        <v>6.4958095220438898E-3</v>
      </c>
    </row>
    <row r="211" spans="51:52" x14ac:dyDescent="0.3">
      <c r="AY211">
        <v>1036</v>
      </c>
      <c r="AZ211">
        <f t="shared" si="30"/>
        <v>6.4644866084198234E-3</v>
      </c>
    </row>
    <row r="212" spans="51:52" x14ac:dyDescent="0.3">
      <c r="AY212">
        <v>1041</v>
      </c>
      <c r="AZ212">
        <f t="shared" si="30"/>
        <v>6.4334641806471629E-3</v>
      </c>
    </row>
    <row r="213" spans="51:52" x14ac:dyDescent="0.3">
      <c r="AY213">
        <v>1046</v>
      </c>
      <c r="AZ213">
        <f t="shared" si="30"/>
        <v>6.4027379375669099E-3</v>
      </c>
    </row>
    <row r="214" spans="51:52" x14ac:dyDescent="0.3">
      <c r="AY214">
        <v>1051</v>
      </c>
      <c r="AZ214">
        <f t="shared" si="30"/>
        <v>6.3723036596784136E-3</v>
      </c>
    </row>
    <row r="215" spans="51:52" x14ac:dyDescent="0.3">
      <c r="AY215">
        <v>1056</v>
      </c>
      <c r="AZ215">
        <f t="shared" si="30"/>
        <v>6.3421572072116308E-3</v>
      </c>
    </row>
    <row r="216" spans="51:52" x14ac:dyDescent="0.3">
      <c r="AY216">
        <v>1061</v>
      </c>
      <c r="AZ216">
        <f t="shared" si="30"/>
        <v>6.3122945182537199E-3</v>
      </c>
    </row>
    <row r="217" spans="51:52" x14ac:dyDescent="0.3">
      <c r="AY217">
        <v>1066</v>
      </c>
      <c r="AZ217">
        <f t="shared" si="30"/>
        <v>6.2827116069281777E-3</v>
      </c>
    </row>
    <row r="218" spans="51:52" x14ac:dyDescent="0.3">
      <c r="AY218">
        <v>1071</v>
      </c>
      <c r="AZ218">
        <f t="shared" si="30"/>
        <v>6.2534045616248124E-3</v>
      </c>
    </row>
    <row r="219" spans="51:52" x14ac:dyDescent="0.3">
      <c r="AY219">
        <v>1076</v>
      </c>
      <c r="AZ219">
        <f t="shared" si="30"/>
        <v>6.224369543278911E-3</v>
      </c>
    </row>
    <row r="220" spans="51:52" x14ac:dyDescent="0.3">
      <c r="AY220">
        <v>1081</v>
      </c>
      <c r="AZ220">
        <f t="shared" si="30"/>
        <v>6.1956027836980133E-3</v>
      </c>
    </row>
    <row r="221" spans="51:52" x14ac:dyDescent="0.3">
      <c r="AY221">
        <v>1086</v>
      </c>
      <c r="AZ221">
        <f t="shared" si="30"/>
        <v>6.1671005839347573E-3</v>
      </c>
    </row>
    <row r="222" spans="51:52" x14ac:dyDescent="0.3">
      <c r="AY222">
        <v>1091</v>
      </c>
      <c r="AZ222">
        <f t="shared" si="30"/>
        <v>6.1388593127043234E-3</v>
      </c>
    </row>
    <row r="223" spans="51:52" x14ac:dyDescent="0.3">
      <c r="AY223">
        <v>1096</v>
      </c>
      <c r="AZ223">
        <f t="shared" si="30"/>
        <v>6.1108754048450741E-3</v>
      </c>
    </row>
    <row r="224" spans="51:52" x14ac:dyDescent="0.3">
      <c r="AY224">
        <v>1101</v>
      </c>
      <c r="AZ224">
        <f t="shared" si="30"/>
        <v>6.0831453598209967E-3</v>
      </c>
    </row>
    <row r="225" spans="51:52" x14ac:dyDescent="0.3">
      <c r="AY225">
        <v>1106</v>
      </c>
      <c r="AZ225">
        <f t="shared" si="30"/>
        <v>6.0556657402646465E-3</v>
      </c>
    </row>
    <row r="226" spans="51:52" x14ac:dyDescent="0.3">
      <c r="AY226">
        <v>1111</v>
      </c>
      <c r="AZ226">
        <f t="shared" si="30"/>
        <v>6.0284331705593259E-3</v>
      </c>
    </row>
    <row r="227" spans="51:52" x14ac:dyDescent="0.3">
      <c r="AY227">
        <v>1116</v>
      </c>
      <c r="AZ227">
        <f t="shared" si="30"/>
        <v>6.0014443354592436E-3</v>
      </c>
    </row>
    <row r="228" spans="51:52" x14ac:dyDescent="0.3">
      <c r="AY228">
        <v>1121</v>
      </c>
      <c r="AZ228">
        <f t="shared" si="30"/>
        <v>5.9746959787465121E-3</v>
      </c>
    </row>
    <row r="229" spans="51:52" x14ac:dyDescent="0.3">
      <c r="AY229">
        <v>1126</v>
      </c>
      <c r="AZ229">
        <f t="shared" si="30"/>
        <v>5.9481849019238078E-3</v>
      </c>
    </row>
    <row r="230" spans="51:52" x14ac:dyDescent="0.3">
      <c r="AY230">
        <v>1131</v>
      </c>
      <c r="AZ230">
        <f t="shared" si="30"/>
        <v>5.9219079629416133E-3</v>
      </c>
    </row>
    <row r="231" spans="51:52" x14ac:dyDescent="0.3">
      <c r="AY231">
        <v>1136</v>
      </c>
      <c r="AZ231">
        <f t="shared" si="30"/>
        <v>5.8958620749589713E-3</v>
      </c>
    </row>
    <row r="232" spans="51:52" x14ac:dyDescent="0.3">
      <c r="AY232">
        <v>1141</v>
      </c>
      <c r="AZ232">
        <f t="shared" si="30"/>
        <v>5.8700442051367362E-3</v>
      </c>
    </row>
    <row r="233" spans="51:52" x14ac:dyDescent="0.3">
      <c r="AY233">
        <v>1146</v>
      </c>
      <c r="AZ233">
        <f t="shared" si="30"/>
        <v>5.8444513734623189E-3</v>
      </c>
    </row>
    <row r="234" spans="51:52" x14ac:dyDescent="0.3">
      <c r="AY234">
        <v>1151</v>
      </c>
      <c r="AZ234">
        <f t="shared" si="30"/>
        <v>5.81908065160498E-3</v>
      </c>
    </row>
    <row r="235" spans="51:52" x14ac:dyDescent="0.3">
      <c r="AY235">
        <v>1156</v>
      </c>
      <c r="AZ235">
        <f t="shared" si="30"/>
        <v>5.7939291618007488E-3</v>
      </c>
    </row>
    <row r="236" spans="51:52" x14ac:dyDescent="0.3">
      <c r="AY236">
        <v>1161</v>
      </c>
      <c r="AZ236">
        <f t="shared" si="30"/>
        <v>5.7689940757660778E-3</v>
      </c>
    </row>
    <row r="237" spans="51:52" x14ac:dyDescent="0.3">
      <c r="AY237">
        <v>1166</v>
      </c>
      <c r="AZ237">
        <f t="shared" si="30"/>
        <v>5.7442726136393693E-3</v>
      </c>
    </row>
    <row r="238" spans="51:52" x14ac:dyDescent="0.3">
      <c r="AY238">
        <v>1171</v>
      </c>
      <c r="AZ238">
        <f t="shared" si="30"/>
        <v>5.7197620429495482E-3</v>
      </c>
    </row>
    <row r="239" spans="51:52" x14ac:dyDescent="0.3">
      <c r="AY239">
        <v>1176</v>
      </c>
      <c r="AZ239">
        <f t="shared" si="30"/>
        <v>5.6954596776108719E-3</v>
      </c>
    </row>
    <row r="240" spans="51:52" x14ac:dyDescent="0.3">
      <c r="AY240">
        <v>1181</v>
      </c>
      <c r="AZ240">
        <f t="shared" si="30"/>
        <v>5.6713628769432126E-3</v>
      </c>
    </row>
    <row r="241" spans="51:52" x14ac:dyDescent="0.3">
      <c r="AY241">
        <v>1186</v>
      </c>
      <c r="AZ241">
        <f t="shared" si="30"/>
        <v>5.6474690447170543E-3</v>
      </c>
    </row>
    <row r="242" spans="51:52" x14ac:dyDescent="0.3">
      <c r="AY242">
        <v>1191</v>
      </c>
      <c r="AZ242">
        <f t="shared" si="30"/>
        <v>5.6237756282224785E-3</v>
      </c>
    </row>
    <row r="243" spans="51:52" x14ac:dyDescent="0.3">
      <c r="AY243">
        <v>1196</v>
      </c>
      <c r="AZ243">
        <f t="shared" si="30"/>
        <v>5.6002801173614513E-3</v>
      </c>
    </row>
    <row r="244" spans="51:52" x14ac:dyDescent="0.3">
      <c r="AY244">
        <v>1201</v>
      </c>
      <c r="AZ244">
        <f t="shared" si="30"/>
        <v>5.5769800437627188E-3</v>
      </c>
    </row>
    <row r="245" spans="51:52" x14ac:dyDescent="0.3">
      <c r="AY245">
        <v>1206</v>
      </c>
      <c r="AZ245">
        <f t="shared" si="30"/>
        <v>5.553872979918671E-3</v>
      </c>
    </row>
    <row r="246" spans="51:52" x14ac:dyDescent="0.3">
      <c r="AY246">
        <v>1211</v>
      </c>
      <c r="AZ246">
        <f t="shared" si="30"/>
        <v>5.5309565383435226E-3</v>
      </c>
    </row>
    <row r="247" spans="51:52" x14ac:dyDescent="0.3">
      <c r="AY247">
        <v>1216</v>
      </c>
      <c r="AZ247">
        <f t="shared" si="30"/>
        <v>5.508228370752228E-3</v>
      </c>
    </row>
    <row r="248" spans="51:52" x14ac:dyDescent="0.3">
      <c r="AY248">
        <v>1221</v>
      </c>
      <c r="AZ248">
        <f t="shared" si="30"/>
        <v>5.4856861672595075E-3</v>
      </c>
    </row>
    <row r="249" spans="51:52" x14ac:dyDescent="0.3">
      <c r="AY249">
        <v>1226</v>
      </c>
      <c r="AZ249">
        <f t="shared" si="30"/>
        <v>5.4633276555984284E-3</v>
      </c>
    </row>
    <row r="250" spans="51:52" x14ac:dyDescent="0.3">
      <c r="AY250">
        <v>1231</v>
      </c>
      <c r="AZ250">
        <f t="shared" si="30"/>
        <v>5.4411506003579843E-3</v>
      </c>
    </row>
    <row r="251" spans="51:52" x14ac:dyDescent="0.3">
      <c r="AY251">
        <v>1236</v>
      </c>
      <c r="AZ251">
        <f t="shared" si="30"/>
        <v>5.4191528022391362E-3</v>
      </c>
    </row>
    <row r="252" spans="51:52" x14ac:dyDescent="0.3">
      <c r="AY252">
        <v>1241</v>
      </c>
      <c r="AZ252">
        <f t="shared" si="30"/>
        <v>5.3973320973287955E-3</v>
      </c>
    </row>
    <row r="253" spans="51:52" x14ac:dyDescent="0.3">
      <c r="AY253">
        <v>1246</v>
      </c>
      <c r="AZ253">
        <f t="shared" si="30"/>
        <v>5.3756863563912396E-3</v>
      </c>
    </row>
    <row r="254" spans="51:52" x14ac:dyDescent="0.3">
      <c r="AY254">
        <v>1251</v>
      </c>
      <c r="AZ254">
        <f t="shared" si="30"/>
        <v>5.3542134841764923E-3</v>
      </c>
    </row>
    <row r="255" spans="51:52" x14ac:dyDescent="0.3">
      <c r="AY255">
        <v>1256</v>
      </c>
      <c r="AZ255">
        <f t="shared" si="30"/>
        <v>5.3329114187451714E-3</v>
      </c>
    </row>
    <row r="256" spans="51:52" x14ac:dyDescent="0.3">
      <c r="AY256">
        <v>1261</v>
      </c>
      <c r="AZ256">
        <f t="shared" si="30"/>
        <v>5.3117781308093743E-3</v>
      </c>
    </row>
    <row r="257" spans="51:52" x14ac:dyDescent="0.3">
      <c r="AY257">
        <v>1266</v>
      </c>
      <c r="AZ257">
        <f t="shared" si="30"/>
        <v>5.2908116230891379E-3</v>
      </c>
    </row>
    <row r="258" spans="51:52" x14ac:dyDescent="0.3">
      <c r="AY258">
        <v>1271</v>
      </c>
      <c r="AZ258">
        <f t="shared" si="30"/>
        <v>5.2700099296840563E-3</v>
      </c>
    </row>
    <row r="259" spans="51:52" x14ac:dyDescent="0.3">
      <c r="AY259">
        <v>1276</v>
      </c>
      <c r="AZ259">
        <f t="shared" si="30"/>
        <v>5.2493711154596428E-3</v>
      </c>
    </row>
    <row r="260" spans="51:52" x14ac:dyDescent="0.3">
      <c r="AY260">
        <v>1281</v>
      </c>
      <c r="AZ260">
        <f t="shared" si="30"/>
        <v>5.2288932754480264E-3</v>
      </c>
    </row>
    <row r="261" spans="51:52" x14ac:dyDescent="0.3">
      <c r="AY261">
        <v>1286</v>
      </c>
      <c r="AZ261">
        <f t="shared" ref="AZ261:AZ324" si="31">$AP$4/(AY261^$AP$7)-$AP$6/(AY261^$AP$5)</f>
        <v>5.2085745342625965E-3</v>
      </c>
    </row>
    <row r="262" spans="51:52" x14ac:dyDescent="0.3">
      <c r="AY262">
        <v>1291</v>
      </c>
      <c r="AZ262">
        <f t="shared" si="31"/>
        <v>5.1884130455262306E-3</v>
      </c>
    </row>
    <row r="263" spans="51:52" x14ac:dyDescent="0.3">
      <c r="AY263">
        <v>1296</v>
      </c>
      <c r="AZ263">
        <f t="shared" si="31"/>
        <v>5.168406991312712E-3</v>
      </c>
    </row>
    <row r="264" spans="51:52" x14ac:dyDescent="0.3">
      <c r="AY264">
        <v>1301</v>
      </c>
      <c r="AZ264">
        <f t="shared" si="31"/>
        <v>5.1485545816010161E-3</v>
      </c>
    </row>
    <row r="265" spans="51:52" x14ac:dyDescent="0.3">
      <c r="AY265">
        <v>1306</v>
      </c>
      <c r="AZ265">
        <f t="shared" si="31"/>
        <v>5.1288540537420988E-3</v>
      </c>
    </row>
    <row r="266" spans="51:52" x14ac:dyDescent="0.3">
      <c r="AY266">
        <v>1311</v>
      </c>
      <c r="AZ266">
        <f t="shared" si="31"/>
        <v>5.1093036719378551E-3</v>
      </c>
    </row>
    <row r="267" spans="51:52" x14ac:dyDescent="0.3">
      <c r="AY267">
        <v>1316</v>
      </c>
      <c r="AZ267">
        <f t="shared" si="31"/>
        <v>5.089901726731942E-3</v>
      </c>
    </row>
    <row r="268" spans="51:52" x14ac:dyDescent="0.3">
      <c r="AY268">
        <v>1321</v>
      </c>
      <c r="AZ268">
        <f t="shared" si="31"/>
        <v>5.0706465345121306E-3</v>
      </c>
    </row>
    <row r="269" spans="51:52" x14ac:dyDescent="0.3">
      <c r="AY269">
        <v>1326</v>
      </c>
      <c r="AZ269">
        <f t="shared" si="31"/>
        <v>5.0515364370239029E-3</v>
      </c>
    </row>
    <row r="270" spans="51:52" x14ac:dyDescent="0.3">
      <c r="AY270">
        <v>1331</v>
      </c>
      <c r="AZ270">
        <f t="shared" si="31"/>
        <v>5.0325698008949794E-3</v>
      </c>
    </row>
    <row r="271" spans="51:52" x14ac:dyDescent="0.3">
      <c r="AY271">
        <v>1336</v>
      </c>
      <c r="AZ271">
        <f t="shared" si="31"/>
        <v>5.0137450171705089E-3</v>
      </c>
    </row>
    <row r="272" spans="51:52" x14ac:dyDescent="0.3">
      <c r="AY272">
        <v>1341</v>
      </c>
      <c r="AZ272">
        <f t="shared" si="31"/>
        <v>4.9950605008586375E-3</v>
      </c>
    </row>
    <row r="273" spans="51:52" x14ac:dyDescent="0.3">
      <c r="AY273">
        <v>1346</v>
      </c>
      <c r="AZ273">
        <f t="shared" si="31"/>
        <v>4.976514690486173E-3</v>
      </c>
    </row>
    <row r="274" spans="51:52" x14ac:dyDescent="0.3">
      <c r="AY274">
        <v>1351</v>
      </c>
      <c r="AZ274">
        <f t="shared" si="31"/>
        <v>4.958106047664116E-3</v>
      </c>
    </row>
    <row r="275" spans="51:52" x14ac:dyDescent="0.3">
      <c r="AY275">
        <v>1356</v>
      </c>
      <c r="AZ275">
        <f t="shared" si="31"/>
        <v>4.9398330566627659E-3</v>
      </c>
    </row>
    <row r="276" spans="51:52" x14ac:dyDescent="0.3">
      <c r="AY276">
        <v>1361</v>
      </c>
      <c r="AZ276">
        <f t="shared" si="31"/>
        <v>4.9216942239961852E-3</v>
      </c>
    </row>
    <row r="277" spans="51:52" x14ac:dyDescent="0.3">
      <c r="AY277">
        <v>1366</v>
      </c>
      <c r="AZ277">
        <f t="shared" si="31"/>
        <v>4.9036880780157699E-3</v>
      </c>
    </row>
    <row r="278" spans="51:52" x14ac:dyDescent="0.3">
      <c r="AY278">
        <v>1371</v>
      </c>
      <c r="AZ278">
        <f t="shared" si="31"/>
        <v>4.8858131685126892E-3</v>
      </c>
    </row>
    <row r="279" spans="51:52" x14ac:dyDescent="0.3">
      <c r="AY279">
        <v>1376</v>
      </c>
      <c r="AZ279">
        <f t="shared" si="31"/>
        <v>4.8680680663289949E-3</v>
      </c>
    </row>
    <row r="280" spans="51:52" x14ac:dyDescent="0.3">
      <c r="AY280">
        <v>1381</v>
      </c>
      <c r="AZ280">
        <f t="shared" si="31"/>
        <v>4.850451362977134E-3</v>
      </c>
    </row>
    <row r="281" spans="51:52" x14ac:dyDescent="0.3">
      <c r="AY281">
        <v>1386</v>
      </c>
      <c r="AZ281">
        <f t="shared" si="31"/>
        <v>4.8329616702677105E-3</v>
      </c>
    </row>
    <row r="282" spans="51:52" x14ac:dyDescent="0.3">
      <c r="AY282">
        <v>1391</v>
      </c>
      <c r="AZ282">
        <f t="shared" si="31"/>
        <v>4.8155976199452423E-3</v>
      </c>
    </row>
    <row r="283" spans="51:52" x14ac:dyDescent="0.3">
      <c r="AY283">
        <v>1396</v>
      </c>
      <c r="AZ283">
        <f t="shared" si="31"/>
        <v>4.7983578633317347E-3</v>
      </c>
    </row>
    <row r="284" spans="51:52" x14ac:dyDescent="0.3">
      <c r="AY284">
        <v>1401</v>
      </c>
      <c r="AZ284">
        <f t="shared" si="31"/>
        <v>4.7812410709778775E-3</v>
      </c>
    </row>
    <row r="285" spans="51:52" x14ac:dyDescent="0.3">
      <c r="AY285">
        <v>1406</v>
      </c>
      <c r="AZ285">
        <f t="shared" si="31"/>
        <v>4.7642459323216663E-3</v>
      </c>
    </row>
    <row r="286" spans="51:52" x14ac:dyDescent="0.3">
      <c r="AY286">
        <v>1411</v>
      </c>
      <c r="AZ286">
        <f t="shared" si="31"/>
        <v>4.7473711553542679E-3</v>
      </c>
    </row>
    <row r="287" spans="51:52" x14ac:dyDescent="0.3">
      <c r="AY287">
        <v>1416</v>
      </c>
      <c r="AZ287">
        <f t="shared" si="31"/>
        <v>4.7306154662929544E-3</v>
      </c>
    </row>
    <row r="288" spans="51:52" x14ac:dyDescent="0.3">
      <c r="AY288">
        <v>1421</v>
      </c>
      <c r="AZ288">
        <f t="shared" si="31"/>
        <v>4.7139776092609302E-3</v>
      </c>
    </row>
    <row r="289" spans="51:52" x14ac:dyDescent="0.3">
      <c r="AY289">
        <v>1426</v>
      </c>
      <c r="AZ289">
        <f t="shared" si="31"/>
        <v>4.6974563459738841E-3</v>
      </c>
    </row>
    <row r="290" spans="51:52" x14ac:dyDescent="0.3">
      <c r="AY290">
        <v>1431</v>
      </c>
      <c r="AZ290">
        <f t="shared" si="31"/>
        <v>4.6810504554330949E-3</v>
      </c>
    </row>
    <row r="291" spans="51:52" x14ac:dyDescent="0.3">
      <c r="AY291">
        <v>1436</v>
      </c>
      <c r="AZ291">
        <f t="shared" si="31"/>
        <v>4.6647587336249427E-3</v>
      </c>
    </row>
    <row r="292" spans="51:52" x14ac:dyDescent="0.3">
      <c r="AY292">
        <v>1441</v>
      </c>
      <c r="AZ292">
        <f t="shared" si="31"/>
        <v>4.6485799932266657E-3</v>
      </c>
    </row>
    <row r="293" spans="51:52" x14ac:dyDescent="0.3">
      <c r="AY293">
        <v>1446</v>
      </c>
      <c r="AZ293">
        <f t="shared" si="31"/>
        <v>4.6325130633182079E-3</v>
      </c>
    </row>
    <row r="294" spans="51:52" x14ac:dyDescent="0.3">
      <c r="AY294">
        <v>1451</v>
      </c>
      <c r="AZ294">
        <f t="shared" si="31"/>
        <v>4.6165567891000153E-3</v>
      </c>
    </row>
    <row r="295" spans="51:52" x14ac:dyDescent="0.3">
      <c r="AY295">
        <v>1456</v>
      </c>
      <c r="AZ295">
        <f t="shared" si="31"/>
        <v>4.600710031616639E-3</v>
      </c>
    </row>
    <row r="296" spans="51:52" x14ac:dyDescent="0.3">
      <c r="AY296">
        <v>1461</v>
      </c>
      <c r="AZ296">
        <f t="shared" si="31"/>
        <v>4.5849716674859981E-3</v>
      </c>
    </row>
    <row r="297" spans="51:52" x14ac:dyDescent="0.3">
      <c r="AY297">
        <v>1466</v>
      </c>
      <c r="AZ297">
        <f t="shared" si="31"/>
        <v>4.5693405886341847E-3</v>
      </c>
    </row>
    <row r="298" spans="51:52" x14ac:dyDescent="0.3">
      <c r="AY298">
        <v>1471</v>
      </c>
      <c r="AZ298">
        <f t="shared" si="31"/>
        <v>4.5538157020356554E-3</v>
      </c>
    </row>
    <row r="299" spans="51:52" x14ac:dyDescent="0.3">
      <c r="AY299">
        <v>1476</v>
      </c>
      <c r="AZ299">
        <f t="shared" si="31"/>
        <v>4.5383959294587051E-3</v>
      </c>
    </row>
    <row r="300" spans="51:52" x14ac:dyDescent="0.3">
      <c r="AY300">
        <v>1481</v>
      </c>
      <c r="AZ300">
        <f t="shared" si="31"/>
        <v>4.5230802072160816E-3</v>
      </c>
    </row>
    <row r="301" spans="51:52" x14ac:dyDescent="0.3">
      <c r="AY301">
        <v>1486</v>
      </c>
      <c r="AZ301">
        <f t="shared" si="31"/>
        <v>4.5078674859206323E-3</v>
      </c>
    </row>
    <row r="302" spans="51:52" x14ac:dyDescent="0.3">
      <c r="AY302">
        <v>1491</v>
      </c>
      <c r="AZ302">
        <f t="shared" si="31"/>
        <v>4.4927567302458522E-3</v>
      </c>
    </row>
    <row r="303" spans="51:52" x14ac:dyDescent="0.3">
      <c r="AY303">
        <v>1496</v>
      </c>
      <c r="AZ303">
        <f t="shared" si="31"/>
        <v>4.4777469186912337E-3</v>
      </c>
    </row>
    <row r="304" spans="51:52" x14ac:dyDescent="0.3">
      <c r="AY304">
        <v>1501</v>
      </c>
      <c r="AZ304">
        <f t="shared" si="31"/>
        <v>4.4628370433522947E-3</v>
      </c>
    </row>
    <row r="305" spans="51:52" x14ac:dyDescent="0.3">
      <c r="AY305">
        <v>1506</v>
      </c>
      <c r="AZ305">
        <f t="shared" si="31"/>
        <v>4.4480261096951808E-3</v>
      </c>
    </row>
    <row r="306" spans="51:52" x14ac:dyDescent="0.3">
      <c r="AY306">
        <v>1511</v>
      </c>
      <c r="AZ306">
        <f t="shared" si="31"/>
        <v>4.4333131363357373E-3</v>
      </c>
    </row>
    <row r="307" spans="51:52" x14ac:dyDescent="0.3">
      <c r="AY307">
        <v>1516</v>
      </c>
      <c r="AZ307">
        <f t="shared" si="31"/>
        <v>4.4186971548229419E-3</v>
      </c>
    </row>
    <row r="308" spans="51:52" x14ac:dyDescent="0.3">
      <c r="AY308">
        <v>1521</v>
      </c>
      <c r="AZ308">
        <f t="shared" si="31"/>
        <v>4.4041772094266093E-3</v>
      </c>
    </row>
    <row r="309" spans="51:52" x14ac:dyDescent="0.3">
      <c r="AY309">
        <v>1526</v>
      </c>
      <c r="AZ309">
        <f t="shared" si="31"/>
        <v>4.3897523569292607E-3</v>
      </c>
    </row>
    <row r="310" spans="51:52" x14ac:dyDescent="0.3">
      <c r="AY310">
        <v>1531</v>
      </c>
      <c r="AZ310">
        <f t="shared" si="31"/>
        <v>4.3754216664220556E-3</v>
      </c>
    </row>
    <row r="311" spans="51:52" x14ac:dyDescent="0.3">
      <c r="AY311">
        <v>1536</v>
      </c>
      <c r="AZ311">
        <f t="shared" si="31"/>
        <v>4.3611842191047202E-3</v>
      </c>
    </row>
    <row r="312" spans="51:52" x14ac:dyDescent="0.3">
      <c r="AY312">
        <v>1541</v>
      </c>
      <c r="AZ312">
        <f t="shared" si="31"/>
        <v>4.3470391080893548E-3</v>
      </c>
    </row>
    <row r="313" spans="51:52" x14ac:dyDescent="0.3">
      <c r="AY313">
        <v>1546</v>
      </c>
      <c r="AZ313">
        <f t="shared" si="31"/>
        <v>4.3329854382080403E-3</v>
      </c>
    </row>
    <row r="314" spans="51:52" x14ac:dyDescent="0.3">
      <c r="AY314">
        <v>1551</v>
      </c>
      <c r="AZ314">
        <f t="shared" si="31"/>
        <v>4.3190223258241667E-3</v>
      </c>
    </row>
    <row r="315" spans="51:52" x14ac:dyDescent="0.3">
      <c r="AY315">
        <v>1556</v>
      </c>
      <c r="AZ315">
        <f t="shared" si="31"/>
        <v>4.3051488986473926E-3</v>
      </c>
    </row>
    <row r="316" spans="51:52" x14ac:dyDescent="0.3">
      <c r="AY316">
        <v>1561</v>
      </c>
      <c r="AZ316">
        <f t="shared" si="31"/>
        <v>4.2913642955521528E-3</v>
      </c>
    </row>
    <row r="317" spans="51:52" x14ac:dyDescent="0.3">
      <c r="AY317">
        <v>1566</v>
      </c>
      <c r="AZ317">
        <f t="shared" si="31"/>
        <v>4.2776676663996418E-3</v>
      </c>
    </row>
    <row r="318" spans="51:52" x14ac:dyDescent="0.3">
      <c r="AY318">
        <v>1571</v>
      </c>
      <c r="AZ318">
        <f t="shared" si="31"/>
        <v>4.2640581718631863E-3</v>
      </c>
    </row>
    <row r="319" spans="51:52" x14ac:dyDescent="0.3">
      <c r="AY319">
        <v>1576</v>
      </c>
      <c r="AZ319">
        <f t="shared" si="31"/>
        <v>4.2505349832569405E-3</v>
      </c>
    </row>
    <row r="320" spans="51:52" x14ac:dyDescent="0.3">
      <c r="AY320">
        <v>1581</v>
      </c>
      <c r="AZ320">
        <f t="shared" si="31"/>
        <v>4.2370972823678327E-3</v>
      </c>
    </row>
    <row r="321" spans="51:52" x14ac:dyDescent="0.3">
      <c r="AY321">
        <v>1586</v>
      </c>
      <c r="AZ321">
        <f t="shared" si="31"/>
        <v>4.2237442612906729E-3</v>
      </c>
    </row>
    <row r="322" spans="51:52" x14ac:dyDescent="0.3">
      <c r="AY322">
        <v>1591</v>
      </c>
      <c r="AZ322">
        <f t="shared" si="31"/>
        <v>4.2104751222663784E-3</v>
      </c>
    </row>
    <row r="323" spans="51:52" x14ac:dyDescent="0.3">
      <c r="AY323">
        <v>1596</v>
      </c>
      <c r="AZ323">
        <f t="shared" si="31"/>
        <v>4.1972890775232299E-3</v>
      </c>
    </row>
    <row r="324" spans="51:52" x14ac:dyDescent="0.3">
      <c r="AY324">
        <v>1601</v>
      </c>
      <c r="AZ324">
        <f t="shared" si="31"/>
        <v>4.1841853491210931E-3</v>
      </c>
    </row>
    <row r="325" spans="51:52" x14ac:dyDescent="0.3">
      <c r="AY325">
        <v>1606</v>
      </c>
      <c r="AZ325">
        <f t="shared" ref="AZ325:AZ388" si="32">$AP$4/(AY325^$AP$7)-$AP$6/(AY325^$AP$5)</f>
        <v>4.1711631687985631E-3</v>
      </c>
    </row>
    <row r="326" spans="51:52" x14ac:dyDescent="0.3">
      <c r="AY326">
        <v>1611</v>
      </c>
      <c r="AZ326">
        <f t="shared" si="32"/>
        <v>4.1582217778229269E-3</v>
      </c>
    </row>
    <row r="327" spans="51:52" x14ac:dyDescent="0.3">
      <c r="AY327">
        <v>1616</v>
      </c>
      <c r="AZ327">
        <f t="shared" si="32"/>
        <v>4.1453604268429324E-3</v>
      </c>
    </row>
    <row r="328" spans="51:52" x14ac:dyDescent="0.3">
      <c r="AY328">
        <v>1621</v>
      </c>
      <c r="AZ328">
        <f t="shared" si="32"/>
        <v>4.1325783757442591E-3</v>
      </c>
    </row>
    <row r="329" spans="51:52" x14ac:dyDescent="0.3">
      <c r="AY329">
        <v>1626</v>
      </c>
      <c r="AZ329">
        <f t="shared" si="32"/>
        <v>4.1198748935076628E-3</v>
      </c>
    </row>
    <row r="330" spans="51:52" x14ac:dyDescent="0.3">
      <c r="AY330">
        <v>1631</v>
      </c>
      <c r="AZ330">
        <f t="shared" si="32"/>
        <v>4.107249258069723E-3</v>
      </c>
    </row>
    <row r="331" spans="51:52" x14ac:dyDescent="0.3">
      <c r="AY331">
        <v>1636</v>
      </c>
      <c r="AZ331">
        <f t="shared" si="32"/>
        <v>4.0947007561861395E-3</v>
      </c>
    </row>
    <row r="332" spans="51:52" x14ac:dyDescent="0.3">
      <c r="AY332">
        <v>1641</v>
      </c>
      <c r="AZ332">
        <f t="shared" si="32"/>
        <v>4.0822286832975256E-3</v>
      </c>
    </row>
    <row r="333" spans="51:52" x14ac:dyDescent="0.3">
      <c r="AY333">
        <v>1646</v>
      </c>
      <c r="AZ333">
        <f t="shared" si="32"/>
        <v>4.0698323433976426E-3</v>
      </c>
    </row>
    <row r="334" spans="51:52" x14ac:dyDescent="0.3">
      <c r="AY334">
        <v>1651</v>
      </c>
      <c r="AZ334">
        <f t="shared" si="32"/>
        <v>4.0575110489040316E-3</v>
      </c>
    </row>
    <row r="335" spans="51:52" x14ac:dyDescent="0.3">
      <c r="AY335">
        <v>1656</v>
      </c>
      <c r="AZ335">
        <f t="shared" si="32"/>
        <v>4.0452641205309774E-3</v>
      </c>
    </row>
    <row r="336" spans="51:52" x14ac:dyDescent="0.3">
      <c r="AY336">
        <v>1661</v>
      </c>
      <c r="AZ336">
        <f t="shared" si="32"/>
        <v>4.0330908871647675E-3</v>
      </c>
    </row>
    <row r="337" spans="51:52" x14ac:dyDescent="0.3">
      <c r="AY337">
        <v>1666</v>
      </c>
      <c r="AZ337">
        <f t="shared" si="32"/>
        <v>4.0209906857411985E-3</v>
      </c>
    </row>
    <row r="338" spans="51:52" x14ac:dyDescent="0.3">
      <c r="AY338">
        <v>1671</v>
      </c>
      <c r="AZ338">
        <f t="shared" si="32"/>
        <v>4.0089628611252714E-3</v>
      </c>
    </row>
    <row r="339" spans="51:52" x14ac:dyDescent="0.3">
      <c r="AY339">
        <v>1676</v>
      </c>
      <c r="AZ339">
        <f t="shared" si="32"/>
        <v>3.997006765993045E-3</v>
      </c>
    </row>
    <row r="340" spans="51:52" x14ac:dyDescent="0.3">
      <c r="AY340">
        <v>1681</v>
      </c>
      <c r="AZ340">
        <f t="shared" si="32"/>
        <v>3.9851217607155855E-3</v>
      </c>
    </row>
    <row r="341" spans="51:52" x14ac:dyDescent="0.3">
      <c r="AY341">
        <v>1686</v>
      </c>
      <c r="AZ341">
        <f t="shared" si="32"/>
        <v>3.9733072132449943E-3</v>
      </c>
    </row>
    <row r="342" spans="51:52" x14ac:dyDescent="0.3">
      <c r="AY342">
        <v>1691</v>
      </c>
      <c r="AZ342">
        <f t="shared" si="32"/>
        <v>3.9615624990024358E-3</v>
      </c>
    </row>
    <row r="343" spans="51:52" x14ac:dyDescent="0.3">
      <c r="AY343">
        <v>1696</v>
      </c>
      <c r="AZ343">
        <f t="shared" si="32"/>
        <v>3.9498870007681581E-3</v>
      </c>
    </row>
    <row r="344" spans="51:52" x14ac:dyDescent="0.3">
      <c r="AY344">
        <v>1701</v>
      </c>
      <c r="AZ344">
        <f t="shared" si="32"/>
        <v>3.938280108573446E-3</v>
      </c>
    </row>
    <row r="345" spans="51:52" x14ac:dyDescent="0.3">
      <c r="AY345">
        <v>1706</v>
      </c>
      <c r="AZ345">
        <f t="shared" si="32"/>
        <v>3.926741219594472E-3</v>
      </c>
    </row>
    <row r="346" spans="51:52" x14ac:dyDescent="0.3">
      <c r="AY346">
        <v>1711</v>
      </c>
      <c r="AZ346">
        <f t="shared" si="32"/>
        <v>3.9152697380480019E-3</v>
      </c>
    </row>
    <row r="347" spans="51:52" x14ac:dyDescent="0.3">
      <c r="AY347">
        <v>1716</v>
      </c>
      <c r="AZ347">
        <f t="shared" si="32"/>
        <v>3.9038650750889315E-3</v>
      </c>
    </row>
    <row r="348" spans="51:52" x14ac:dyDescent="0.3">
      <c r="AY348">
        <v>1721</v>
      </c>
      <c r="AZ348">
        <f t="shared" si="32"/>
        <v>3.8925266487095981E-3</v>
      </c>
    </row>
    <row r="349" spans="51:52" x14ac:dyDescent="0.3">
      <c r="AY349">
        <v>1726</v>
      </c>
      <c r="AZ349">
        <f t="shared" si="32"/>
        <v>3.8812538836408431E-3</v>
      </c>
    </row>
    <row r="350" spans="51:52" x14ac:dyDescent="0.3">
      <c r="AY350">
        <v>1731</v>
      </c>
      <c r="AZ350">
        <f t="shared" si="32"/>
        <v>3.8700462112547887E-3</v>
      </c>
    </row>
    <row r="351" spans="51:52" x14ac:dyDescent="0.3">
      <c r="AY351">
        <v>1736</v>
      </c>
      <c r="AZ351">
        <f t="shared" si="32"/>
        <v>3.8589030694692918E-3</v>
      </c>
    </row>
    <row r="352" spans="51:52" x14ac:dyDescent="0.3">
      <c r="AY352">
        <v>1741</v>
      </c>
      <c r="AZ352">
        <f t="shared" si="32"/>
        <v>3.8478239026540411E-3</v>
      </c>
    </row>
    <row r="353" spans="51:52" x14ac:dyDescent="0.3">
      <c r="AY353">
        <v>1746</v>
      </c>
      <c r="AZ353">
        <f t="shared" si="32"/>
        <v>3.8368081615382677E-3</v>
      </c>
    </row>
    <row r="354" spans="51:52" x14ac:dyDescent="0.3">
      <c r="AY354">
        <v>1751</v>
      </c>
      <c r="AZ354">
        <f t="shared" si="32"/>
        <v>3.8258553031200329E-3</v>
      </c>
    </row>
    <row r="355" spans="51:52" x14ac:dyDescent="0.3">
      <c r="AY355">
        <v>1756</v>
      </c>
      <c r="AZ355">
        <f t="shared" si="32"/>
        <v>3.8149647905770675E-3</v>
      </c>
    </row>
    <row r="356" spans="51:52" x14ac:dyDescent="0.3">
      <c r="AY356">
        <v>1761</v>
      </c>
      <c r="AZ356">
        <f t="shared" si="32"/>
        <v>3.8041360931791238E-3</v>
      </c>
    </row>
    <row r="357" spans="51:52" x14ac:dyDescent="0.3">
      <c r="AY357">
        <v>1766</v>
      </c>
      <c r="AZ357">
        <f t="shared" si="32"/>
        <v>3.7933686862018194E-3</v>
      </c>
    </row>
    <row r="358" spans="51:52" x14ac:dyDescent="0.3">
      <c r="AY358">
        <v>1771</v>
      </c>
      <c r="AZ358">
        <f t="shared" si="32"/>
        <v>3.7826620508419348E-3</v>
      </c>
    </row>
    <row r="359" spans="51:52" x14ac:dyDescent="0.3">
      <c r="AY359">
        <v>1776</v>
      </c>
      <c r="AZ359">
        <f t="shared" si="32"/>
        <v>3.7720156741341427E-3</v>
      </c>
    </row>
    <row r="360" spans="51:52" x14ac:dyDescent="0.3">
      <c r="AY360">
        <v>1781</v>
      </c>
      <c r="AZ360">
        <f t="shared" si="32"/>
        <v>3.7614290488691376E-3</v>
      </c>
    </row>
    <row r="361" spans="51:52" x14ac:dyDescent="0.3">
      <c r="AY361">
        <v>1786</v>
      </c>
      <c r="AZ361">
        <f t="shared" si="32"/>
        <v>3.7509016735131386E-3</v>
      </c>
    </row>
    <row r="362" spans="51:52" x14ac:dyDescent="0.3">
      <c r="AY362">
        <v>1791</v>
      </c>
      <c r="AZ362">
        <f t="shared" si="32"/>
        <v>3.7404330521287415E-3</v>
      </c>
    </row>
    <row r="363" spans="51:52" x14ac:dyDescent="0.3">
      <c r="AY363">
        <v>1796</v>
      </c>
      <c r="AZ363">
        <f t="shared" si="32"/>
        <v>3.7300226942970872E-3</v>
      </c>
    </row>
    <row r="364" spans="51:52" x14ac:dyDescent="0.3">
      <c r="AY364">
        <v>1801</v>
      </c>
      <c r="AZ364">
        <f t="shared" si="32"/>
        <v>3.7196701150413298E-3</v>
      </c>
    </row>
    <row r="365" spans="51:52" x14ac:dyDescent="0.3">
      <c r="AY365">
        <v>1806</v>
      </c>
      <c r="AZ365">
        <f t="shared" si="32"/>
        <v>3.7093748347513701E-3</v>
      </c>
    </row>
    <row r="366" spans="51:52" x14ac:dyDescent="0.3">
      <c r="AY366">
        <v>1811</v>
      </c>
      <c r="AZ366">
        <f t="shared" si="32"/>
        <v>3.6991363791098399E-3</v>
      </c>
    </row>
    <row r="367" spans="51:52" x14ac:dyDescent="0.3">
      <c r="AY367">
        <v>1816</v>
      </c>
      <c r="AZ367">
        <f t="shared" si="32"/>
        <v>3.688954279019302E-3</v>
      </c>
    </row>
    <row r="368" spans="51:52" x14ac:dyDescent="0.3">
      <c r="AY368">
        <v>1821</v>
      </c>
      <c r="AZ368">
        <f t="shared" si="32"/>
        <v>3.6788280705306524E-3</v>
      </c>
    </row>
    <row r="369" spans="51:52" x14ac:dyDescent="0.3">
      <c r="AY369">
        <v>1826</v>
      </c>
      <c r="AZ369">
        <f t="shared" si="32"/>
        <v>3.6687572947726971E-3</v>
      </c>
    </row>
    <row r="370" spans="51:52" x14ac:dyDescent="0.3">
      <c r="AY370">
        <v>1831</v>
      </c>
      <c r="AZ370">
        <f t="shared" si="32"/>
        <v>3.6587414978828791E-3</v>
      </c>
    </row>
    <row r="371" spans="51:52" x14ac:dyDescent="0.3">
      <c r="AY371">
        <v>1836</v>
      </c>
      <c r="AZ371">
        <f t="shared" si="32"/>
        <v>3.6487802309391375E-3</v>
      </c>
    </row>
    <row r="372" spans="51:52" x14ac:dyDescent="0.3">
      <c r="AY372">
        <v>1841</v>
      </c>
      <c r="AZ372">
        <f t="shared" si="32"/>
        <v>3.6388730498928784E-3</v>
      </c>
    </row>
    <row r="373" spans="51:52" x14ac:dyDescent="0.3">
      <c r="AY373">
        <v>1846</v>
      </c>
      <c r="AZ373">
        <f t="shared" si="32"/>
        <v>3.6290195155030285E-3</v>
      </c>
    </row>
    <row r="374" spans="51:52" x14ac:dyDescent="0.3">
      <c r="AY374">
        <v>1851</v>
      </c>
      <c r="AZ374">
        <f t="shared" si="32"/>
        <v>3.6192191932711629E-3</v>
      </c>
    </row>
    <row r="375" spans="51:52" x14ac:dyDescent="0.3">
      <c r="AY375">
        <v>1856</v>
      </c>
      <c r="AZ375">
        <f t="shared" si="32"/>
        <v>3.609471653377674E-3</v>
      </c>
    </row>
    <row r="376" spans="51:52" x14ac:dyDescent="0.3">
      <c r="AY376">
        <v>1861</v>
      </c>
      <c r="AZ376">
        <f t="shared" si="32"/>
        <v>3.5997764706189733E-3</v>
      </c>
    </row>
    <row r="377" spans="51:52" x14ac:dyDescent="0.3">
      <c r="AY377">
        <v>1866</v>
      </c>
      <c r="AZ377">
        <f t="shared" si="32"/>
        <v>3.5901332243456993E-3</v>
      </c>
    </row>
    <row r="378" spans="51:52" x14ac:dyDescent="0.3">
      <c r="AY378">
        <v>1871</v>
      </c>
      <c r="AZ378">
        <f t="shared" si="32"/>
        <v>3.5805414984019165E-3</v>
      </c>
    </row>
    <row r="379" spans="51:52" x14ac:dyDescent="0.3">
      <c r="AY379">
        <v>1876</v>
      </c>
      <c r="AZ379">
        <f t="shared" si="32"/>
        <v>3.5710008810652841E-3</v>
      </c>
    </row>
    <row r="380" spans="51:52" x14ac:dyDescent="0.3">
      <c r="AY380">
        <v>1881</v>
      </c>
      <c r="AZ380">
        <f t="shared" si="32"/>
        <v>3.56151096498818E-3</v>
      </c>
    </row>
    <row r="381" spans="51:52" x14ac:dyDescent="0.3">
      <c r="AY381">
        <v>1886</v>
      </c>
      <c r="AZ381">
        <f t="shared" si="32"/>
        <v>3.5520713471397583E-3</v>
      </c>
    </row>
    <row r="382" spans="51:52" x14ac:dyDescent="0.3">
      <c r="AY382">
        <v>1891</v>
      </c>
      <c r="AZ382">
        <f t="shared" si="32"/>
        <v>3.5426816287489264E-3</v>
      </c>
    </row>
    <row r="383" spans="51:52" x14ac:dyDescent="0.3">
      <c r="AY383">
        <v>1896</v>
      </c>
      <c r="AZ383">
        <f t="shared" si="32"/>
        <v>3.5333414152482253E-3</v>
      </c>
    </row>
    <row r="384" spans="51:52" x14ac:dyDescent="0.3">
      <c r="AY384">
        <v>1901</v>
      </c>
      <c r="AZ384">
        <f t="shared" si="32"/>
        <v>3.524050316218589E-3</v>
      </c>
    </row>
    <row r="385" spans="51:52" x14ac:dyDescent="0.3">
      <c r="AY385">
        <v>1906</v>
      </c>
      <c r="AZ385">
        <f t="shared" si="32"/>
        <v>3.51480794533498E-3</v>
      </c>
    </row>
    <row r="386" spans="51:52" x14ac:dyDescent="0.3">
      <c r="AY386">
        <v>1911</v>
      </c>
      <c r="AZ386">
        <f t="shared" si="32"/>
        <v>3.5056139203128714E-3</v>
      </c>
    </row>
    <row r="387" spans="51:52" x14ac:dyDescent="0.3">
      <c r="AY387">
        <v>1916</v>
      </c>
      <c r="AZ387">
        <f t="shared" si="32"/>
        <v>3.4964678628555683E-3</v>
      </c>
    </row>
    <row r="388" spans="51:52" x14ac:dyDescent="0.3">
      <c r="AY388">
        <v>1921</v>
      </c>
      <c r="AZ388">
        <f t="shared" si="32"/>
        <v>3.4873693986023522E-3</v>
      </c>
    </row>
    <row r="389" spans="51:52" x14ac:dyDescent="0.3">
      <c r="AY389">
        <v>1926</v>
      </c>
      <c r="AZ389">
        <f t="shared" ref="AZ389:AZ397" si="33">$AP$4/(AY389^$AP$7)-$AP$6/(AY389^$AP$5)</f>
        <v>3.4783181570774333E-3</v>
      </c>
    </row>
    <row r="390" spans="51:52" x14ac:dyDescent="0.3">
      <c r="AY390">
        <v>1931</v>
      </c>
      <c r="AZ390">
        <f t="shared" si="33"/>
        <v>3.4693137716396874E-3</v>
      </c>
    </row>
    <row r="391" spans="51:52" x14ac:dyDescent="0.3">
      <c r="AY391">
        <v>1936</v>
      </c>
      <c r="AZ391">
        <f t="shared" si="33"/>
        <v>3.4603558794331821E-3</v>
      </c>
    </row>
    <row r="392" spans="51:52" x14ac:dyDescent="0.3">
      <c r="AY392">
        <v>1941</v>
      </c>
      <c r="AZ392">
        <f t="shared" si="33"/>
        <v>3.4514441213384615E-3</v>
      </c>
    </row>
    <row r="393" spans="51:52" x14ac:dyDescent="0.3">
      <c r="AY393">
        <v>1946</v>
      </c>
      <c r="AZ393">
        <f t="shared" si="33"/>
        <v>3.4425781419245775E-3</v>
      </c>
    </row>
    <row r="394" spans="51:52" x14ac:dyDescent="0.3">
      <c r="AY394">
        <v>1951</v>
      </c>
      <c r="AZ394">
        <f t="shared" si="33"/>
        <v>3.4337575894018649E-3</v>
      </c>
    </row>
    <row r="395" spans="51:52" x14ac:dyDescent="0.3">
      <c r="AY395">
        <v>1956</v>
      </c>
      <c r="AZ395">
        <f t="shared" si="33"/>
        <v>3.4249821155754368E-3</v>
      </c>
    </row>
    <row r="396" spans="51:52" x14ac:dyDescent="0.3">
      <c r="AY396">
        <v>1961</v>
      </c>
      <c r="AZ396">
        <f t="shared" si="33"/>
        <v>3.4162513757993902E-3</v>
      </c>
    </row>
    <row r="397" spans="51:52" x14ac:dyDescent="0.3">
      <c r="AY397">
        <v>1966</v>
      </c>
      <c r="AZ397">
        <f t="shared" si="33"/>
        <v>3.4075650289317116E-3</v>
      </c>
    </row>
  </sheetData>
  <mergeCells count="7">
    <mergeCell ref="S37:U37"/>
    <mergeCell ref="V37:X37"/>
    <mergeCell ref="C38:D38"/>
    <mergeCell ref="F37:H37"/>
    <mergeCell ref="I37:K37"/>
    <mergeCell ref="L37:O37"/>
    <mergeCell ref="P37:R37"/>
  </mergeCells>
  <pageMargins left="0.7" right="0.7" top="0.75" bottom="0.75" header="0.3" footer="0.3"/>
  <ignoredErrors>
    <ignoredError sqref="AL33" evalError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418C-F371-4BA8-B56E-973B9CC3BFD5}">
  <dimension ref="B1:CE146"/>
  <sheetViews>
    <sheetView topLeftCell="V1" workbookViewId="0">
      <selection activeCell="AF18" sqref="AF18"/>
    </sheetView>
  </sheetViews>
  <sheetFormatPr defaultRowHeight="14.4" x14ac:dyDescent="0.3"/>
  <cols>
    <col min="34" max="40" width="2.6640625" customWidth="1"/>
  </cols>
  <sheetData>
    <row r="1" spans="2:83" x14ac:dyDescent="0.3">
      <c r="CA1" t="s">
        <v>263</v>
      </c>
      <c r="CB1" t="s">
        <v>265</v>
      </c>
      <c r="CC1" t="s">
        <v>264</v>
      </c>
    </row>
    <row r="2" spans="2:83" ht="28.8" x14ac:dyDescent="0.3">
      <c r="D2" t="s">
        <v>135</v>
      </c>
      <c r="E2" t="s">
        <v>136</v>
      </c>
      <c r="G2" t="s">
        <v>46</v>
      </c>
      <c r="H2" t="s">
        <v>70</v>
      </c>
      <c r="I2" t="s">
        <v>17</v>
      </c>
      <c r="J2" t="s">
        <v>5</v>
      </c>
      <c r="K2" t="s">
        <v>17</v>
      </c>
      <c r="M2" t="s">
        <v>46</v>
      </c>
      <c r="N2" t="s">
        <v>70</v>
      </c>
      <c r="O2" t="s">
        <v>17</v>
      </c>
      <c r="P2" t="s">
        <v>5</v>
      </c>
      <c r="Q2" t="s">
        <v>17</v>
      </c>
      <c r="S2" t="s">
        <v>148</v>
      </c>
      <c r="T2" t="s">
        <v>17</v>
      </c>
      <c r="U2" t="s">
        <v>149</v>
      </c>
      <c r="V2" t="s">
        <v>17</v>
      </c>
      <c r="X2" t="s">
        <v>150</v>
      </c>
      <c r="Y2" t="s">
        <v>17</v>
      </c>
      <c r="Z2" t="s">
        <v>151</v>
      </c>
      <c r="AA2" t="s">
        <v>17</v>
      </c>
      <c r="AC2" t="s">
        <v>177</v>
      </c>
      <c r="AD2" t="s">
        <v>17</v>
      </c>
      <c r="AH2" s="13"/>
      <c r="AI2" s="13"/>
      <c r="AJ2" s="13"/>
      <c r="AK2" s="13"/>
      <c r="AL2" s="13"/>
      <c r="AM2" s="13"/>
      <c r="AN2" s="13"/>
      <c r="BD2" s="1" t="s">
        <v>202</v>
      </c>
      <c r="BE2">
        <v>40</v>
      </c>
      <c r="BF2">
        <v>39</v>
      </c>
      <c r="BG2">
        <v>44</v>
      </c>
      <c r="BH2">
        <v>50</v>
      </c>
      <c r="BI2">
        <v>65</v>
      </c>
      <c r="BJ2">
        <v>75</v>
      </c>
      <c r="BN2" t="s">
        <v>184</v>
      </c>
      <c r="BP2" t="s">
        <v>203</v>
      </c>
      <c r="BQ2">
        <v>2250</v>
      </c>
      <c r="BR2">
        <v>2</v>
      </c>
      <c r="BZ2" t="s">
        <v>251</v>
      </c>
      <c r="CB2" t="s">
        <v>250</v>
      </c>
      <c r="CC2" t="s">
        <v>255</v>
      </c>
      <c r="CD2" t="s">
        <v>256</v>
      </c>
      <c r="CE2" t="s">
        <v>262</v>
      </c>
    </row>
    <row r="3" spans="2:83" x14ac:dyDescent="0.3">
      <c r="AG3" s="9"/>
      <c r="AH3" s="14"/>
      <c r="AI3" s="13">
        <v>0</v>
      </c>
      <c r="AJ3" s="13">
        <v>10</v>
      </c>
      <c r="AK3" s="13">
        <v>20</v>
      </c>
      <c r="AL3" s="13">
        <v>30</v>
      </c>
      <c r="AM3" s="13">
        <v>40</v>
      </c>
      <c r="AN3" s="15">
        <v>50</v>
      </c>
      <c r="BW3" t="s">
        <v>253</v>
      </c>
      <c r="BX3" t="s">
        <v>254</v>
      </c>
    </row>
    <row r="4" spans="2:83" x14ac:dyDescent="0.3">
      <c r="B4" t="s">
        <v>137</v>
      </c>
      <c r="D4">
        <v>20</v>
      </c>
      <c r="E4">
        <v>0</v>
      </c>
      <c r="G4">
        <v>1177.2259999999901</v>
      </c>
      <c r="H4">
        <v>1.44399999999999</v>
      </c>
      <c r="I4" s="17">
        <f>H4*$H$44</f>
        <v>6.6541211860741661E-2</v>
      </c>
      <c r="J4">
        <v>0.78634040239260405</v>
      </c>
      <c r="K4">
        <v>5.0000000000000001E-4</v>
      </c>
      <c r="M4">
        <v>1337.0019999999899</v>
      </c>
      <c r="N4">
        <v>1.5229999999999999</v>
      </c>
      <c r="O4" s="17">
        <f>N4*$H$44</f>
        <v>7.0181624420990477E-2</v>
      </c>
      <c r="P4">
        <v>0.67481076672104401</v>
      </c>
      <c r="Q4">
        <v>5.0000000000000001E-4</v>
      </c>
      <c r="S4">
        <f>J4*H4*SQRT(2*PI())</f>
        <v>2.8462150963601767</v>
      </c>
      <c r="T4" s="17">
        <f>S4*SQRT((K4/J4)^2+(I4/H4)^2)</f>
        <v>0.13116941208930399</v>
      </c>
      <c r="U4">
        <f>P4*N4*SQRT(2*PI())</f>
        <v>2.5761541160340222</v>
      </c>
      <c r="V4" s="17">
        <f>U4*SQRT((Q4/P4)^2+(O4/N4)^2)</f>
        <v>0.11872754499237539</v>
      </c>
      <c r="X4">
        <f>S4/$S$4</f>
        <v>1</v>
      </c>
      <c r="Y4">
        <f>X4*SQRT((T4/S4)^2+($T$4/$S$4)^2)</f>
        <v>6.5174821742188055E-2</v>
      </c>
      <c r="Z4">
        <f>U4/$U$4</f>
        <v>1</v>
      </c>
      <c r="AA4">
        <f>Z4*SQRT((V4/U4)^2+($V$4/$U$4)^2)</f>
        <v>6.5177041742351116E-2</v>
      </c>
      <c r="AC4">
        <f>AVERAGE(X4,Z4)</f>
        <v>1</v>
      </c>
      <c r="AD4">
        <f>SQRT(Y4^2+AA4^2)/2</f>
        <v>4.608634331179403E-2</v>
      </c>
      <c r="AG4" s="9"/>
      <c r="AH4" s="9">
        <v>1</v>
      </c>
      <c r="AI4">
        <f t="shared" ref="AI4:AI9" si="0">AC4</f>
        <v>1</v>
      </c>
      <c r="AJ4" s="16">
        <f>AC10</f>
        <v>0.99365078195142897</v>
      </c>
      <c r="AK4">
        <f>AC16</f>
        <v>0.86545743622190296</v>
      </c>
      <c r="AL4">
        <f>AC22</f>
        <v>0.70503217638844595</v>
      </c>
      <c r="AM4">
        <f>AC28</f>
        <v>0.54664707888171793</v>
      </c>
      <c r="AN4" s="9">
        <f>AC34</f>
        <v>0.44214187761880441</v>
      </c>
      <c r="BD4" t="s">
        <v>59</v>
      </c>
      <c r="BE4" t="s">
        <v>185</v>
      </c>
      <c r="BF4" t="s">
        <v>186</v>
      </c>
      <c r="BG4" t="s">
        <v>187</v>
      </c>
      <c r="BH4" t="s">
        <v>188</v>
      </c>
      <c r="BI4" t="s">
        <v>189</v>
      </c>
      <c r="BJ4" t="s">
        <v>190</v>
      </c>
      <c r="BN4" t="s">
        <v>59</v>
      </c>
      <c r="BO4" t="s">
        <v>196</v>
      </c>
      <c r="BP4" t="s">
        <v>197</v>
      </c>
      <c r="BQ4" t="s">
        <v>198</v>
      </c>
      <c r="BR4" t="s">
        <v>199</v>
      </c>
      <c r="BS4" t="s">
        <v>200</v>
      </c>
      <c r="BT4" t="s">
        <v>201</v>
      </c>
      <c r="BV4" t="s">
        <v>134</v>
      </c>
      <c r="BW4">
        <v>28.5</v>
      </c>
      <c r="BX4">
        <f>BW4/25.4</f>
        <v>1.1220472440944882</v>
      </c>
      <c r="BZ4">
        <v>0</v>
      </c>
      <c r="CE4">
        <f>IF(BZ4&lt;=1,CB4,CC4-CD4+CB4)</f>
        <v>0</v>
      </c>
    </row>
    <row r="5" spans="2:83" x14ac:dyDescent="0.3">
      <c r="B5" t="s">
        <v>143</v>
      </c>
      <c r="D5">
        <v>30</v>
      </c>
      <c r="E5">
        <v>0</v>
      </c>
      <c r="G5">
        <v>1177.2449999999899</v>
      </c>
      <c r="H5">
        <v>1.43599999999999</v>
      </c>
      <c r="I5" s="17">
        <f t="shared" ref="I5:I39" si="1">H5*$H$44</f>
        <v>6.6172562487551961E-2</v>
      </c>
      <c r="J5">
        <v>0.56116247139588105</v>
      </c>
      <c r="K5">
        <v>5.0000000000000001E-4</v>
      </c>
      <c r="M5">
        <v>1337.0059999999901</v>
      </c>
      <c r="N5">
        <v>1.5029999999999899</v>
      </c>
      <c r="O5" s="17">
        <f t="shared" ref="O5:O39" si="2">N5*$H$44</f>
        <v>6.9260000988015755E-2</v>
      </c>
      <c r="P5">
        <v>0.49673913043478302</v>
      </c>
      <c r="Q5">
        <v>5.0000000000000001E-4</v>
      </c>
      <c r="S5">
        <f t="shared" ref="S5:S39" si="3">J5*H5*SQRT(2*PI())</f>
        <v>2.0199145302764596</v>
      </c>
      <c r="T5" s="17">
        <f t="shared" ref="T5:T39" si="4">S5*SQRT((K5/J5)^2+(I5/H5)^2)</f>
        <v>9.3097426279232454E-2</v>
      </c>
      <c r="U5">
        <f t="shared" ref="U5:U39" si="5">P5*N5*SQRT(2*PI())</f>
        <v>1.871445945243543</v>
      </c>
      <c r="V5" s="17">
        <f t="shared" ref="V5:V39" si="6">U5*SQRT((Q5/P5)^2+(O5/N5)^2)</f>
        <v>8.6258992826649949E-2</v>
      </c>
      <c r="X5">
        <f t="shared" ref="X5:X39" si="7">S5/$S$4</f>
        <v>0.70968442717473657</v>
      </c>
      <c r="Y5">
        <f t="shared" ref="Y5:Y39" si="8">X5*SQRT((T5/S5)^2+($T$4/$S$4)^2)</f>
        <v>4.6255677043676328E-2</v>
      </c>
      <c r="Z5">
        <f t="shared" ref="Z5:Z39" si="9">U5/$U$4</f>
        <v>0.72644952939563479</v>
      </c>
      <c r="AA5">
        <f t="shared" ref="AA5:AA39" si="10">Z5*SQRT((V5/U5)^2+($V$4/$U$4)^2)</f>
        <v>4.7350417987293038E-2</v>
      </c>
      <c r="AC5">
        <f t="shared" ref="AC5:AC39" si="11">AVERAGE(X5,Z5)</f>
        <v>0.71806697828518562</v>
      </c>
      <c r="AD5">
        <f t="shared" ref="AD5:AD39" si="12">SQRT(Y5^2+AA5^2)/2</f>
        <v>3.3097015508729219E-2</v>
      </c>
      <c r="AG5" s="9"/>
      <c r="AH5" s="9">
        <v>2</v>
      </c>
      <c r="AI5">
        <f t="shared" si="0"/>
        <v>0.71806697828518562</v>
      </c>
      <c r="AJ5" s="17">
        <f t="shared" ref="AJ5:AJ9" si="13">AC11</f>
        <v>0.70165986852838202</v>
      </c>
      <c r="AK5">
        <f t="shared" ref="AK5:AK9" si="14">AC17</f>
        <v>0.59949588856050195</v>
      </c>
      <c r="AL5">
        <f t="shared" ref="AL5:AL9" si="15">AC23</f>
        <v>0.54081044333582429</v>
      </c>
      <c r="AM5">
        <f t="shared" ref="AM5:AM9" si="16">AC29</f>
        <v>0.4664003212356439</v>
      </c>
      <c r="AN5" s="9">
        <f t="shared" ref="AN5:AN9" si="17">AC35</f>
        <v>0.38768446031241105</v>
      </c>
      <c r="BV5" t="s">
        <v>133</v>
      </c>
      <c r="BW5">
        <v>20</v>
      </c>
      <c r="BX5">
        <f t="shared" ref="BX5:BX8" si="18">BW5/25.4</f>
        <v>0.78740157480314965</v>
      </c>
      <c r="BZ5">
        <v>0.1</v>
      </c>
      <c r="CE5">
        <f t="shared" ref="CE5:CE45" si="19">IF(BZ5&lt;=1,CB5,CC5-CD5+CB5)</f>
        <v>0</v>
      </c>
    </row>
    <row r="6" spans="2:83" x14ac:dyDescent="0.3">
      <c r="B6" t="s">
        <v>144</v>
      </c>
      <c r="D6">
        <v>40</v>
      </c>
      <c r="E6">
        <v>0</v>
      </c>
      <c r="G6">
        <v>1177.21299999999</v>
      </c>
      <c r="H6">
        <v>1.39</v>
      </c>
      <c r="I6" s="17">
        <f t="shared" si="1"/>
        <v>6.4052828591711602E-2</v>
      </c>
      <c r="J6">
        <v>0.428180722891565</v>
      </c>
      <c r="K6">
        <v>5.0000000000000001E-4</v>
      </c>
      <c r="M6">
        <v>1336.99799999999</v>
      </c>
      <c r="N6">
        <v>1.45</v>
      </c>
      <c r="O6" s="17">
        <f t="shared" si="2"/>
        <v>6.6817698890634408E-2</v>
      </c>
      <c r="P6">
        <v>0.37671631982475301</v>
      </c>
      <c r="Q6">
        <v>5.0000000000000001E-4</v>
      </c>
      <c r="S6">
        <f t="shared" si="3"/>
        <v>1.4918729702461937</v>
      </c>
      <c r="T6" s="17">
        <f t="shared" si="4"/>
        <v>6.8769324017834685E-2</v>
      </c>
      <c r="U6">
        <f t="shared" si="5"/>
        <v>1.3692172792421078</v>
      </c>
      <c r="V6" s="17">
        <f t="shared" si="6"/>
        <v>6.3121302627056688E-2</v>
      </c>
      <c r="X6">
        <f t="shared" si="7"/>
        <v>0.52416030403114811</v>
      </c>
      <c r="Y6">
        <f t="shared" si="8"/>
        <v>3.4165911614876886E-2</v>
      </c>
      <c r="Z6">
        <f t="shared" si="9"/>
        <v>0.53149664871370805</v>
      </c>
      <c r="AA6">
        <f t="shared" si="10"/>
        <v>3.4646323121633016E-2</v>
      </c>
      <c r="AC6">
        <f t="shared" si="11"/>
        <v>0.52782847637242813</v>
      </c>
      <c r="AD6">
        <f t="shared" si="12"/>
        <v>2.4329391804585775E-2</v>
      </c>
      <c r="AG6" s="9"/>
      <c r="AH6" s="9">
        <v>3</v>
      </c>
      <c r="AI6">
        <f t="shared" si="0"/>
        <v>0.52782847637242813</v>
      </c>
      <c r="AJ6" s="17">
        <f t="shared" si="13"/>
        <v>0.5068085730221481</v>
      </c>
      <c r="AK6">
        <f t="shared" si="14"/>
        <v>0.49422366731400302</v>
      </c>
      <c r="AL6">
        <f t="shared" si="15"/>
        <v>0.41773244790339636</v>
      </c>
      <c r="AM6">
        <f t="shared" si="16"/>
        <v>0.37284255222895424</v>
      </c>
      <c r="AN6" s="9">
        <f t="shared" si="17"/>
        <v>0.31873458907078123</v>
      </c>
      <c r="BD6">
        <v>0</v>
      </c>
      <c r="BE6">
        <f>(1-($BD6/(SQRT($BD6^2+BE$2^2))))/(1-(20/(SQRT(20^2+BE$2^2))))</f>
        <v>1.8090169943749472</v>
      </c>
      <c r="BF6">
        <f>(1-($BD6/(SQRT($BD6^2+BF$2^2))))/(1-(20/(SQRT(20^2+BF$2^2))))*$AC$10</f>
        <v>1.8276277497891287</v>
      </c>
      <c r="BG6">
        <f>(1-($BD6/(SQRT($BD6^2+BG$2^2))))/(1-(20/(SQRT(20^2+BG$2^2))))*$AC$16</f>
        <v>1.4763933523858723</v>
      </c>
      <c r="BH6">
        <f>(1-($BD6/(SQRT($BD6^2+BH$2^2))))/(1-(20/(SQRT(20^2+BH$2^2))))*$AC$22</f>
        <v>1.1215744817453577</v>
      </c>
      <c r="BI6">
        <f>(1-($BD6/(SQRT($BD6^2+BI$2^2))))/(1-(20/(SQRT(20^2+BI$2^2))))*$AC$28</f>
        <v>0.77438181113314841</v>
      </c>
      <c r="BJ6">
        <f>(1-($BD6/(SQRT($BD6^2+BJ$2^2))))/(1-(20/(SQRT(20^2+BJ$2^2))))*$AC$34</f>
        <v>0.59560774889279466</v>
      </c>
      <c r="BN6">
        <v>0</v>
      </c>
      <c r="BO6" s="18">
        <f>EXP(-((BN6-$BR$2)^2)/$BQ$2)+(1-EXP(-((0-$BR$2)^2)/$BQ$2))</f>
        <v>1</v>
      </c>
      <c r="BV6" t="s">
        <v>252</v>
      </c>
      <c r="BW6">
        <v>30</v>
      </c>
      <c r="BX6">
        <f t="shared" si="18"/>
        <v>1.1811023622047245</v>
      </c>
      <c r="BZ6">
        <v>0.2</v>
      </c>
      <c r="CE6">
        <f t="shared" si="19"/>
        <v>0</v>
      </c>
    </row>
    <row r="7" spans="2:83" x14ac:dyDescent="0.3">
      <c r="B7" t="s">
        <v>145</v>
      </c>
      <c r="D7">
        <v>50</v>
      </c>
      <c r="E7">
        <v>0</v>
      </c>
      <c r="G7">
        <v>1177.20099999999</v>
      </c>
      <c r="H7">
        <v>1.45999999999999</v>
      </c>
      <c r="I7" s="17">
        <f t="shared" si="1"/>
        <v>6.7278510607121075E-2</v>
      </c>
      <c r="J7">
        <v>0.31879544191217202</v>
      </c>
      <c r="K7">
        <v>5.0000000000000001E-4</v>
      </c>
      <c r="M7">
        <v>1336.9469999999901</v>
      </c>
      <c r="N7">
        <v>1.48999999999999</v>
      </c>
      <c r="O7" s="17">
        <f t="shared" si="2"/>
        <v>6.8660945756582478E-2</v>
      </c>
      <c r="P7">
        <v>0.27712229016119899</v>
      </c>
      <c r="Q7">
        <v>5.0000000000000001E-4</v>
      </c>
      <c r="S7">
        <f t="shared" si="3"/>
        <v>1.166688436039973</v>
      </c>
      <c r="T7" s="17">
        <f t="shared" si="4"/>
        <v>5.3793500966703829E-2</v>
      </c>
      <c r="U7">
        <f t="shared" si="5"/>
        <v>1.035017426392344</v>
      </c>
      <c r="V7" s="17">
        <f t="shared" si="6"/>
        <v>4.7731360426356784E-2</v>
      </c>
      <c r="X7">
        <f t="shared" si="7"/>
        <v>0.40990873723211163</v>
      </c>
      <c r="Y7">
        <f t="shared" si="8"/>
        <v>2.6722192241406185E-2</v>
      </c>
      <c r="Z7">
        <f t="shared" si="9"/>
        <v>0.40176844232663717</v>
      </c>
      <c r="AA7">
        <f t="shared" si="10"/>
        <v>2.6194418507008883E-2</v>
      </c>
      <c r="AC7">
        <f t="shared" si="11"/>
        <v>0.40583858977937437</v>
      </c>
      <c r="AD7">
        <f t="shared" si="12"/>
        <v>1.8709777651718624E-2</v>
      </c>
      <c r="AG7" s="9"/>
      <c r="AH7" s="9">
        <v>4</v>
      </c>
      <c r="AI7">
        <f t="shared" si="0"/>
        <v>0.40583858977937437</v>
      </c>
      <c r="AJ7" s="17">
        <f t="shared" si="13"/>
        <v>0.39357689622496628</v>
      </c>
      <c r="AK7">
        <f t="shared" si="14"/>
        <v>0.37249550485585214</v>
      </c>
      <c r="AL7">
        <f t="shared" si="15"/>
        <v>0.30124563378230274</v>
      </c>
      <c r="AM7">
        <f t="shared" si="16"/>
        <v>0.30962420073667818</v>
      </c>
      <c r="AN7" s="9">
        <f t="shared" si="17"/>
        <v>0.27308617929783618</v>
      </c>
      <c r="BD7">
        <v>0.5</v>
      </c>
      <c r="BE7">
        <f t="shared" ref="BE7:BE70" si="20">(1-($BD7/(SQRT($BD7^2+BE$2^2))))/(1-(20/(SQRT(20^2+BE$2^2))))</f>
        <v>1.7864060483564204</v>
      </c>
      <c r="BF7">
        <f t="shared" ref="BF7:BF70" si="21">(1-($BD7/(SQRT($BD7^2+BF$2^2))))/(1-(20/(SQRT(20^2+BF$2^2))))*$AC$10</f>
        <v>1.8041985501893454</v>
      </c>
      <c r="BG7">
        <f t="shared" ref="BG7:BG70" si="22">(1-($BD7/(SQRT($BD7^2+BG$2^2))))/(1-(20/(SQRT(20^2+BG$2^2))))*$AC$16</f>
        <v>1.4596172383332244</v>
      </c>
      <c r="BH7">
        <f t="shared" ref="BH7:BH70" si="23">(1-($BD7/(SQRT($BD7^2+BH$2^2))))/(1-(20/(SQRT(20^2+BH$2^2))))*$AC$22</f>
        <v>1.1103592976730896</v>
      </c>
      <c r="BI7">
        <f t="shared" ref="BI7:BI70" si="24">(1-($BD7/(SQRT($BD7^2+BI$2^2))))/(1-(20/(SQRT(20^2+BI$2^2))))*$AC$28</f>
        <v>0.76842520419895322</v>
      </c>
      <c r="BJ7">
        <f t="shared" ref="BJ7:BJ70" si="25">(1-($BD7/(SQRT($BD7^2+BJ$2^2))))/(1-(20/(SQRT(20^2+BJ$2^2))))*$AC$34</f>
        <v>0.59163711880208669</v>
      </c>
      <c r="BN7">
        <v>0.5</v>
      </c>
      <c r="BO7" s="18">
        <f t="shared" ref="BO7:BO70" si="26">EXP(-((BN7-$BR$2)^2)/$BQ$2)+(1-EXP(-((0-$BR$2)^2)/$BQ$2))</f>
        <v>1.0007766983002657</v>
      </c>
      <c r="BV7" t="s">
        <v>248</v>
      </c>
      <c r="BW7">
        <f>BW8+BW6</f>
        <v>50</v>
      </c>
      <c r="BX7">
        <f t="shared" si="18"/>
        <v>1.9685039370078741</v>
      </c>
      <c r="BZ7">
        <v>0.3</v>
      </c>
      <c r="CE7">
        <f t="shared" si="19"/>
        <v>0</v>
      </c>
    </row>
    <row r="8" spans="2:83" x14ac:dyDescent="0.3">
      <c r="B8" t="s">
        <v>146</v>
      </c>
      <c r="D8">
        <v>60</v>
      </c>
      <c r="E8">
        <v>0</v>
      </c>
      <c r="G8">
        <v>1177.2089999999901</v>
      </c>
      <c r="H8">
        <v>1.39699999999999</v>
      </c>
      <c r="I8" s="17">
        <f t="shared" si="1"/>
        <v>6.4375396793252146E-2</v>
      </c>
      <c r="J8">
        <v>0.25979359043997702</v>
      </c>
      <c r="K8">
        <v>5.0000000000000001E-4</v>
      </c>
      <c r="M8">
        <v>1336.9569999999901</v>
      </c>
      <c r="N8">
        <v>1.59</v>
      </c>
      <c r="O8" s="17">
        <f t="shared" si="2"/>
        <v>7.3269062921454284E-2</v>
      </c>
      <c r="P8">
        <v>0.20520152091254701</v>
      </c>
      <c r="Q8">
        <v>5.0000000000000001E-4</v>
      </c>
      <c r="S8">
        <f t="shared" si="3"/>
        <v>0.9097347252325525</v>
      </c>
      <c r="T8" s="17">
        <f t="shared" si="4"/>
        <v>4.1958189314985149E-2</v>
      </c>
      <c r="U8">
        <f t="shared" si="5"/>
        <v>0.81783865556351298</v>
      </c>
      <c r="V8" s="17">
        <f t="shared" si="6"/>
        <v>3.7739612420244456E-2</v>
      </c>
      <c r="X8">
        <f t="shared" si="7"/>
        <v>0.31962964654215625</v>
      </c>
      <c r="Y8">
        <f t="shared" si="8"/>
        <v>2.0839895062398504E-2</v>
      </c>
      <c r="Z8">
        <f t="shared" si="9"/>
        <v>0.31746495695784377</v>
      </c>
      <c r="AA8">
        <f t="shared" si="10"/>
        <v>2.0704544935782186E-2</v>
      </c>
      <c r="AC8">
        <f t="shared" si="11"/>
        <v>0.31854730175000001</v>
      </c>
      <c r="AD8">
        <f t="shared" si="12"/>
        <v>1.4688255573838621E-2</v>
      </c>
      <c r="AG8" s="9"/>
      <c r="AH8" s="9">
        <v>5</v>
      </c>
      <c r="AI8">
        <f t="shared" si="0"/>
        <v>0.31854730175000001</v>
      </c>
      <c r="AJ8" s="17">
        <f t="shared" si="13"/>
        <v>0.32355300631715522</v>
      </c>
      <c r="AK8">
        <f t="shared" si="14"/>
        <v>0.28503621349413133</v>
      </c>
      <c r="AL8">
        <f t="shared" si="15"/>
        <v>0.24361698849535818</v>
      </c>
      <c r="AM8">
        <f t="shared" si="16"/>
        <v>0.25102574755828494</v>
      </c>
      <c r="AN8" s="9">
        <f t="shared" si="17"/>
        <v>0.21406417471406591</v>
      </c>
      <c r="BD8">
        <v>1</v>
      </c>
      <c r="BE8">
        <f t="shared" si="20"/>
        <v>1.7638056958394723</v>
      </c>
      <c r="BF8">
        <f t="shared" si="21"/>
        <v>1.7807808972813961</v>
      </c>
      <c r="BG8">
        <f t="shared" si="22"/>
        <v>1.4428476205654039</v>
      </c>
      <c r="BH8">
        <f t="shared" si="23"/>
        <v>1.0991474770629366</v>
      </c>
      <c r="BI8">
        <f t="shared" si="24"/>
        <v>0.76246965444730208</v>
      </c>
      <c r="BJ8">
        <f t="shared" si="25"/>
        <v>0.58766701805226418</v>
      </c>
      <c r="BN8">
        <v>1</v>
      </c>
      <c r="BO8" s="18">
        <f t="shared" si="26"/>
        <v>1.0013318527732482</v>
      </c>
      <c r="BV8" t="s">
        <v>249</v>
      </c>
      <c r="BW8">
        <f>BW5</f>
        <v>20</v>
      </c>
      <c r="BX8">
        <f t="shared" si="18"/>
        <v>0.78740157480314965</v>
      </c>
      <c r="BZ8">
        <v>0.4</v>
      </c>
      <c r="CE8">
        <f t="shared" si="19"/>
        <v>0</v>
      </c>
    </row>
    <row r="9" spans="2:83" x14ac:dyDescent="0.3">
      <c r="B9" s="13" t="s">
        <v>147</v>
      </c>
      <c r="C9" s="13"/>
      <c r="D9" s="13">
        <v>70</v>
      </c>
      <c r="E9" s="13">
        <v>0</v>
      </c>
      <c r="F9" s="13"/>
      <c r="G9" s="13">
        <v>1177.3319999999901</v>
      </c>
      <c r="H9" s="13">
        <v>1.4099999999999899</v>
      </c>
      <c r="I9" s="13">
        <f t="shared" si="1"/>
        <v>6.4974452024685408E-2</v>
      </c>
      <c r="J9" s="13">
        <v>0.20827490473598201</v>
      </c>
      <c r="K9" s="13">
        <v>5.0000000000000001E-4</v>
      </c>
      <c r="L9" s="13"/>
      <c r="M9" s="13">
        <v>1337.1119999999901</v>
      </c>
      <c r="N9" s="13">
        <v>1.3099999999999901</v>
      </c>
      <c r="O9" s="13">
        <f t="shared" si="2"/>
        <v>6.0366334859814075E-2</v>
      </c>
      <c r="P9" s="13">
        <v>0.18873652694610801</v>
      </c>
      <c r="Q9" s="13">
        <v>5.0000000000000001E-4</v>
      </c>
      <c r="R9" s="13"/>
      <c r="S9" s="13">
        <f t="shared" si="3"/>
        <v>0.73611554880127439</v>
      </c>
      <c r="T9" s="13">
        <f t="shared" si="4"/>
        <v>3.3967067634978053E-2</v>
      </c>
      <c r="U9" s="13">
        <f t="shared" si="5"/>
        <v>0.619750932517384</v>
      </c>
      <c r="V9" s="13">
        <f t="shared" si="6"/>
        <v>2.8606004711209672E-2</v>
      </c>
      <c r="W9" s="13"/>
      <c r="X9" s="13">
        <f t="shared" si="7"/>
        <v>0.25862962702384668</v>
      </c>
      <c r="Y9" s="13">
        <f t="shared" si="8"/>
        <v>1.6866769235870743E-2</v>
      </c>
      <c r="Z9" s="13">
        <f t="shared" si="9"/>
        <v>0.24057214925925618</v>
      </c>
      <c r="AA9" s="13">
        <f t="shared" si="10"/>
        <v>1.5691715625520086E-2</v>
      </c>
      <c r="AB9" s="13"/>
      <c r="AC9" s="13">
        <f t="shared" si="11"/>
        <v>0.24960088814155143</v>
      </c>
      <c r="AD9" s="13">
        <f t="shared" si="12"/>
        <v>1.1518657080236252E-2</v>
      </c>
      <c r="AG9" s="9"/>
      <c r="AH9" s="14">
        <v>6</v>
      </c>
      <c r="AI9" s="13">
        <f t="shared" si="0"/>
        <v>0.24960088814155143</v>
      </c>
      <c r="AJ9" s="13">
        <f t="shared" si="13"/>
        <v>0.2553182285268788</v>
      </c>
      <c r="AK9" s="13">
        <f t="shared" si="14"/>
        <v>0.24140271476833933</v>
      </c>
      <c r="AL9" s="13">
        <f t="shared" si="15"/>
        <v>0.22208161169107699</v>
      </c>
      <c r="AM9" s="13">
        <f t="shared" si="16"/>
        <v>0.20577941956933654</v>
      </c>
      <c r="AN9" s="14">
        <f t="shared" si="17"/>
        <v>0.19629558389692112</v>
      </c>
      <c r="BD9">
        <v>1.5</v>
      </c>
      <c r="BE9">
        <f t="shared" si="20"/>
        <v>1.7412265055278369</v>
      </c>
      <c r="BF9">
        <f t="shared" si="21"/>
        <v>1.7573863093259334</v>
      </c>
      <c r="BG9">
        <f t="shared" si="22"/>
        <v>1.4260909827968924</v>
      </c>
      <c r="BH9">
        <f t="shared" si="23"/>
        <v>1.0879423783358124</v>
      </c>
      <c r="BI9">
        <f t="shared" si="24"/>
        <v>0.75651621812285075</v>
      </c>
      <c r="BJ9">
        <f t="shared" si="25"/>
        <v>0.58369797563144332</v>
      </c>
      <c r="BN9">
        <v>1.5</v>
      </c>
      <c r="BO9" s="18">
        <f t="shared" si="26"/>
        <v>1.0016650935283906</v>
      </c>
      <c r="BZ9">
        <v>0.5</v>
      </c>
      <c r="CE9">
        <f t="shared" si="19"/>
        <v>0</v>
      </c>
    </row>
    <row r="10" spans="2:83" x14ac:dyDescent="0.3">
      <c r="B10" s="17" t="s">
        <v>152</v>
      </c>
      <c r="C10" s="17"/>
      <c r="D10">
        <v>20</v>
      </c>
      <c r="E10" s="17">
        <v>10</v>
      </c>
      <c r="F10" s="17"/>
      <c r="G10" s="17">
        <v>1177.4089999999901</v>
      </c>
      <c r="H10" s="17">
        <v>1.4339999999999899</v>
      </c>
      <c r="I10" s="17">
        <f t="shared" si="1"/>
        <v>6.6080400144254536E-2</v>
      </c>
      <c r="J10" s="17">
        <v>0.787904761904762</v>
      </c>
      <c r="K10" s="17">
        <v>5.0000000000000001E-4</v>
      </c>
      <c r="L10" s="17"/>
      <c r="M10" s="17">
        <v>1337.15499999999</v>
      </c>
      <c r="N10" s="17">
        <v>1.4910000000000001</v>
      </c>
      <c r="O10" s="17">
        <f t="shared" si="2"/>
        <v>6.8707026928231663E-2</v>
      </c>
      <c r="P10" s="17">
        <v>0.68395238095237998</v>
      </c>
      <c r="Q10" s="17">
        <v>5.0000000000000001E-4</v>
      </c>
      <c r="R10" s="17"/>
      <c r="S10" s="17">
        <f t="shared" si="3"/>
        <v>2.8321275635024499</v>
      </c>
      <c r="T10" s="17">
        <f t="shared" si="4"/>
        <v>0.13052013098770621</v>
      </c>
      <c r="U10" s="17">
        <f t="shared" si="5"/>
        <v>2.5561918355052757</v>
      </c>
      <c r="V10" s="17">
        <f t="shared" si="6"/>
        <v>0.11780713653692966</v>
      </c>
      <c r="W10" s="17"/>
      <c r="X10" s="17">
        <f t="shared" si="7"/>
        <v>0.99505043280961358</v>
      </c>
      <c r="Y10" s="17">
        <f t="shared" si="8"/>
        <v>6.4852222339071341E-2</v>
      </c>
      <c r="Z10" s="17">
        <f t="shared" si="9"/>
        <v>0.99225113109324437</v>
      </c>
      <c r="AA10" s="17">
        <f t="shared" si="10"/>
        <v>6.4671882424587684E-2</v>
      </c>
      <c r="AB10" s="17"/>
      <c r="AC10" s="17">
        <f t="shared" si="11"/>
        <v>0.99365078195142897</v>
      </c>
      <c r="AD10" s="17">
        <f t="shared" si="12"/>
        <v>4.5793730789967409E-2</v>
      </c>
      <c r="BD10">
        <v>2</v>
      </c>
      <c r="BE10">
        <f t="shared" si="20"/>
        <v>1.7186789966648599</v>
      </c>
      <c r="BF10">
        <f t="shared" si="21"/>
        <v>1.7340262478844168</v>
      </c>
      <c r="BG10">
        <f t="shared" si="22"/>
        <v>1.4093537836581855</v>
      </c>
      <c r="BH10">
        <f t="shared" si="23"/>
        <v>1.0767473498478435</v>
      </c>
      <c r="BI10">
        <f t="shared" si="24"/>
        <v>0.75056594959641865</v>
      </c>
      <c r="BJ10">
        <f t="shared" si="25"/>
        <v>0.57973051982274859</v>
      </c>
      <c r="BN10">
        <v>2</v>
      </c>
      <c r="BO10" s="18">
        <f t="shared" si="26"/>
        <v>1.0017761984668909</v>
      </c>
      <c r="BV10" t="s">
        <v>257</v>
      </c>
      <c r="BX10">
        <f>BX4/$BX$4</f>
        <v>1</v>
      </c>
      <c r="BZ10">
        <v>0.6</v>
      </c>
      <c r="CE10">
        <f t="shared" si="19"/>
        <v>0</v>
      </c>
    </row>
    <row r="11" spans="2:83" x14ac:dyDescent="0.3">
      <c r="B11" s="17" t="s">
        <v>138</v>
      </c>
      <c r="C11" s="17"/>
      <c r="D11">
        <v>30</v>
      </c>
      <c r="E11" s="17">
        <v>10</v>
      </c>
      <c r="F11" s="17"/>
      <c r="G11" s="17">
        <v>1177.45199999999</v>
      </c>
      <c r="H11" s="17">
        <v>1.44599999999999</v>
      </c>
      <c r="I11" s="17">
        <f t="shared" si="1"/>
        <v>6.6633374204039086E-2</v>
      </c>
      <c r="J11" s="17">
        <v>0.54180459770114897</v>
      </c>
      <c r="K11" s="17">
        <v>5.0000000000000001E-4</v>
      </c>
      <c r="L11" s="17"/>
      <c r="M11" s="17">
        <v>1337.3099999999899</v>
      </c>
      <c r="N11" s="17">
        <v>1.47599999999999</v>
      </c>
      <c r="O11" s="17">
        <f t="shared" si="2"/>
        <v>6.8015809353500489E-2</v>
      </c>
      <c r="P11" s="17">
        <v>0.49670114942528598</v>
      </c>
      <c r="Q11" s="17">
        <v>5.0000000000000001E-4</v>
      </c>
      <c r="R11" s="17"/>
      <c r="S11" s="17">
        <f t="shared" si="3"/>
        <v>1.9638165387923179</v>
      </c>
      <c r="T11" s="17">
        <f t="shared" si="4"/>
        <v>9.0513112074631863E-2</v>
      </c>
      <c r="U11" s="17">
        <f t="shared" si="5"/>
        <v>1.837686634302109</v>
      </c>
      <c r="V11" s="17">
        <f t="shared" si="6"/>
        <v>8.4702956229992812E-2</v>
      </c>
      <c r="W11" s="17"/>
      <c r="X11" s="17">
        <f t="shared" si="7"/>
        <v>0.68997474621777677</v>
      </c>
      <c r="Y11" s="17">
        <f t="shared" si="8"/>
        <v>4.4971348827581463E-2</v>
      </c>
      <c r="Z11" s="17">
        <f t="shared" si="9"/>
        <v>0.71334499083898728</v>
      </c>
      <c r="AA11" s="17">
        <f t="shared" si="10"/>
        <v>4.6496257117044491E-2</v>
      </c>
      <c r="AB11" s="17"/>
      <c r="AC11" s="17">
        <f t="shared" si="11"/>
        <v>0.70165986852838202</v>
      </c>
      <c r="AD11" s="17">
        <f t="shared" si="12"/>
        <v>3.2343176023955665E-2</v>
      </c>
      <c r="BD11">
        <v>2.5</v>
      </c>
      <c r="BE11">
        <f t="shared" si="20"/>
        <v>1.6961736146402422</v>
      </c>
      <c r="BF11">
        <f t="shared" si="21"/>
        <v>1.7107120898757484</v>
      </c>
      <c r="BG11">
        <f t="shared" si="22"/>
        <v>1.3926424442951071</v>
      </c>
      <c r="BH11">
        <f t="shared" si="23"/>
        <v>1.0655657249019137</v>
      </c>
      <c r="BI11">
        <f t="shared" si="24"/>
        <v>0.74461990043291626</v>
      </c>
      <c r="BJ11">
        <f t="shared" si="25"/>
        <v>0.57576517785318726</v>
      </c>
      <c r="BN11">
        <v>2.5</v>
      </c>
      <c r="BO11" s="18">
        <f t="shared" si="26"/>
        <v>1.0016650935283906</v>
      </c>
      <c r="BV11" t="s">
        <v>258</v>
      </c>
      <c r="BX11">
        <f t="shared" ref="BX11:BX14" si="27">BX5/$BX$4</f>
        <v>0.70175438596491235</v>
      </c>
      <c r="BZ11">
        <v>0.7</v>
      </c>
      <c r="CE11">
        <f t="shared" si="19"/>
        <v>0</v>
      </c>
    </row>
    <row r="12" spans="2:83" x14ac:dyDescent="0.3">
      <c r="B12" s="17" t="s">
        <v>153</v>
      </c>
      <c r="C12" s="17"/>
      <c r="D12">
        <v>40</v>
      </c>
      <c r="E12" s="17">
        <v>10</v>
      </c>
      <c r="F12" s="17"/>
      <c r="G12" s="17">
        <v>1177.5219999999899</v>
      </c>
      <c r="H12" s="17">
        <v>1.4099999999999899</v>
      </c>
      <c r="I12" s="17">
        <f t="shared" si="1"/>
        <v>6.4974452024685408E-2</v>
      </c>
      <c r="J12" s="17">
        <v>0.40329792821709998</v>
      </c>
      <c r="K12" s="17">
        <v>5.0000000000000001E-4</v>
      </c>
      <c r="L12" s="17"/>
      <c r="M12" s="17">
        <v>1337.33499999999</v>
      </c>
      <c r="N12" s="17">
        <v>1.5</v>
      </c>
      <c r="O12" s="17">
        <f t="shared" si="2"/>
        <v>6.9121757473070075E-2</v>
      </c>
      <c r="P12" s="17">
        <v>0.35135833090166202</v>
      </c>
      <c r="Q12" s="17">
        <v>5.0000000000000001E-4</v>
      </c>
      <c r="R12" s="17"/>
      <c r="S12" s="17">
        <f t="shared" si="3"/>
        <v>1.4253943658564017</v>
      </c>
      <c r="T12" s="17">
        <f t="shared" si="4"/>
        <v>6.5707610349777221E-2</v>
      </c>
      <c r="U12" s="17">
        <f t="shared" si="5"/>
        <v>1.3210870901478917</v>
      </c>
      <c r="V12" s="17">
        <f t="shared" si="6"/>
        <v>6.0906262068236718E-2</v>
      </c>
      <c r="W12" s="17"/>
      <c r="X12" s="17">
        <f t="shared" si="7"/>
        <v>0.50080345919014968</v>
      </c>
      <c r="Y12" s="17">
        <f t="shared" si="8"/>
        <v>3.2644127863583436E-2</v>
      </c>
      <c r="Z12" s="17">
        <f t="shared" si="9"/>
        <v>0.51281368685414652</v>
      </c>
      <c r="AA12" s="17">
        <f t="shared" si="10"/>
        <v>3.3429485409233545E-2</v>
      </c>
      <c r="AB12" s="17"/>
      <c r="AC12" s="17">
        <f t="shared" si="11"/>
        <v>0.5068085730221481</v>
      </c>
      <c r="AD12" s="17">
        <f t="shared" si="12"/>
        <v>2.3362200124881983E-2</v>
      </c>
      <c r="BD12">
        <v>3</v>
      </c>
      <c r="BE12">
        <f t="shared" si="20"/>
        <v>1.6737207069974083</v>
      </c>
      <c r="BF12">
        <f t="shared" si="21"/>
        <v>1.6874551001157123</v>
      </c>
      <c r="BG12">
        <f t="shared" si="22"/>
        <v>1.3759633361364076</v>
      </c>
      <c r="BH12">
        <f t="shared" si="23"/>
        <v>1.0544008168116188</v>
      </c>
      <c r="BI12">
        <f t="shared" si="24"/>
        <v>0.73867911846506373</v>
      </c>
      <c r="BJ12">
        <f t="shared" si="25"/>
        <v>0.57180247554416253</v>
      </c>
      <c r="BN12">
        <v>3</v>
      </c>
      <c r="BO12" s="18">
        <f t="shared" si="26"/>
        <v>1.0013318527732482</v>
      </c>
      <c r="BV12" t="s">
        <v>261</v>
      </c>
      <c r="BX12">
        <f t="shared" si="27"/>
        <v>1.0526315789473686</v>
      </c>
      <c r="BZ12">
        <v>0.8</v>
      </c>
      <c r="CE12">
        <f t="shared" si="19"/>
        <v>0</v>
      </c>
    </row>
    <row r="13" spans="2:83" x14ac:dyDescent="0.3">
      <c r="B13" s="17" t="s">
        <v>154</v>
      </c>
      <c r="C13" s="17"/>
      <c r="D13">
        <v>50</v>
      </c>
      <c r="E13" s="17">
        <v>10</v>
      </c>
      <c r="F13" s="17"/>
      <c r="G13" s="17">
        <v>1178.29899999999</v>
      </c>
      <c r="H13" s="17">
        <v>1.403</v>
      </c>
      <c r="I13" s="17">
        <f t="shared" si="1"/>
        <v>6.4651883823144879E-2</v>
      </c>
      <c r="J13" s="17">
        <v>0.31839968237162503</v>
      </c>
      <c r="K13" s="17">
        <v>5.0000000000000001E-4</v>
      </c>
      <c r="L13" s="17"/>
      <c r="M13" s="17">
        <v>1338.26899999999</v>
      </c>
      <c r="N13" s="17">
        <v>1.4969999999999899</v>
      </c>
      <c r="O13" s="17">
        <f t="shared" si="2"/>
        <v>6.898351395812348E-2</v>
      </c>
      <c r="P13" s="17">
        <v>0.27031286394917797</v>
      </c>
      <c r="Q13" s="17">
        <v>5.0000000000000001E-4</v>
      </c>
      <c r="R13" s="17"/>
      <c r="S13" s="17">
        <f t="shared" si="3"/>
        <v>1.1197478339921418</v>
      </c>
      <c r="T13" s="17">
        <f t="shared" si="4"/>
        <v>5.1629244804928906E-2</v>
      </c>
      <c r="U13" s="17">
        <f t="shared" si="5"/>
        <v>1.0143280800539172</v>
      </c>
      <c r="V13" s="17">
        <f t="shared" si="6"/>
        <v>4.6779066978160137E-2</v>
      </c>
      <c r="W13" s="17"/>
      <c r="X13" s="17">
        <f t="shared" si="7"/>
        <v>0.39341644818907334</v>
      </c>
      <c r="Y13" s="17">
        <f t="shared" si="8"/>
        <v>2.5647068659086541E-2</v>
      </c>
      <c r="Z13" s="17">
        <f t="shared" si="9"/>
        <v>0.39373734426085916</v>
      </c>
      <c r="AA13" s="17">
        <f t="shared" si="10"/>
        <v>2.567131005391984E-2</v>
      </c>
      <c r="AB13" s="17"/>
      <c r="AC13" s="17">
        <f t="shared" si="11"/>
        <v>0.39357689622496628</v>
      </c>
      <c r="AD13" s="17">
        <f t="shared" si="12"/>
        <v>1.8143788817997643E-2</v>
      </c>
      <c r="BD13">
        <v>3.5</v>
      </c>
      <c r="BE13">
        <f t="shared" si="20"/>
        <v>1.6513304999689451</v>
      </c>
      <c r="BF13">
        <f t="shared" si="21"/>
        <v>1.6642664044924096</v>
      </c>
      <c r="BG13">
        <f t="shared" si="22"/>
        <v>1.3593227688836251</v>
      </c>
      <c r="BH13">
        <f t="shared" si="23"/>
        <v>1.0432559140345965</v>
      </c>
      <c r="BI13">
        <f t="shared" si="24"/>
        <v>0.73274464687480245</v>
      </c>
      <c r="BJ13">
        <f t="shared" si="25"/>
        <v>0.56784293696416366</v>
      </c>
      <c r="BN13">
        <v>3.5</v>
      </c>
      <c r="BO13" s="18">
        <f t="shared" si="26"/>
        <v>1.0007766983002657</v>
      </c>
      <c r="BV13" t="s">
        <v>259</v>
      </c>
      <c r="BX13">
        <f t="shared" si="27"/>
        <v>1.7543859649122808</v>
      </c>
      <c r="BZ13">
        <v>0.9</v>
      </c>
      <c r="CE13">
        <f t="shared" si="19"/>
        <v>0</v>
      </c>
    </row>
    <row r="14" spans="2:83" x14ac:dyDescent="0.3">
      <c r="B14" s="17" t="s">
        <v>155</v>
      </c>
      <c r="C14" s="17"/>
      <c r="D14">
        <v>60</v>
      </c>
      <c r="E14" s="17">
        <v>10</v>
      </c>
      <c r="F14" s="17"/>
      <c r="G14" s="17">
        <v>1178.3619999999901</v>
      </c>
      <c r="H14" s="17">
        <v>1.37</v>
      </c>
      <c r="I14" s="17">
        <f t="shared" si="1"/>
        <v>6.3131205158737339E-2</v>
      </c>
      <c r="J14" s="17">
        <v>0.25982927527928901</v>
      </c>
      <c r="K14" s="17">
        <v>5.0000000000000001E-4</v>
      </c>
      <c r="L14" s="17"/>
      <c r="M14" s="17">
        <v>1338.3219999999901</v>
      </c>
      <c r="N14" s="17">
        <v>1.47</v>
      </c>
      <c r="O14" s="17">
        <f t="shared" si="2"/>
        <v>6.7739322323608672E-2</v>
      </c>
      <c r="P14" s="17">
        <v>0.23324090518476101</v>
      </c>
      <c r="Q14" s="17">
        <v>5.0000000000000001E-4</v>
      </c>
      <c r="R14" s="17"/>
      <c r="S14" s="17">
        <f t="shared" si="3"/>
        <v>0.89227470894896799</v>
      </c>
      <c r="T14" s="17">
        <f t="shared" si="4"/>
        <v>4.1152900035394423E-2</v>
      </c>
      <c r="U14" s="17">
        <f t="shared" si="5"/>
        <v>0.85943292417287587</v>
      </c>
      <c r="V14" s="17">
        <f t="shared" si="6"/>
        <v>3.9646506710756528E-2</v>
      </c>
      <c r="W14" s="17"/>
      <c r="X14" s="17">
        <f t="shared" si="7"/>
        <v>0.31349517824216272</v>
      </c>
      <c r="Y14" s="17">
        <f t="shared" si="8"/>
        <v>2.0439924475228216E-2</v>
      </c>
      <c r="Z14" s="17">
        <f t="shared" si="9"/>
        <v>0.33361083439214773</v>
      </c>
      <c r="AA14" s="17">
        <f t="shared" si="10"/>
        <v>2.175412081428911E-2</v>
      </c>
      <c r="AB14" s="17"/>
      <c r="AC14" s="17">
        <f t="shared" si="11"/>
        <v>0.32355300631715522</v>
      </c>
      <c r="AD14" s="17">
        <f t="shared" si="12"/>
        <v>1.4925081950827944E-2</v>
      </c>
      <c r="BD14">
        <v>4</v>
      </c>
      <c r="BE14">
        <f t="shared" si="20"/>
        <v>1.6290130756624506</v>
      </c>
      <c r="BF14">
        <f t="shared" si="21"/>
        <v>1.6411569639244403</v>
      </c>
      <c r="BG14">
        <f t="shared" si="22"/>
        <v>1.3427269787754024</v>
      </c>
      <c r="BH14">
        <f t="shared" si="23"/>
        <v>1.0321342753917571</v>
      </c>
      <c r="BI14">
        <f t="shared" si="24"/>
        <v>0.72681752328426441</v>
      </c>
      <c r="BJ14">
        <f t="shared" si="25"/>
        <v>0.56388708408416988</v>
      </c>
      <c r="BN14">
        <v>4</v>
      </c>
      <c r="BO14" s="18">
        <f t="shared" si="26"/>
        <v>1</v>
      </c>
      <c r="BV14" t="s">
        <v>260</v>
      </c>
      <c r="BX14">
        <f t="shared" si="27"/>
        <v>0.70175438596491235</v>
      </c>
      <c r="BZ14">
        <v>0.95</v>
      </c>
      <c r="CE14">
        <f t="shared" si="19"/>
        <v>0</v>
      </c>
    </row>
    <row r="15" spans="2:83" x14ac:dyDescent="0.3">
      <c r="B15" s="13" t="s">
        <v>156</v>
      </c>
      <c r="C15" s="13"/>
      <c r="D15" s="13">
        <v>70</v>
      </c>
      <c r="E15" s="13">
        <v>10</v>
      </c>
      <c r="F15" s="13"/>
      <c r="G15" s="13">
        <v>1177.8999999999901</v>
      </c>
      <c r="H15" s="13">
        <v>1.49</v>
      </c>
      <c r="I15" s="13">
        <f t="shared" si="1"/>
        <v>6.866094575658295E-2</v>
      </c>
      <c r="J15" s="13">
        <v>0.197460485897794</v>
      </c>
      <c r="K15" s="13">
        <v>5.0000000000000001E-4</v>
      </c>
      <c r="L15" s="13"/>
      <c r="M15" s="13">
        <v>1337.80699999999</v>
      </c>
      <c r="N15" s="13">
        <v>1.49</v>
      </c>
      <c r="O15" s="13">
        <f t="shared" si="2"/>
        <v>6.866094575658295E-2</v>
      </c>
      <c r="P15" s="13">
        <v>0.173490086567997</v>
      </c>
      <c r="Q15" s="13">
        <v>5.0000000000000001E-4</v>
      </c>
      <c r="R15" s="13"/>
      <c r="S15" s="13">
        <f t="shared" si="3"/>
        <v>0.73749045523994161</v>
      </c>
      <c r="T15" s="13">
        <f t="shared" si="4"/>
        <v>3.4035693279533021E-2</v>
      </c>
      <c r="U15" s="13">
        <f t="shared" si="5"/>
        <v>0.64796398297568658</v>
      </c>
      <c r="V15" s="13">
        <f t="shared" si="6"/>
        <v>2.9917279192547847E-2</v>
      </c>
      <c r="W15" s="13"/>
      <c r="X15" s="13">
        <f t="shared" si="7"/>
        <v>0.25911269186333319</v>
      </c>
      <c r="Y15" s="13">
        <f t="shared" si="8"/>
        <v>1.6899561123211615E-2</v>
      </c>
      <c r="Z15" s="13">
        <f t="shared" si="9"/>
        <v>0.25152376519042435</v>
      </c>
      <c r="AA15" s="13">
        <f t="shared" si="10"/>
        <v>1.6408535524124447E-2</v>
      </c>
      <c r="AB15" s="13"/>
      <c r="AC15" s="13">
        <f t="shared" si="11"/>
        <v>0.2553182285268788</v>
      </c>
      <c r="AD15" s="13">
        <f t="shared" si="12"/>
        <v>1.1777470061558418E-2</v>
      </c>
      <c r="BD15">
        <v>4.5</v>
      </c>
      <c r="BE15">
        <f t="shared" si="20"/>
        <v>1.6067783500128883</v>
      </c>
      <c r="BF15">
        <f t="shared" si="21"/>
        <v>1.6181375492406784</v>
      </c>
      <c r="BG15">
        <f t="shared" si="22"/>
        <v>1.3261821171762664</v>
      </c>
      <c r="BH15">
        <f t="shared" si="23"/>
        <v>1.0210391253884081</v>
      </c>
      <c r="BI15">
        <f t="shared" si="24"/>
        <v>0.72089877885813747</v>
      </c>
      <c r="BJ15">
        <f t="shared" si="25"/>
        <v>0.55993543643628962</v>
      </c>
      <c r="BN15">
        <v>4.5</v>
      </c>
      <c r="BO15" s="18">
        <f t="shared" si="26"/>
        <v>0.99900227514403861</v>
      </c>
      <c r="BZ15">
        <v>1</v>
      </c>
      <c r="CE15">
        <f t="shared" si="19"/>
        <v>0</v>
      </c>
    </row>
    <row r="16" spans="2:83" x14ac:dyDescent="0.3">
      <c r="B16" s="17" t="s">
        <v>157</v>
      </c>
      <c r="C16" s="17"/>
      <c r="D16">
        <v>20</v>
      </c>
      <c r="E16" s="17">
        <v>20</v>
      </c>
      <c r="F16" s="17"/>
      <c r="G16" s="17">
        <v>1178.02699999999</v>
      </c>
      <c r="H16" s="17">
        <v>1.45799999999999</v>
      </c>
      <c r="I16" s="17">
        <f t="shared" si="1"/>
        <v>6.718634826382365E-2</v>
      </c>
      <c r="J16" s="17">
        <v>0.67462034668939896</v>
      </c>
      <c r="K16" s="17">
        <v>5.0000000000000001E-4</v>
      </c>
      <c r="L16" s="17"/>
      <c r="M16" s="17">
        <v>1337.92499999999</v>
      </c>
      <c r="N16" s="17">
        <v>1.49799999999999</v>
      </c>
      <c r="O16" s="17">
        <f t="shared" si="2"/>
        <v>6.9029595129772192E-2</v>
      </c>
      <c r="P16" s="17">
        <v>0.59322847399829404</v>
      </c>
      <c r="Q16" s="17">
        <v>5.0000000000000001E-4</v>
      </c>
      <c r="R16" s="17"/>
      <c r="S16" s="17">
        <f t="shared" si="3"/>
        <v>2.4655107111820795</v>
      </c>
      <c r="T16" s="17">
        <f t="shared" si="4"/>
        <v>0.11362831650038326</v>
      </c>
      <c r="U16" s="17">
        <f t="shared" si="5"/>
        <v>2.2275308928279918</v>
      </c>
      <c r="V16" s="17">
        <f t="shared" si="6"/>
        <v>0.10266440182990307</v>
      </c>
      <c r="W16" s="17"/>
      <c r="X16" s="17">
        <f t="shared" si="7"/>
        <v>0.86624187832291621</v>
      </c>
      <c r="Y16" s="17">
        <f t="shared" si="8"/>
        <v>5.6458123601939914E-2</v>
      </c>
      <c r="Z16" s="17">
        <f t="shared" si="9"/>
        <v>0.8646729941208896</v>
      </c>
      <c r="AA16" s="17">
        <f t="shared" si="10"/>
        <v>5.6357898324112386E-2</v>
      </c>
      <c r="AB16" s="17"/>
      <c r="AC16" s="17">
        <f t="shared" si="11"/>
        <v>0.86545743622190296</v>
      </c>
      <c r="AD16" s="17">
        <f t="shared" si="12"/>
        <v>3.9886502805344171E-2</v>
      </c>
      <c r="BD16">
        <v>5</v>
      </c>
      <c r="BE16">
        <f t="shared" si="20"/>
        <v>1.5846360516102831</v>
      </c>
      <c r="BF16">
        <f t="shared" si="21"/>
        <v>1.5952187171113215</v>
      </c>
      <c r="BG16">
        <f t="shared" si="22"/>
        <v>1.3096942395373254</v>
      </c>
      <c r="BH16">
        <f t="shared" si="23"/>
        <v>1.0099736496526452</v>
      </c>
      <c r="BI16">
        <f t="shared" si="24"/>
        <v>0.71498943741921417</v>
      </c>
      <c r="BJ16">
        <f t="shared" si="25"/>
        <v>0.55598851077615363</v>
      </c>
      <c r="BN16">
        <v>5</v>
      </c>
      <c r="BO16" s="18">
        <f t="shared" si="26"/>
        <v>0.99778418781088229</v>
      </c>
      <c r="BZ16">
        <v>1.1000000000000001</v>
      </c>
      <c r="CE16">
        <f t="shared" si="19"/>
        <v>0</v>
      </c>
    </row>
    <row r="17" spans="2:83" x14ac:dyDescent="0.3">
      <c r="B17" s="17" t="s">
        <v>158</v>
      </c>
      <c r="C17" s="17"/>
      <c r="D17">
        <v>30</v>
      </c>
      <c r="E17" s="17">
        <v>20</v>
      </c>
      <c r="F17" s="17"/>
      <c r="G17" s="17">
        <v>1177.8019999999899</v>
      </c>
      <c r="H17" s="17">
        <v>1.4349999999999901</v>
      </c>
      <c r="I17" s="17">
        <f t="shared" si="1"/>
        <v>6.6126481315903249E-2</v>
      </c>
      <c r="J17" s="17">
        <v>0.47281506849315103</v>
      </c>
      <c r="K17" s="17">
        <v>5.0000000000000001E-4</v>
      </c>
      <c r="L17" s="17"/>
      <c r="M17" s="17">
        <v>1337.61699999999</v>
      </c>
      <c r="N17" s="17">
        <v>1.5229999999999899</v>
      </c>
      <c r="O17" s="17">
        <f t="shared" si="2"/>
        <v>7.0181624420990019E-2</v>
      </c>
      <c r="P17" s="17">
        <v>0.405867579908675</v>
      </c>
      <c r="Q17" s="17">
        <v>5.0000000000000001E-4</v>
      </c>
      <c r="R17" s="17"/>
      <c r="S17" s="17">
        <f t="shared" si="3"/>
        <v>1.7007212737766022</v>
      </c>
      <c r="T17" s="17">
        <f t="shared" si="4"/>
        <v>7.8391862774036494E-2</v>
      </c>
      <c r="U17" s="17">
        <f t="shared" si="5"/>
        <v>1.5494379878184703</v>
      </c>
      <c r="V17" s="17">
        <f t="shared" si="6"/>
        <v>7.1425428107151023E-2</v>
      </c>
      <c r="W17" s="17"/>
      <c r="X17" s="17">
        <f t="shared" si="7"/>
        <v>0.59753785859386888</v>
      </c>
      <c r="Y17" s="17">
        <f t="shared" si="8"/>
        <v>3.8947696263803962E-2</v>
      </c>
      <c r="Z17" s="17">
        <f t="shared" si="9"/>
        <v>0.60145391852713503</v>
      </c>
      <c r="AA17" s="17">
        <f t="shared" si="10"/>
        <v>3.9205456224776135E-2</v>
      </c>
      <c r="AB17" s="17"/>
      <c r="AC17" s="17">
        <f t="shared" si="11"/>
        <v>0.59949588856050195</v>
      </c>
      <c r="AD17" s="17">
        <f t="shared" si="12"/>
        <v>2.7631462330332639E-2</v>
      </c>
      <c r="BD17">
        <v>5.5</v>
      </c>
      <c r="BE17">
        <f t="shared" si="20"/>
        <v>1.5625957015033751</v>
      </c>
      <c r="BF17">
        <f t="shared" si="21"/>
        <v>1.572410787149553</v>
      </c>
      <c r="BG17">
        <f t="shared" si="22"/>
        <v>1.293269294773419</v>
      </c>
      <c r="BH17">
        <f t="shared" si="23"/>
        <v>0.99894099050565743</v>
      </c>
      <c r="BI17">
        <f t="shared" si="24"/>
        <v>0.70909051457887107</v>
      </c>
      <c r="BJ17">
        <f t="shared" si="25"/>
        <v>0.55204682074956912</v>
      </c>
      <c r="BN17">
        <v>5.5</v>
      </c>
      <c r="BO17" s="18">
        <f t="shared" si="26"/>
        <v>0.99634654814932322</v>
      </c>
      <c r="BZ17">
        <v>1.2</v>
      </c>
      <c r="CE17">
        <f t="shared" si="19"/>
        <v>0</v>
      </c>
    </row>
    <row r="18" spans="2:83" x14ac:dyDescent="0.3">
      <c r="B18" s="17" t="s">
        <v>139</v>
      </c>
      <c r="C18" s="17"/>
      <c r="D18">
        <v>40</v>
      </c>
      <c r="E18" s="17">
        <v>20</v>
      </c>
      <c r="F18" s="17"/>
      <c r="G18" s="17">
        <v>1177.89499999999</v>
      </c>
      <c r="H18" s="17">
        <v>1.3979999999999899</v>
      </c>
      <c r="I18" s="17">
        <f t="shared" si="1"/>
        <v>6.4421477964900845E-2</v>
      </c>
      <c r="J18" s="17">
        <v>0.40066841798015101</v>
      </c>
      <c r="K18" s="17">
        <v>5.0000000000000001E-4</v>
      </c>
      <c r="L18" s="17"/>
      <c r="M18" s="17">
        <v>1337.6679999999899</v>
      </c>
      <c r="N18" s="17">
        <v>1.49</v>
      </c>
      <c r="O18" s="17">
        <f t="shared" si="2"/>
        <v>6.866094575658295E-2</v>
      </c>
      <c r="P18" s="17">
        <v>0.341528312901342</v>
      </c>
      <c r="Q18" s="17">
        <v>5.0000000000000001E-4</v>
      </c>
      <c r="R18" s="17"/>
      <c r="S18" s="17">
        <f t="shared" si="3"/>
        <v>1.404048845794474</v>
      </c>
      <c r="T18" s="17">
        <f t="shared" si="4"/>
        <v>6.4723936096018064E-2</v>
      </c>
      <c r="U18" s="17">
        <f t="shared" si="5"/>
        <v>1.2755659433012356</v>
      </c>
      <c r="V18" s="17">
        <f t="shared" si="6"/>
        <v>5.8809230129666025E-2</v>
      </c>
      <c r="W18" s="17"/>
      <c r="X18" s="17">
        <f t="shared" si="7"/>
        <v>0.49330384326539933</v>
      </c>
      <c r="Y18" s="17">
        <f t="shared" si="8"/>
        <v>3.2155353156199093E-2</v>
      </c>
      <c r="Z18" s="17">
        <f t="shared" si="9"/>
        <v>0.49514349136260671</v>
      </c>
      <c r="AA18" s="17">
        <f t="shared" si="10"/>
        <v>3.2278043356292745E-2</v>
      </c>
      <c r="AB18" s="17"/>
      <c r="AC18" s="17">
        <f t="shared" si="11"/>
        <v>0.49422366731400302</v>
      </c>
      <c r="AD18" s="17">
        <f t="shared" si="12"/>
        <v>2.2780687102843263E-2</v>
      </c>
      <c r="BD18">
        <v>6</v>
      </c>
      <c r="BE18">
        <f t="shared" si="20"/>
        <v>1.5406665940708579</v>
      </c>
      <c r="BF18">
        <f t="shared" si="21"/>
        <v>1.5497238202918273</v>
      </c>
      <c r="BG18">
        <f t="shared" si="22"/>
        <v>1.2769131150980568</v>
      </c>
      <c r="BH18">
        <f t="shared" si="23"/>
        <v>0.98794424267780501</v>
      </c>
      <c r="BI18">
        <f t="shared" si="24"/>
        <v>0.70320301688416598</v>
      </c>
      <c r="BJ18">
        <f t="shared" si="25"/>
        <v>0.54811087656392699</v>
      </c>
      <c r="BN18">
        <v>6</v>
      </c>
      <c r="BO18" s="18">
        <f t="shared" si="26"/>
        <v>0.99469031148046461</v>
      </c>
      <c r="BZ18">
        <v>1.3</v>
      </c>
      <c r="CE18">
        <f t="shared" si="19"/>
        <v>0</v>
      </c>
    </row>
    <row r="19" spans="2:83" x14ac:dyDescent="0.3">
      <c r="B19" s="17" t="s">
        <v>159</v>
      </c>
      <c r="C19" s="17"/>
      <c r="D19">
        <v>50</v>
      </c>
      <c r="E19" s="17">
        <v>20</v>
      </c>
      <c r="F19" s="17"/>
      <c r="G19" s="17">
        <v>1177.8129999999901</v>
      </c>
      <c r="H19" s="17">
        <v>1.49</v>
      </c>
      <c r="I19" s="17">
        <f t="shared" si="1"/>
        <v>6.866094575658295E-2</v>
      </c>
      <c r="J19" s="17">
        <v>0.288323777403036</v>
      </c>
      <c r="K19" s="17">
        <v>5.0000000000000001E-4</v>
      </c>
      <c r="L19" s="17"/>
      <c r="M19" s="17">
        <v>1337.6779999999901</v>
      </c>
      <c r="N19" s="17">
        <v>1.51999999999999</v>
      </c>
      <c r="O19" s="17">
        <f t="shared" si="2"/>
        <v>7.0043380906043881E-2</v>
      </c>
      <c r="P19" s="17">
        <v>0.247904440697021</v>
      </c>
      <c r="Q19" s="17">
        <v>5.0000000000000001E-4</v>
      </c>
      <c r="R19" s="17"/>
      <c r="S19" s="17">
        <f t="shared" si="3"/>
        <v>1.0768535937034285</v>
      </c>
      <c r="T19" s="17">
        <f t="shared" si="4"/>
        <v>4.9657801280952367E-2</v>
      </c>
      <c r="U19" s="17">
        <f t="shared" si="5"/>
        <v>0.94453450629575386</v>
      </c>
      <c r="V19" s="17">
        <f t="shared" si="6"/>
        <v>4.3566927132217943E-2</v>
      </c>
      <c r="W19" s="17"/>
      <c r="X19" s="17">
        <f t="shared" si="7"/>
        <v>0.37834582322345928</v>
      </c>
      <c r="Y19" s="17">
        <f t="shared" si="8"/>
        <v>2.4666175761542768E-2</v>
      </c>
      <c r="Z19" s="17">
        <f t="shared" si="9"/>
        <v>0.36664518648824496</v>
      </c>
      <c r="AA19" s="17">
        <f t="shared" si="10"/>
        <v>2.390674415519221E-2</v>
      </c>
      <c r="AB19" s="17"/>
      <c r="AC19" s="17">
        <f t="shared" si="11"/>
        <v>0.37249550485585214</v>
      </c>
      <c r="AD19" s="17">
        <f t="shared" si="12"/>
        <v>1.717521937851986E-2</v>
      </c>
      <c r="BD19">
        <v>6.5</v>
      </c>
      <c r="BE19">
        <f t="shared" si="20"/>
        <v>1.5188577790421134</v>
      </c>
      <c r="BF19">
        <f t="shared" si="21"/>
        <v>1.527167598552627</v>
      </c>
      <c r="BG19">
        <f t="shared" si="22"/>
        <v>1.2606314063539901</v>
      </c>
      <c r="BH19">
        <f t="shared" si="23"/>
        <v>0.9769864491834479</v>
      </c>
      <c r="BI19">
        <f t="shared" si="24"/>
        <v>0.6973279409831834</v>
      </c>
      <c r="BJ19">
        <f t="shared" si="25"/>
        <v>0.54418118466484744</v>
      </c>
      <c r="BN19">
        <v>6.5</v>
      </c>
      <c r="BO19" s="18">
        <f t="shared" si="26"/>
        <v>0.99281657723977446</v>
      </c>
      <c r="BZ19">
        <v>1.4</v>
      </c>
      <c r="CE19">
        <f t="shared" si="19"/>
        <v>0</v>
      </c>
    </row>
    <row r="20" spans="2:83" x14ac:dyDescent="0.3">
      <c r="B20" s="17" t="s">
        <v>160</v>
      </c>
      <c r="C20" s="17"/>
      <c r="D20">
        <v>60</v>
      </c>
      <c r="E20" s="17">
        <v>20</v>
      </c>
      <c r="F20" s="17"/>
      <c r="G20" s="17">
        <v>1177.84599999999</v>
      </c>
      <c r="H20" s="17">
        <v>1.49</v>
      </c>
      <c r="I20" s="17">
        <f t="shared" si="1"/>
        <v>6.866094575658295E-2</v>
      </c>
      <c r="J20" s="17">
        <v>0.222637911464246</v>
      </c>
      <c r="K20" s="17">
        <v>5.0000000000000001E-4</v>
      </c>
      <c r="L20" s="17"/>
      <c r="M20" s="17">
        <v>1337.6699999999901</v>
      </c>
      <c r="N20" s="17">
        <v>1.50799999999999</v>
      </c>
      <c r="O20" s="17">
        <f t="shared" si="2"/>
        <v>6.9490406846259331E-2</v>
      </c>
      <c r="P20" s="17">
        <v>0.18940976163450601</v>
      </c>
      <c r="Q20" s="17">
        <v>5.0000000000000001E-4</v>
      </c>
      <c r="R20" s="17"/>
      <c r="S20" s="17">
        <f t="shared" si="3"/>
        <v>0.83152502098279779</v>
      </c>
      <c r="T20" s="17">
        <f t="shared" si="4"/>
        <v>3.8363125701160766E-2</v>
      </c>
      <c r="U20" s="17">
        <f t="shared" si="5"/>
        <v>0.71596803491828487</v>
      </c>
      <c r="V20" s="17">
        <f t="shared" si="6"/>
        <v>3.3046736233049781E-2</v>
      </c>
      <c r="W20" s="17"/>
      <c r="X20" s="17">
        <f t="shared" si="7"/>
        <v>0.29215115261182345</v>
      </c>
      <c r="Y20" s="17">
        <f t="shared" si="8"/>
        <v>1.9051294463309887E-2</v>
      </c>
      <c r="Z20" s="17">
        <f t="shared" si="9"/>
        <v>0.27792127437643926</v>
      </c>
      <c r="AA20" s="17">
        <f t="shared" si="10"/>
        <v>1.8127767874979338E-2</v>
      </c>
      <c r="AB20" s="17"/>
      <c r="AC20" s="17">
        <f t="shared" si="11"/>
        <v>0.28503621349413133</v>
      </c>
      <c r="AD20" s="17">
        <f t="shared" si="12"/>
        <v>1.3148838245800225E-2</v>
      </c>
      <c r="BD20">
        <v>7</v>
      </c>
      <c r="BE20">
        <f t="shared" si="20"/>
        <v>1.497178044739139</v>
      </c>
      <c r="BF20">
        <f t="shared" si="21"/>
        <v>1.5047516062367381</v>
      </c>
      <c r="BG20">
        <f t="shared" si="22"/>
        <v>1.2444297388735415</v>
      </c>
      <c r="BH20">
        <f t="shared" si="23"/>
        <v>0.96607059736657019</v>
      </c>
      <c r="BI20">
        <f t="shared" si="24"/>
        <v>0.69146627281019102</v>
      </c>
      <c r="BJ20">
        <f t="shared" si="25"/>
        <v>0.54025824741852557</v>
      </c>
      <c r="BN20">
        <v>7</v>
      </c>
      <c r="BO20" s="18">
        <f t="shared" si="26"/>
        <v>0.99072658776081313</v>
      </c>
      <c r="BZ20">
        <v>1.5</v>
      </c>
      <c r="CE20">
        <f t="shared" si="19"/>
        <v>0</v>
      </c>
    </row>
    <row r="21" spans="2:83" x14ac:dyDescent="0.3">
      <c r="B21" s="13" t="s">
        <v>161</v>
      </c>
      <c r="C21" s="13"/>
      <c r="D21" s="13">
        <v>70</v>
      </c>
      <c r="E21" s="13">
        <v>20</v>
      </c>
      <c r="F21" s="13"/>
      <c r="G21" s="13">
        <v>1177.84799999999</v>
      </c>
      <c r="H21" s="13">
        <v>1.49</v>
      </c>
      <c r="I21" s="13">
        <f t="shared" si="1"/>
        <v>6.866094575658295E-2</v>
      </c>
      <c r="J21" s="13">
        <v>0.18499773242630399</v>
      </c>
      <c r="K21" s="13">
        <v>5.0000000000000001E-4</v>
      </c>
      <c r="L21" s="13"/>
      <c r="M21" s="13">
        <v>1337.67499999999</v>
      </c>
      <c r="N21" s="13">
        <v>1.49</v>
      </c>
      <c r="O21" s="13">
        <f t="shared" si="2"/>
        <v>6.866094575658295E-2</v>
      </c>
      <c r="P21" s="13">
        <v>0.16557369614512399</v>
      </c>
      <c r="Q21" s="13">
        <v>5.0000000000000001E-4</v>
      </c>
      <c r="R21" s="13"/>
      <c r="S21" s="13">
        <f t="shared" si="3"/>
        <v>0.69094361479516686</v>
      </c>
      <c r="T21" s="13">
        <f t="shared" si="4"/>
        <v>3.1894208439669468E-2</v>
      </c>
      <c r="U21" s="13">
        <f t="shared" si="5"/>
        <v>0.61839724535586915</v>
      </c>
      <c r="V21" s="13">
        <f t="shared" si="6"/>
        <v>2.8557592776315772E-2</v>
      </c>
      <c r="W21" s="13"/>
      <c r="X21" s="13">
        <f t="shared" si="7"/>
        <v>0.24275874851439225</v>
      </c>
      <c r="Y21" s="13">
        <f t="shared" si="8"/>
        <v>1.5834604141053674E-2</v>
      </c>
      <c r="Z21" s="13">
        <f t="shared" si="9"/>
        <v>0.24004668102228641</v>
      </c>
      <c r="AA21" s="13">
        <f t="shared" si="10"/>
        <v>1.5661306610597923E-2</v>
      </c>
      <c r="AB21" s="13"/>
      <c r="AC21" s="13">
        <f t="shared" si="11"/>
        <v>0.24140271476833933</v>
      </c>
      <c r="AD21" s="13">
        <f t="shared" si="12"/>
        <v>1.1135654595207149E-2</v>
      </c>
      <c r="BD21">
        <v>7.5</v>
      </c>
      <c r="BE21">
        <f t="shared" si="20"/>
        <v>1.4756359026006987</v>
      </c>
      <c r="BF21">
        <f t="shared" si="21"/>
        <v>1.4824850126788098</v>
      </c>
      <c r="BG21">
        <f t="shared" si="22"/>
        <v>1.2283135388989321</v>
      </c>
      <c r="BH21">
        <f t="shared" si="23"/>
        <v>0.95519961512824691</v>
      </c>
      <c r="BI21">
        <f t="shared" si="24"/>
        <v>0.68561898679210154</v>
      </c>
      <c r="BJ21">
        <f t="shared" si="25"/>
        <v>0.5363425628002364</v>
      </c>
      <c r="BN21">
        <v>7.5</v>
      </c>
      <c r="BO21" s="18">
        <f t="shared" si="26"/>
        <v>0.98842172690251917</v>
      </c>
      <c r="BZ21">
        <v>1.6</v>
      </c>
      <c r="CE21">
        <f t="shared" si="19"/>
        <v>0</v>
      </c>
    </row>
    <row r="22" spans="2:83" x14ac:dyDescent="0.3">
      <c r="B22" s="17" t="s">
        <v>162</v>
      </c>
      <c r="C22" s="17"/>
      <c r="D22">
        <v>20</v>
      </c>
      <c r="E22" s="17">
        <v>30</v>
      </c>
      <c r="F22" s="17"/>
      <c r="G22" s="17">
        <v>1177.7849999999901</v>
      </c>
      <c r="H22" s="17">
        <v>1.43999999999999</v>
      </c>
      <c r="I22" s="17">
        <f t="shared" si="1"/>
        <v>6.6356887174146811E-2</v>
      </c>
      <c r="J22" s="17">
        <v>0.55053699284009605</v>
      </c>
      <c r="K22" s="17">
        <v>5.0000000000000001E-4</v>
      </c>
      <c r="L22" s="17"/>
      <c r="M22" s="17">
        <v>1337.6399999999901</v>
      </c>
      <c r="N22" s="17">
        <v>1.4929999999999899</v>
      </c>
      <c r="O22" s="17">
        <f t="shared" si="2"/>
        <v>6.8799189271528616E-2</v>
      </c>
      <c r="P22" s="17">
        <v>0.49003579952267301</v>
      </c>
      <c r="Q22" s="17">
        <v>5.0000000000000001E-4</v>
      </c>
      <c r="R22" s="17"/>
      <c r="S22" s="17">
        <f t="shared" si="3"/>
        <v>1.9871878931759517</v>
      </c>
      <c r="T22" s="17">
        <f t="shared" si="4"/>
        <v>9.1589729617587629E-2</v>
      </c>
      <c r="U22" s="17">
        <f t="shared" si="5"/>
        <v>1.8339080228627438</v>
      </c>
      <c r="V22" s="17">
        <f t="shared" si="6"/>
        <v>8.4529343971717852E-2</v>
      </c>
      <c r="W22" s="17"/>
      <c r="X22" s="17">
        <f t="shared" si="7"/>
        <v>0.69818612645166056</v>
      </c>
      <c r="Y22" s="17">
        <f t="shared" si="8"/>
        <v>4.5506408695851881E-2</v>
      </c>
      <c r="Z22" s="17">
        <f t="shared" si="9"/>
        <v>0.71187822632523123</v>
      </c>
      <c r="AA22" s="17">
        <f t="shared" si="10"/>
        <v>4.6400804077280561E-2</v>
      </c>
      <c r="AB22" s="17"/>
      <c r="AC22" s="17">
        <f t="shared" si="11"/>
        <v>0.70503217638844595</v>
      </c>
      <c r="AD22" s="17">
        <f t="shared" si="12"/>
        <v>3.2495645290608097E-2</v>
      </c>
      <c r="BD22">
        <v>8</v>
      </c>
      <c r="BE22">
        <f t="shared" si="20"/>
        <v>1.4542395730388384</v>
      </c>
      <c r="BF22">
        <f t="shared" si="21"/>
        <v>1.4603766565664087</v>
      </c>
      <c r="BG22">
        <f t="shared" si="22"/>
        <v>1.2122880805887835</v>
      </c>
      <c r="BH22">
        <f t="shared" si="23"/>
        <v>0.94437636734595176</v>
      </c>
      <c r="BI22">
        <f t="shared" si="24"/>
        <v>0.6797870450776542</v>
      </c>
      <c r="BJ22">
        <f t="shared" si="25"/>
        <v>0.53243462408942688</v>
      </c>
      <c r="BN22">
        <v>8</v>
      </c>
      <c r="BO22" s="18">
        <f t="shared" si="26"/>
        <v>0.98590351852217595</v>
      </c>
      <c r="BZ22">
        <v>1.7</v>
      </c>
      <c r="CE22">
        <f t="shared" si="19"/>
        <v>0</v>
      </c>
    </row>
    <row r="23" spans="2:83" x14ac:dyDescent="0.3">
      <c r="B23" s="17" t="s">
        <v>163</v>
      </c>
      <c r="C23" s="17"/>
      <c r="D23">
        <v>30</v>
      </c>
      <c r="E23" s="17">
        <v>30</v>
      </c>
      <c r="F23" s="17"/>
      <c r="G23" s="17">
        <v>1177.9969999999901</v>
      </c>
      <c r="H23" s="17">
        <v>1.4259999999999899</v>
      </c>
      <c r="I23" s="17">
        <f t="shared" si="1"/>
        <v>6.5711750771064822E-2</v>
      </c>
      <c r="J23" s="17">
        <v>0.42828271359636699</v>
      </c>
      <c r="K23" s="17">
        <v>5.0000000000000001E-4</v>
      </c>
      <c r="L23" s="17"/>
      <c r="M23" s="17">
        <v>1337.9159999999899</v>
      </c>
      <c r="N23" s="17">
        <v>1.50799999999999</v>
      </c>
      <c r="O23" s="17">
        <f t="shared" si="2"/>
        <v>6.9490406846259331E-2</v>
      </c>
      <c r="P23" s="17">
        <v>0.37058302583025898</v>
      </c>
      <c r="Q23" s="17">
        <v>5.0000000000000001E-4</v>
      </c>
      <c r="R23" s="17"/>
      <c r="S23" s="17">
        <f t="shared" si="3"/>
        <v>1.530875967756216</v>
      </c>
      <c r="T23" s="17">
        <f t="shared" si="4"/>
        <v>7.0567194037601727E-2</v>
      </c>
      <c r="U23" s="17">
        <f t="shared" si="5"/>
        <v>1.4008021470918024</v>
      </c>
      <c r="V23" s="17">
        <f t="shared" si="6"/>
        <v>6.4578267181450336E-2</v>
      </c>
      <c r="W23" s="17"/>
      <c r="X23" s="17">
        <f t="shared" si="7"/>
        <v>0.53786376500987054</v>
      </c>
      <c r="Y23" s="17">
        <f t="shared" si="8"/>
        <v>3.505913040439259E-2</v>
      </c>
      <c r="Z23" s="17">
        <f t="shared" si="9"/>
        <v>0.54375712166177814</v>
      </c>
      <c r="AA23" s="17">
        <f t="shared" si="10"/>
        <v>3.5445783736948275E-2</v>
      </c>
      <c r="AB23" s="17"/>
      <c r="AC23" s="17">
        <f t="shared" si="11"/>
        <v>0.54081044333582429</v>
      </c>
      <c r="AD23" s="17">
        <f t="shared" si="12"/>
        <v>2.4927626288110103E-2</v>
      </c>
      <c r="BD23">
        <v>8.5</v>
      </c>
      <c r="BE23">
        <f t="shared" si="20"/>
        <v>1.4329969726668539</v>
      </c>
      <c r="BF23">
        <f t="shared" si="21"/>
        <v>1.4384350318891099</v>
      </c>
      <c r="BG23">
        <f t="shared" si="22"/>
        <v>1.1963584786328416</v>
      </c>
      <c r="BH23">
        <f t="shared" si="23"/>
        <v>0.93360365249362132</v>
      </c>
      <c r="BI23">
        <f t="shared" si="24"/>
        <v>0.67397139679066076</v>
      </c>
      <c r="BJ23">
        <f t="shared" si="25"/>
        <v>0.52853491957181853</v>
      </c>
      <c r="BN23">
        <v>8.5</v>
      </c>
      <c r="BO23" s="18">
        <f t="shared" si="26"/>
        <v>0.98317362479641857</v>
      </c>
      <c r="BZ23">
        <v>1.8</v>
      </c>
      <c r="CE23">
        <f t="shared" si="19"/>
        <v>0</v>
      </c>
    </row>
    <row r="24" spans="2:83" x14ac:dyDescent="0.3">
      <c r="B24" s="17" t="s">
        <v>164</v>
      </c>
      <c r="C24" s="17"/>
      <c r="D24">
        <v>40</v>
      </c>
      <c r="E24" s="17">
        <v>30</v>
      </c>
      <c r="F24" s="17"/>
      <c r="G24" s="17">
        <v>1178.0019999999899</v>
      </c>
      <c r="H24" s="17">
        <v>1.4099999999999899</v>
      </c>
      <c r="I24" s="17">
        <f t="shared" si="1"/>
        <v>6.4974452024685408E-2</v>
      </c>
      <c r="J24" s="17">
        <v>0.324308533916849</v>
      </c>
      <c r="K24" s="17">
        <v>5.0000000000000001E-4</v>
      </c>
      <c r="L24" s="17"/>
      <c r="M24" s="17">
        <v>1337.87299999999</v>
      </c>
      <c r="N24" s="17">
        <v>1.59</v>
      </c>
      <c r="O24" s="17">
        <f t="shared" si="2"/>
        <v>7.3269062921454284E-2</v>
      </c>
      <c r="P24" s="17">
        <v>0.27971772428884001</v>
      </c>
      <c r="Q24" s="17">
        <v>5.0000000000000001E-4</v>
      </c>
      <c r="R24" s="17"/>
      <c r="S24" s="17">
        <f t="shared" si="3"/>
        <v>1.1462185265563334</v>
      </c>
      <c r="T24" s="17">
        <f t="shared" si="4"/>
        <v>5.2848646629525785E-2</v>
      </c>
      <c r="U24" s="17">
        <f t="shared" si="5"/>
        <v>1.1148258870223735</v>
      </c>
      <c r="V24" s="17">
        <f t="shared" si="6"/>
        <v>5.1411118892413003E-2</v>
      </c>
      <c r="W24" s="17"/>
      <c r="X24" s="17">
        <f t="shared" si="7"/>
        <v>0.40271676164677478</v>
      </c>
      <c r="Y24" s="17">
        <f t="shared" si="8"/>
        <v>2.6253086981824596E-2</v>
      </c>
      <c r="Z24" s="17">
        <f t="shared" si="9"/>
        <v>0.43274813416001795</v>
      </c>
      <c r="AA24" s="17">
        <f t="shared" si="10"/>
        <v>2.8214026696953408E-2</v>
      </c>
      <c r="AB24" s="17"/>
      <c r="AC24" s="17">
        <f t="shared" si="11"/>
        <v>0.41773244790339636</v>
      </c>
      <c r="AD24" s="17">
        <f t="shared" si="12"/>
        <v>1.9269508806217969E-2</v>
      </c>
      <c r="BD24">
        <v>9</v>
      </c>
      <c r="BE24">
        <f t="shared" si="20"/>
        <v>1.4119157029267881</v>
      </c>
      <c r="BF24">
        <f t="shared" si="21"/>
        <v>1.4166682755425832</v>
      </c>
      <c r="BG24">
        <f t="shared" si="22"/>
        <v>1.1805296814927726</v>
      </c>
      <c r="BH24">
        <f t="shared" si="23"/>
        <v>0.922884199470278</v>
      </c>
      <c r="BI24">
        <f t="shared" si="24"/>
        <v>0.66817297730856196</v>
      </c>
      <c r="BJ24">
        <f t="shared" si="25"/>
        <v>0.52464393224891581</v>
      </c>
      <c r="BN24">
        <v>9</v>
      </c>
      <c r="BO24" s="18">
        <f t="shared" si="26"/>
        <v>0.98023384439287031</v>
      </c>
      <c r="BZ24">
        <v>1.9</v>
      </c>
      <c r="CE24">
        <f t="shared" si="19"/>
        <v>0</v>
      </c>
    </row>
    <row r="25" spans="2:83" x14ac:dyDescent="0.3">
      <c r="B25" s="17" t="s">
        <v>140</v>
      </c>
      <c r="C25" s="17"/>
      <c r="D25">
        <v>50</v>
      </c>
      <c r="E25" s="17">
        <v>30</v>
      </c>
      <c r="F25" s="17"/>
      <c r="G25" s="17">
        <v>1178.0999999999899</v>
      </c>
      <c r="H25" s="17">
        <v>1.4099999999999899</v>
      </c>
      <c r="I25" s="17">
        <f t="shared" si="1"/>
        <v>6.4974452024685408E-2</v>
      </c>
      <c r="J25" s="17">
        <v>0.23947935316199701</v>
      </c>
      <c r="K25" s="17">
        <v>5.0000000000000001E-4</v>
      </c>
      <c r="L25" s="17"/>
      <c r="M25" s="17">
        <v>1337.8719999999901</v>
      </c>
      <c r="N25" s="17">
        <v>1.59</v>
      </c>
      <c r="O25" s="17">
        <f t="shared" si="2"/>
        <v>7.3269062921454284E-2</v>
      </c>
      <c r="P25" s="17">
        <v>0.19721744152469001</v>
      </c>
      <c r="Q25" s="17">
        <v>5.0000000000000001E-4</v>
      </c>
      <c r="R25" s="17"/>
      <c r="S25" s="17">
        <f t="shared" si="3"/>
        <v>0.84640286213494231</v>
      </c>
      <c r="T25" s="17">
        <f t="shared" si="4"/>
        <v>3.9043248909618682E-2</v>
      </c>
      <c r="U25" s="17">
        <f t="shared" si="5"/>
        <v>0.78601779613011657</v>
      </c>
      <c r="V25" s="17">
        <f t="shared" si="6"/>
        <v>3.6275398199682854E-2</v>
      </c>
      <c r="W25" s="17"/>
      <c r="X25" s="17">
        <f t="shared" si="7"/>
        <v>0.29737838971388603</v>
      </c>
      <c r="Y25" s="17">
        <f t="shared" si="8"/>
        <v>1.9390604010920891E-2</v>
      </c>
      <c r="Z25" s="17">
        <f t="shared" si="9"/>
        <v>0.30511287785071939</v>
      </c>
      <c r="AA25" s="17">
        <f t="shared" si="10"/>
        <v>1.9900109752882974E-2</v>
      </c>
      <c r="AB25" s="17"/>
      <c r="AC25" s="17">
        <f t="shared" si="11"/>
        <v>0.30124563378230274</v>
      </c>
      <c r="AD25" s="17">
        <f t="shared" si="12"/>
        <v>1.3892532995148234E-2</v>
      </c>
      <c r="BD25">
        <v>9.5</v>
      </c>
      <c r="BE25">
        <f t="shared" si="20"/>
        <v>1.3910030401336431</v>
      </c>
      <c r="BF25">
        <f t="shared" si="21"/>
        <v>1.3950841566032688</v>
      </c>
      <c r="BG25">
        <f t="shared" si="22"/>
        <v>1.1648064652826642</v>
      </c>
      <c r="BH25">
        <f t="shared" si="23"/>
        <v>0.91222066464386975</v>
      </c>
      <c r="BI25">
        <f t="shared" si="24"/>
        <v>0.66239270756747093</v>
      </c>
      <c r="BJ25">
        <f t="shared" si="25"/>
        <v>0.52076213955530315</v>
      </c>
      <c r="BN25">
        <v>9.5</v>
      </c>
      <c r="BO25" s="18">
        <f t="shared" si="26"/>
        <v>0.97708611049522343</v>
      </c>
      <c r="BZ25">
        <v>2</v>
      </c>
      <c r="CE25">
        <f t="shared" si="19"/>
        <v>0</v>
      </c>
    </row>
    <row r="26" spans="2:83" x14ac:dyDescent="0.3">
      <c r="B26" s="17" t="s">
        <v>165</v>
      </c>
      <c r="C26" s="17"/>
      <c r="D26">
        <v>60</v>
      </c>
      <c r="E26" s="17">
        <v>30</v>
      </c>
      <c r="F26" s="17"/>
      <c r="G26" s="17">
        <v>1178.3309999999899</v>
      </c>
      <c r="H26" s="17">
        <v>1.3999999999999899</v>
      </c>
      <c r="I26" s="17">
        <f t="shared" si="1"/>
        <v>6.451364030819827E-2</v>
      </c>
      <c r="J26" s="17">
        <v>0.20205587892898799</v>
      </c>
      <c r="K26" s="17">
        <v>5.0000000000000001E-4</v>
      </c>
      <c r="L26" s="17"/>
      <c r="M26" s="17">
        <v>1338.1689999999901</v>
      </c>
      <c r="N26" s="17">
        <v>1.3099999999999901</v>
      </c>
      <c r="O26" s="17">
        <f t="shared" si="2"/>
        <v>6.0366334859814075E-2</v>
      </c>
      <c r="P26" s="17">
        <v>0.186802095459837</v>
      </c>
      <c r="Q26" s="17">
        <v>5.0000000000000001E-4</v>
      </c>
      <c r="R26" s="17"/>
      <c r="S26" s="17">
        <f t="shared" si="3"/>
        <v>0.70907057085034209</v>
      </c>
      <c r="T26" s="17">
        <f t="shared" si="4"/>
        <v>3.272188092692823E-2</v>
      </c>
      <c r="U26" s="17">
        <f t="shared" si="5"/>
        <v>0.61339887265432536</v>
      </c>
      <c r="V26" s="17">
        <f t="shared" si="6"/>
        <v>2.8313781853371765E-2</v>
      </c>
      <c r="W26" s="17"/>
      <c r="X26" s="17">
        <f t="shared" si="7"/>
        <v>0.24912754196164666</v>
      </c>
      <c r="Y26" s="17">
        <f t="shared" si="8"/>
        <v>1.6247770042177277E-2</v>
      </c>
      <c r="Z26" s="17">
        <f t="shared" si="9"/>
        <v>0.2381064350290697</v>
      </c>
      <c r="AA26" s="17">
        <f t="shared" si="10"/>
        <v>1.5531152020495391E-2</v>
      </c>
      <c r="AB26" s="17"/>
      <c r="AC26" s="17">
        <f t="shared" si="11"/>
        <v>0.24361698849535818</v>
      </c>
      <c r="AD26" s="17">
        <f t="shared" si="12"/>
        <v>1.1238401959656136E-2</v>
      </c>
      <c r="BD26">
        <v>10</v>
      </c>
      <c r="BE26">
        <f t="shared" si="20"/>
        <v>1.370265926942871</v>
      </c>
      <c r="BF26">
        <f t="shared" si="21"/>
        <v>1.3736900672762784</v>
      </c>
      <c r="BG26">
        <f t="shared" si="22"/>
        <v>1.1491934282986989</v>
      </c>
      <c r="BH26">
        <f t="shared" si="23"/>
        <v>0.90161562911584647</v>
      </c>
      <c r="BI26">
        <f t="shared" si="24"/>
        <v>0.65663149339477456</v>
      </c>
      <c r="BJ26">
        <f t="shared" si="25"/>
        <v>0.51689001308408611</v>
      </c>
      <c r="BN26">
        <v>10</v>
      </c>
      <c r="BO26" s="18">
        <f t="shared" si="26"/>
        <v>0.97373248868480133</v>
      </c>
      <c r="BZ26">
        <v>2.1</v>
      </c>
      <c r="CE26">
        <f t="shared" si="19"/>
        <v>0</v>
      </c>
    </row>
    <row r="27" spans="2:83" x14ac:dyDescent="0.3">
      <c r="B27" s="13" t="s">
        <v>166</v>
      </c>
      <c r="C27" s="13"/>
      <c r="D27" s="13">
        <v>70</v>
      </c>
      <c r="E27" s="13">
        <v>30</v>
      </c>
      <c r="F27" s="13"/>
      <c r="G27" s="13">
        <v>1178.3579999999899</v>
      </c>
      <c r="H27" s="13">
        <v>1.3099999999999901</v>
      </c>
      <c r="I27" s="13">
        <f t="shared" si="1"/>
        <v>6.0366334859814075E-2</v>
      </c>
      <c r="J27" s="13">
        <v>0.18410373944511299</v>
      </c>
      <c r="K27" s="13">
        <v>5.0000000000000001E-4</v>
      </c>
      <c r="L27" s="13"/>
      <c r="M27" s="19">
        <v>1338.24899999999</v>
      </c>
      <c r="N27" s="13">
        <v>1.52</v>
      </c>
      <c r="O27" s="13">
        <f t="shared" si="2"/>
        <v>7.0043380906044353E-2</v>
      </c>
      <c r="P27" s="13">
        <v>0.156704463208684</v>
      </c>
      <c r="Q27" s="13">
        <v>5.0000000000000001E-4</v>
      </c>
      <c r="R27" s="13"/>
      <c r="S27" s="13">
        <f t="shared" si="3"/>
        <v>0.60453832677352404</v>
      </c>
      <c r="T27" s="13">
        <f t="shared" si="4"/>
        <v>2.7906174608364323E-2</v>
      </c>
      <c r="U27" s="13">
        <f t="shared" si="5"/>
        <v>0.59705575412443612</v>
      </c>
      <c r="V27" s="13">
        <f t="shared" si="6"/>
        <v>2.7578903450128141E-2</v>
      </c>
      <c r="W27" s="13"/>
      <c r="X27" s="13">
        <f t="shared" si="7"/>
        <v>0.21240078711782021</v>
      </c>
      <c r="Y27" s="13">
        <f t="shared" si="8"/>
        <v>1.3854538762304882E-2</v>
      </c>
      <c r="Z27" s="13">
        <f t="shared" si="9"/>
        <v>0.23176243626433374</v>
      </c>
      <c r="AA27" s="13">
        <f t="shared" si="10"/>
        <v>1.512270489977869E-2</v>
      </c>
      <c r="AB27" s="13"/>
      <c r="AC27" s="13">
        <f t="shared" si="11"/>
        <v>0.22208161169107699</v>
      </c>
      <c r="AD27" s="13">
        <f t="shared" si="12"/>
        <v>1.0254809210828825E-2</v>
      </c>
      <c r="BD27">
        <v>10.5</v>
      </c>
      <c r="BE27">
        <f t="shared" si="20"/>
        <v>1.3497109652374633</v>
      </c>
      <c r="BF27">
        <f t="shared" si="21"/>
        <v>1.3524930155067292</v>
      </c>
      <c r="BG27">
        <f t="shared" si="22"/>
        <v>1.1336949862033532</v>
      </c>
      <c r="BH27">
        <f t="shared" si="23"/>
        <v>0.89107159621083398</v>
      </c>
      <c r="BI27">
        <f t="shared" si="24"/>
        <v>0.65089022487028536</v>
      </c>
      <c r="BJ27">
        <f t="shared" si="25"/>
        <v>0.5130280183208189</v>
      </c>
      <c r="BN27">
        <v>10.5</v>
      </c>
      <c r="BO27" s="18">
        <f t="shared" si="26"/>
        <v>0.97017517468184944</v>
      </c>
      <c r="BZ27">
        <v>2.2000000000000002</v>
      </c>
      <c r="CE27">
        <f t="shared" si="19"/>
        <v>0</v>
      </c>
    </row>
    <row r="28" spans="2:83" x14ac:dyDescent="0.3">
      <c r="B28" s="17" t="s">
        <v>167</v>
      </c>
      <c r="C28" s="17"/>
      <c r="D28">
        <v>20</v>
      </c>
      <c r="E28" s="17">
        <v>40</v>
      </c>
      <c r="F28" s="17"/>
      <c r="G28" s="17">
        <v>1178.41199999999</v>
      </c>
      <c r="H28" s="17">
        <v>1.4669999999999901</v>
      </c>
      <c r="I28" s="17">
        <f t="shared" si="1"/>
        <v>6.7601078808662077E-2</v>
      </c>
      <c r="J28" s="17">
        <v>0.42832017912118597</v>
      </c>
      <c r="K28" s="17">
        <v>5.0000000000000001E-4</v>
      </c>
      <c r="L28" s="17"/>
      <c r="M28" s="17">
        <v>1338.2749999999901</v>
      </c>
      <c r="N28" s="17">
        <v>1.4649999999999901</v>
      </c>
      <c r="O28" s="17">
        <f t="shared" si="2"/>
        <v>6.7508916465364652E-2</v>
      </c>
      <c r="P28" s="17">
        <v>0.37876658270361002</v>
      </c>
      <c r="Q28" s="17">
        <v>5.0000000000000001E-4</v>
      </c>
      <c r="R28" s="17"/>
      <c r="S28" s="17">
        <f t="shared" si="3"/>
        <v>1.5750291048081126</v>
      </c>
      <c r="T28" s="17">
        <f t="shared" si="4"/>
        <v>7.2602471107450078E-2</v>
      </c>
      <c r="U28" s="17">
        <f t="shared" si="5"/>
        <v>1.3909105926361778</v>
      </c>
      <c r="V28" s="17">
        <f t="shared" si="6"/>
        <v>6.4121083565848072E-2</v>
      </c>
      <c r="W28" s="17"/>
      <c r="X28" s="17">
        <f t="shared" si="7"/>
        <v>0.55337669553587365</v>
      </c>
      <c r="Y28" s="17">
        <f t="shared" si="8"/>
        <v>3.6070295954638953E-2</v>
      </c>
      <c r="Z28" s="17">
        <f t="shared" si="9"/>
        <v>0.53991746222756209</v>
      </c>
      <c r="AA28" s="17">
        <f t="shared" si="10"/>
        <v>3.5195166397236327E-2</v>
      </c>
      <c r="AB28" s="17"/>
      <c r="AC28" s="17">
        <f t="shared" si="11"/>
        <v>0.54664707888171793</v>
      </c>
      <c r="AD28" s="17">
        <f t="shared" si="12"/>
        <v>2.5198045499524344E-2</v>
      </c>
      <c r="BD28">
        <v>11</v>
      </c>
      <c r="BE28">
        <f t="shared" si="20"/>
        <v>1.3293444104211896</v>
      </c>
      <c r="BF28">
        <f t="shared" si="21"/>
        <v>1.3314996192329394</v>
      </c>
      <c r="BG28">
        <f t="shared" si="22"/>
        <v>1.1183153678654778</v>
      </c>
      <c r="BH28">
        <f t="shared" si="23"/>
        <v>0.88059098919462653</v>
      </c>
      <c r="BI28">
        <f t="shared" si="24"/>
        <v>0.64516977571682921</v>
      </c>
      <c r="BJ28">
        <f t="shared" si="25"/>
        <v>0.50917661438623174</v>
      </c>
      <c r="BN28">
        <v>11</v>
      </c>
      <c r="BO28" s="18">
        <f t="shared" si="26"/>
        <v>0.96641649195001389</v>
      </c>
      <c r="BZ28">
        <v>2.2999999999999998</v>
      </c>
      <c r="CE28">
        <f t="shared" si="19"/>
        <v>0</v>
      </c>
    </row>
    <row r="29" spans="2:83" x14ac:dyDescent="0.3">
      <c r="B29" s="17" t="s">
        <v>168</v>
      </c>
      <c r="C29" s="17"/>
      <c r="D29">
        <v>30</v>
      </c>
      <c r="E29" s="17">
        <v>40</v>
      </c>
      <c r="F29" s="17"/>
      <c r="G29" s="17">
        <v>1178.41199999999</v>
      </c>
      <c r="H29" s="17">
        <v>1.4349999999999901</v>
      </c>
      <c r="I29" s="17">
        <f t="shared" si="1"/>
        <v>6.6126481315903249E-2</v>
      </c>
      <c r="J29" s="17">
        <v>0.36785029567382499</v>
      </c>
      <c r="K29" s="17">
        <v>5.0000000000000001E-4</v>
      </c>
      <c r="L29" s="17"/>
      <c r="M29" s="17">
        <v>1338.22099999999</v>
      </c>
      <c r="N29" s="17">
        <v>1.48799999999999</v>
      </c>
      <c r="O29" s="17">
        <f t="shared" si="2"/>
        <v>6.8568783413285053E-2</v>
      </c>
      <c r="P29" s="17">
        <v>0.32318176159352602</v>
      </c>
      <c r="Q29" s="17">
        <v>5.0000000000000001E-4</v>
      </c>
      <c r="R29" s="17"/>
      <c r="S29" s="17">
        <f t="shared" si="3"/>
        <v>1.3231617710731858</v>
      </c>
      <c r="T29" s="17">
        <f t="shared" si="4"/>
        <v>6.0999364036694446E-2</v>
      </c>
      <c r="U29" s="17">
        <f t="shared" si="5"/>
        <v>1.2054236536856082</v>
      </c>
      <c r="V29" s="17">
        <f t="shared" si="6"/>
        <v>5.5578631833936028E-2</v>
      </c>
      <c r="W29" s="17"/>
      <c r="X29" s="17">
        <f t="shared" si="7"/>
        <v>0.46488467184552701</v>
      </c>
      <c r="Y29" s="17">
        <f t="shared" si="8"/>
        <v>3.0303922425038432E-2</v>
      </c>
      <c r="Z29" s="17">
        <f t="shared" si="9"/>
        <v>0.46791597062576074</v>
      </c>
      <c r="AA29" s="17">
        <f t="shared" si="10"/>
        <v>3.0503999243256651E-2</v>
      </c>
      <c r="AB29" s="17"/>
      <c r="AC29" s="17">
        <f t="shared" si="11"/>
        <v>0.4664003212356439</v>
      </c>
      <c r="AD29" s="17">
        <f t="shared" si="12"/>
        <v>2.1498963255092964E-2</v>
      </c>
      <c r="BD29">
        <v>11.5</v>
      </c>
      <c r="BE29">
        <f t="shared" si="20"/>
        <v>1.3091721670953349</v>
      </c>
      <c r="BF29">
        <f t="shared" si="21"/>
        <v>1.3107161022489109</v>
      </c>
      <c r="BG29">
        <f t="shared" si="22"/>
        <v>1.1030586118537611</v>
      </c>
      <c r="BH29">
        <f t="shared" si="23"/>
        <v>0.87017614922259068</v>
      </c>
      <c r="BI29">
        <f t="shared" si="24"/>
        <v>0.63947100272107116</v>
      </c>
      <c r="BJ29">
        <f t="shared" si="25"/>
        <v>0.50533625378805413</v>
      </c>
      <c r="BN29">
        <v>11.5</v>
      </c>
      <c r="BO29" s="18">
        <f t="shared" si="26"/>
        <v>0.96245888916766531</v>
      </c>
      <c r="BZ29">
        <v>2.4</v>
      </c>
      <c r="CE29">
        <f t="shared" si="19"/>
        <v>0</v>
      </c>
    </row>
    <row r="30" spans="2:83" x14ac:dyDescent="0.3">
      <c r="B30" s="17" t="s">
        <v>169</v>
      </c>
      <c r="C30" s="17"/>
      <c r="D30">
        <v>40</v>
      </c>
      <c r="E30" s="17">
        <v>40</v>
      </c>
      <c r="F30" s="17"/>
      <c r="G30" s="17">
        <v>1178.4769999999901</v>
      </c>
      <c r="H30" s="17">
        <v>1.49599999999999</v>
      </c>
      <c r="I30" s="17">
        <f t="shared" si="1"/>
        <v>6.8937432786474767E-2</v>
      </c>
      <c r="J30" s="17">
        <v>0.281274021352312</v>
      </c>
      <c r="K30" s="17">
        <v>5.0000000000000001E-4</v>
      </c>
      <c r="L30" s="17"/>
      <c r="M30" s="17">
        <v>1338.37599999999</v>
      </c>
      <c r="N30" s="17">
        <v>1.5369999999999899</v>
      </c>
      <c r="O30" s="17">
        <f t="shared" si="2"/>
        <v>7.0826760824072008E-2</v>
      </c>
      <c r="P30" s="17">
        <v>0.25081850533807698</v>
      </c>
      <c r="Q30" s="17">
        <v>5.0000000000000001E-4</v>
      </c>
      <c r="R30" s="17"/>
      <c r="S30" s="17">
        <f t="shared" si="3"/>
        <v>1.0547539246019328</v>
      </c>
      <c r="T30" s="17">
        <f t="shared" si="4"/>
        <v>4.8640447364677854E-2</v>
      </c>
      <c r="U30" s="17">
        <f t="shared" si="5"/>
        <v>0.96632535994106006</v>
      </c>
      <c r="V30" s="17">
        <f t="shared" si="6"/>
        <v>4.4571052159493099E-2</v>
      </c>
      <c r="W30" s="17"/>
      <c r="X30" s="17">
        <f t="shared" si="7"/>
        <v>0.37058124171668649</v>
      </c>
      <c r="Y30" s="17">
        <f t="shared" si="8"/>
        <v>2.4160399325108852E-2</v>
      </c>
      <c r="Z30" s="17">
        <f t="shared" si="9"/>
        <v>0.37510386274122204</v>
      </c>
      <c r="AA30" s="17">
        <f t="shared" si="10"/>
        <v>2.4458013636096315E-2</v>
      </c>
      <c r="AB30" s="17"/>
      <c r="AC30" s="17">
        <f t="shared" si="11"/>
        <v>0.37284255222895424</v>
      </c>
      <c r="AD30" s="17">
        <f t="shared" si="12"/>
        <v>1.7189526801021846E-2</v>
      </c>
      <c r="BD30">
        <v>12</v>
      </c>
      <c r="BE30">
        <f t="shared" si="20"/>
        <v>1.2891997860877209</v>
      </c>
      <c r="BF30">
        <f t="shared" si="21"/>
        <v>1.2901482916333806</v>
      </c>
      <c r="BG30">
        <f t="shared" si="22"/>
        <v>1.0879285635773868</v>
      </c>
      <c r="BH30">
        <f t="shared" si="23"/>
        <v>0.85982933351946211</v>
      </c>
      <c r="BI30">
        <f t="shared" si="24"/>
        <v>0.63379474518527301</v>
      </c>
      <c r="BJ30">
        <f t="shared" si="25"/>
        <v>0.5015073821822047</v>
      </c>
      <c r="BN30">
        <v>12</v>
      </c>
      <c r="BO30" s="18">
        <f t="shared" si="26"/>
        <v>0.95830493756992008</v>
      </c>
      <c r="BZ30">
        <v>2.5</v>
      </c>
      <c r="CE30">
        <f t="shared" si="19"/>
        <v>0</v>
      </c>
    </row>
    <row r="31" spans="2:83" x14ac:dyDescent="0.3">
      <c r="B31" s="17" t="s">
        <v>170</v>
      </c>
      <c r="C31" s="17"/>
      <c r="D31">
        <v>50</v>
      </c>
      <c r="E31" s="17">
        <v>40</v>
      </c>
      <c r="F31" s="17"/>
      <c r="G31" s="17">
        <v>1178.41199999999</v>
      </c>
      <c r="H31" s="17">
        <v>1.3899999999999899</v>
      </c>
      <c r="I31" s="17">
        <f t="shared" si="1"/>
        <v>6.4052828591711145E-2</v>
      </c>
      <c r="J31" s="17">
        <v>0.24538537496664001</v>
      </c>
      <c r="K31" s="17">
        <v>5.0000000000000001E-4</v>
      </c>
      <c r="L31" s="17"/>
      <c r="M31" s="17">
        <v>1338.30899999999</v>
      </c>
      <c r="N31" s="17">
        <v>1.48199999999999</v>
      </c>
      <c r="O31" s="17">
        <f t="shared" si="2"/>
        <v>6.8292296383392778E-2</v>
      </c>
      <c r="P31" s="17">
        <v>0.221121697357886</v>
      </c>
      <c r="Q31" s="17">
        <v>5.0000000000000001E-4</v>
      </c>
      <c r="R31" s="17"/>
      <c r="S31" s="17">
        <f t="shared" si="3"/>
        <v>0.8549749875105046</v>
      </c>
      <c r="T31" s="17">
        <f t="shared" si="4"/>
        <v>3.9436746468857149E-2</v>
      </c>
      <c r="U31" s="17">
        <f t="shared" si="5"/>
        <v>0.82142798992033839</v>
      </c>
      <c r="V31" s="17">
        <f t="shared" si="6"/>
        <v>3.789790829643179E-2</v>
      </c>
      <c r="W31" s="17"/>
      <c r="X31" s="17">
        <f t="shared" si="7"/>
        <v>0.30039015273437053</v>
      </c>
      <c r="Y31" s="17">
        <f t="shared" si="8"/>
        <v>1.9586508955061404E-2</v>
      </c>
      <c r="Z31" s="17">
        <f t="shared" si="9"/>
        <v>0.31885824873898583</v>
      </c>
      <c r="AA31" s="17">
        <f t="shared" si="10"/>
        <v>2.0793398392543787E-2</v>
      </c>
      <c r="AB31" s="17"/>
      <c r="AC31" s="17">
        <f t="shared" si="11"/>
        <v>0.30962420073667818</v>
      </c>
      <c r="AD31" s="17">
        <f t="shared" si="12"/>
        <v>1.4282828411747996E-2</v>
      </c>
      <c r="BD31">
        <v>12.5</v>
      </c>
      <c r="BE31">
        <f t="shared" si="20"/>
        <v>1.2694324627949489</v>
      </c>
      <c r="BF31">
        <f t="shared" si="21"/>
        <v>1.2698016166934949</v>
      </c>
      <c r="BG31">
        <f t="shared" si="22"/>
        <v>1.0729288730642206</v>
      </c>
      <c r="BH31">
        <f t="shared" si="23"/>
        <v>0.84955271379044606</v>
      </c>
      <c r="BI31">
        <f t="shared" si="24"/>
        <v>0.62814182441059041</v>
      </c>
      <c r="BJ31">
        <f t="shared" si="25"/>
        <v>0.4976904381435957</v>
      </c>
      <c r="BN31">
        <v>12.5</v>
      </c>
      <c r="BO31" s="18">
        <f t="shared" si="26"/>
        <v>0.95395732816539569</v>
      </c>
      <c r="BZ31">
        <v>2.6</v>
      </c>
      <c r="CE31">
        <f t="shared" si="19"/>
        <v>0</v>
      </c>
    </row>
    <row r="32" spans="2:83" x14ac:dyDescent="0.3">
      <c r="B32" s="17" t="s">
        <v>141</v>
      </c>
      <c r="C32" s="17"/>
      <c r="D32">
        <v>60</v>
      </c>
      <c r="E32" s="17">
        <v>40</v>
      </c>
      <c r="F32" s="17"/>
      <c r="G32" s="17">
        <v>1178.3609999999901</v>
      </c>
      <c r="H32" s="17">
        <v>1.4099999999999899</v>
      </c>
      <c r="I32" s="17">
        <f t="shared" si="1"/>
        <v>6.4974452024685408E-2</v>
      </c>
      <c r="J32" s="17">
        <v>0.21148200623405999</v>
      </c>
      <c r="K32" s="17">
        <v>5.0000000000000001E-4</v>
      </c>
      <c r="L32" s="17"/>
      <c r="M32" s="17">
        <v>1338.38299999999</v>
      </c>
      <c r="N32" s="17">
        <v>1.46999999999999</v>
      </c>
      <c r="O32" s="17">
        <f t="shared" si="2"/>
        <v>6.7739322323608214E-2</v>
      </c>
      <c r="P32" s="17">
        <v>0.16740181354491199</v>
      </c>
      <c r="Q32" s="17">
        <v>5.0000000000000001E-4</v>
      </c>
      <c r="R32" s="17"/>
      <c r="S32" s="17">
        <f t="shared" si="3"/>
        <v>0.74745055472679245</v>
      </c>
      <c r="T32" s="17">
        <f t="shared" si="4"/>
        <v>3.4488701316819304E-2</v>
      </c>
      <c r="U32" s="17">
        <f t="shared" si="5"/>
        <v>0.61683275501258494</v>
      </c>
      <c r="V32" s="17">
        <f t="shared" si="6"/>
        <v>2.8484021631656892E-2</v>
      </c>
      <c r="W32" s="17"/>
      <c r="X32" s="17">
        <f t="shared" si="7"/>
        <v>0.2626121109689335</v>
      </c>
      <c r="Y32" s="17">
        <f t="shared" si="8"/>
        <v>1.7126141319554439E-2</v>
      </c>
      <c r="Z32" s="17">
        <f t="shared" si="9"/>
        <v>0.23943938414763641</v>
      </c>
      <c r="AA32" s="17">
        <f t="shared" si="10"/>
        <v>1.5621321400480536E-2</v>
      </c>
      <c r="AB32" s="17"/>
      <c r="AC32" s="17">
        <f t="shared" si="11"/>
        <v>0.25102574755828494</v>
      </c>
      <c r="AD32" s="17">
        <f t="shared" si="12"/>
        <v>1.1590194118245615E-2</v>
      </c>
      <c r="BD32">
        <v>13</v>
      </c>
      <c r="BE32">
        <f t="shared" si="20"/>
        <v>1.2498750367917002</v>
      </c>
      <c r="BF32">
        <f t="shared" si="21"/>
        <v>1.2496811093629319</v>
      </c>
      <c r="BG32">
        <f t="shared" si="22"/>
        <v>1.0580629933635894</v>
      </c>
      <c r="BH32">
        <f t="shared" si="23"/>
        <v>0.83934837486249481</v>
      </c>
      <c r="BI32">
        <f t="shared" si="24"/>
        <v>0.62251304321240819</v>
      </c>
      <c r="BJ32">
        <f t="shared" si="25"/>
        <v>0.49388585294677878</v>
      </c>
      <c r="BN32">
        <v>13</v>
      </c>
      <c r="BO32" s="18">
        <f t="shared" si="26"/>
        <v>0.94941886883191895</v>
      </c>
      <c r="BZ32">
        <v>2.7</v>
      </c>
      <c r="CE32">
        <f t="shared" si="19"/>
        <v>0</v>
      </c>
    </row>
    <row r="33" spans="2:83" x14ac:dyDescent="0.3">
      <c r="B33" s="13" t="s">
        <v>171</v>
      </c>
      <c r="C33" s="13"/>
      <c r="D33" s="13">
        <v>70</v>
      </c>
      <c r="E33" s="13">
        <v>40</v>
      </c>
      <c r="F33" s="13"/>
      <c r="G33" s="13">
        <v>1178.4089999999901</v>
      </c>
      <c r="H33" s="13">
        <v>1.3099999999999901</v>
      </c>
      <c r="I33" s="13">
        <f t="shared" si="1"/>
        <v>6.0366334859814075E-2</v>
      </c>
      <c r="J33" s="13">
        <v>0.17339708659293199</v>
      </c>
      <c r="K33" s="13">
        <v>5.0000000000000001E-4</v>
      </c>
      <c r="L33" s="13"/>
      <c r="M33" s="13">
        <v>1338.26999999999</v>
      </c>
      <c r="N33" s="13">
        <v>1.3099999999999901</v>
      </c>
      <c r="O33" s="13">
        <f t="shared" si="2"/>
        <v>6.0366334859814075E-2</v>
      </c>
      <c r="P33" s="13">
        <v>0.16593660642028599</v>
      </c>
      <c r="Q33" s="13">
        <v>5.0000000000000001E-4</v>
      </c>
      <c r="R33" s="13"/>
      <c r="S33" s="13">
        <f t="shared" si="3"/>
        <v>0.56938107239014879</v>
      </c>
      <c r="T33" s="13">
        <f t="shared" si="4"/>
        <v>2.6289066312003621E-2</v>
      </c>
      <c r="U33" s="13">
        <f t="shared" si="5"/>
        <v>0.54488322017871615</v>
      </c>
      <c r="V33" s="13">
        <f t="shared" si="6"/>
        <v>2.5162479077861715E-2</v>
      </c>
      <c r="W33" s="13"/>
      <c r="X33" s="13">
        <f t="shared" si="7"/>
        <v>0.20004850410578245</v>
      </c>
      <c r="Y33" s="13">
        <f t="shared" si="8"/>
        <v>1.3050260361102035E-2</v>
      </c>
      <c r="Z33" s="13">
        <f t="shared" si="9"/>
        <v>0.2115103350328906</v>
      </c>
      <c r="AA33" s="13">
        <f t="shared" si="10"/>
        <v>1.3799452216783524E-2</v>
      </c>
      <c r="AB33" s="13"/>
      <c r="AC33" s="13">
        <f t="shared" si="11"/>
        <v>0.20577941956933654</v>
      </c>
      <c r="AD33" s="13">
        <f t="shared" si="12"/>
        <v>9.4965016845131277E-3</v>
      </c>
      <c r="BD33">
        <v>13.5</v>
      </c>
      <c r="BE33">
        <f t="shared" si="20"/>
        <v>1.2305319926546212</v>
      </c>
      <c r="BF33">
        <f t="shared" si="21"/>
        <v>1.2297914059870845</v>
      </c>
      <c r="BG33">
        <f t="shared" si="22"/>
        <v>1.0433341795577173</v>
      </c>
      <c r="BH33">
        <f t="shared" si="23"/>
        <v>0.82921831355363151</v>
      </c>
      <c r="BI33">
        <f t="shared" si="24"/>
        <v>0.61690918546812568</v>
      </c>
      <c r="BJ33">
        <f t="shared" si="25"/>
        <v>0.49009405035663062</v>
      </c>
      <c r="BN33">
        <v>13.5</v>
      </c>
      <c r="BO33" s="18">
        <f t="shared" si="26"/>
        <v>0.94469248129557126</v>
      </c>
      <c r="BZ33">
        <v>2.8</v>
      </c>
      <c r="CE33">
        <f t="shared" si="19"/>
        <v>0</v>
      </c>
    </row>
    <row r="34" spans="2:83" x14ac:dyDescent="0.3">
      <c r="B34" t="s">
        <v>172</v>
      </c>
      <c r="D34">
        <v>20</v>
      </c>
      <c r="E34">
        <v>50</v>
      </c>
      <c r="G34">
        <v>1178.7839999999901</v>
      </c>
      <c r="H34">
        <v>1.49</v>
      </c>
      <c r="I34">
        <f t="shared" si="1"/>
        <v>6.866094575658295E-2</v>
      </c>
      <c r="J34">
        <v>0.33378018408229498</v>
      </c>
      <c r="K34">
        <v>5.0000000000000001E-4</v>
      </c>
      <c r="M34">
        <v>1338.7159999999899</v>
      </c>
      <c r="N34">
        <v>1.49</v>
      </c>
      <c r="O34">
        <f t="shared" si="2"/>
        <v>6.866094575658295E-2</v>
      </c>
      <c r="P34">
        <v>0.30783053600433102</v>
      </c>
      <c r="Q34">
        <v>5.0000000000000001E-4</v>
      </c>
      <c r="S34">
        <f t="shared" si="3"/>
        <v>1.2466276419290088</v>
      </c>
      <c r="T34">
        <f t="shared" si="4"/>
        <v>5.7476407372223599E-2</v>
      </c>
      <c r="U34">
        <f t="shared" si="5"/>
        <v>1.1497089207614757</v>
      </c>
      <c r="V34">
        <f t="shared" si="6"/>
        <v>5.301283565961331E-2</v>
      </c>
      <c r="X34">
        <f t="shared" si="7"/>
        <v>0.43799488082374122</v>
      </c>
      <c r="Y34">
        <f t="shared" si="8"/>
        <v>2.85524191722504E-2</v>
      </c>
      <c r="Z34">
        <f t="shared" si="9"/>
        <v>0.44628887441386755</v>
      </c>
      <c r="AA34">
        <f t="shared" si="10"/>
        <v>2.9094940610242447E-2</v>
      </c>
      <c r="AC34">
        <f t="shared" si="11"/>
        <v>0.44214187761880441</v>
      </c>
      <c r="AD34">
        <f t="shared" si="12"/>
        <v>2.0382322056756851E-2</v>
      </c>
      <c r="BD34">
        <v>14</v>
      </c>
      <c r="BE34">
        <f t="shared" si="20"/>
        <v>1.2114074619428215</v>
      </c>
      <c r="BF34">
        <f t="shared" si="21"/>
        <v>1.2101367504217351</v>
      </c>
      <c r="BG34">
        <f t="shared" si="22"/>
        <v>1.0287454883631033</v>
      </c>
      <c r="BH34">
        <f t="shared" si="23"/>
        <v>0.81916443776725689</v>
      </c>
      <c r="BI34">
        <f t="shared" si="24"/>
        <v>0.61133101569770121</v>
      </c>
      <c r="BJ34">
        <f t="shared" si="25"/>
        <v>0.48631544642925834</v>
      </c>
      <c r="BN34">
        <v>14</v>
      </c>
      <c r="BO34" s="18">
        <f t="shared" si="26"/>
        <v>0.93978119799762028</v>
      </c>
      <c r="BZ34">
        <v>2.9</v>
      </c>
      <c r="CE34">
        <f t="shared" si="19"/>
        <v>0</v>
      </c>
    </row>
    <row r="35" spans="2:83" x14ac:dyDescent="0.3">
      <c r="B35" t="s">
        <v>173</v>
      </c>
      <c r="D35">
        <v>30</v>
      </c>
      <c r="E35">
        <v>50</v>
      </c>
      <c r="G35">
        <v>1178.89599999999</v>
      </c>
      <c r="H35">
        <v>1.49</v>
      </c>
      <c r="I35">
        <f t="shared" si="1"/>
        <v>6.866094575658295E-2</v>
      </c>
      <c r="J35">
        <v>0.28937122460186698</v>
      </c>
      <c r="K35">
        <v>5.0000000000000001E-4</v>
      </c>
      <c r="M35">
        <v>1338.8519999999901</v>
      </c>
      <c r="N35">
        <v>1.59</v>
      </c>
      <c r="O35">
        <f t="shared" si="2"/>
        <v>7.3269062921454284E-2</v>
      </c>
      <c r="P35">
        <v>0.25573750686435898</v>
      </c>
      <c r="Q35">
        <v>5.0000000000000001E-4</v>
      </c>
      <c r="S35">
        <f t="shared" si="3"/>
        <v>1.0807656792429399</v>
      </c>
      <c r="T35">
        <f t="shared" si="4"/>
        <v>4.983794770887677E-2</v>
      </c>
      <c r="U35">
        <f t="shared" si="5"/>
        <v>1.0192517962878485</v>
      </c>
      <c r="V35">
        <f t="shared" si="6"/>
        <v>4.7010572533629433E-2</v>
      </c>
      <c r="X35">
        <f t="shared" si="7"/>
        <v>0.37972031018493813</v>
      </c>
      <c r="Y35">
        <f t="shared" si="8"/>
        <v>2.4755721859801932E-2</v>
      </c>
      <c r="Z35">
        <f t="shared" si="9"/>
        <v>0.39564861043988397</v>
      </c>
      <c r="AA35">
        <f t="shared" si="10"/>
        <v>2.5797139842693342E-2</v>
      </c>
      <c r="AC35">
        <f t="shared" si="11"/>
        <v>0.38768446031241105</v>
      </c>
      <c r="AD35">
        <f t="shared" si="12"/>
        <v>1.7876927790194765E-2</v>
      </c>
      <c r="BD35">
        <v>14.5</v>
      </c>
      <c r="BE35">
        <f t="shared" si="20"/>
        <v>1.1925052262723472</v>
      </c>
      <c r="BF35">
        <f t="shared" si="21"/>
        <v>1.1907209983665354</v>
      </c>
      <c r="BG35">
        <f t="shared" si="22"/>
        <v>1.0142997783006622</v>
      </c>
      <c r="BH35">
        <f t="shared" si="23"/>
        <v>0.80918856580747778</v>
      </c>
      <c r="BI35">
        <f t="shared" si="24"/>
        <v>0.60577927867716952</v>
      </c>
      <c r="BJ35">
        <f t="shared" si="25"/>
        <v>0.48255044932327645</v>
      </c>
      <c r="BN35">
        <v>14.5</v>
      </c>
      <c r="BO35" s="18">
        <f t="shared" si="26"/>
        <v>0.93468815885403822</v>
      </c>
      <c r="BZ35">
        <v>3</v>
      </c>
      <c r="CE35">
        <f t="shared" si="19"/>
        <v>0</v>
      </c>
    </row>
    <row r="36" spans="2:83" x14ac:dyDescent="0.3">
      <c r="B36" t="s">
        <v>174</v>
      </c>
      <c r="D36">
        <v>40</v>
      </c>
      <c r="E36">
        <v>50</v>
      </c>
      <c r="G36">
        <v>1178.9279999999901</v>
      </c>
      <c r="H36">
        <v>1.49</v>
      </c>
      <c r="I36">
        <f t="shared" si="1"/>
        <v>6.866094575658295E-2</v>
      </c>
      <c r="J36">
        <v>0.239542445602206</v>
      </c>
      <c r="K36">
        <v>5.0000000000000001E-4</v>
      </c>
      <c r="M36">
        <v>1339.0069999999901</v>
      </c>
      <c r="N36">
        <v>1.69</v>
      </c>
      <c r="O36">
        <f t="shared" si="2"/>
        <v>7.7877180086325618E-2</v>
      </c>
      <c r="P36">
        <v>0.196507814894269</v>
      </c>
      <c r="Q36">
        <v>5.0000000000000001E-4</v>
      </c>
      <c r="S36">
        <f t="shared" si="3"/>
        <v>0.89466136200991431</v>
      </c>
      <c r="T36">
        <f t="shared" si="4"/>
        <v>4.1269316260490137E-2</v>
      </c>
      <c r="U36">
        <f t="shared" si="5"/>
        <v>0.83244675604988083</v>
      </c>
      <c r="V36">
        <f t="shared" si="6"/>
        <v>3.8418554111767263E-2</v>
      </c>
      <c r="X36">
        <f t="shared" si="7"/>
        <v>0.31433371397475668</v>
      </c>
      <c r="Y36">
        <f t="shared" si="8"/>
        <v>2.0496173024191367E-2</v>
      </c>
      <c r="Z36">
        <f t="shared" si="9"/>
        <v>0.32313546416680572</v>
      </c>
      <c r="AA36">
        <f t="shared" si="10"/>
        <v>2.1075696305580201E-2</v>
      </c>
      <c r="AC36">
        <f t="shared" si="11"/>
        <v>0.31873458907078123</v>
      </c>
      <c r="AD36">
        <f t="shared" si="12"/>
        <v>1.4699303413790029E-2</v>
      </c>
      <c r="BD36">
        <v>15</v>
      </c>
      <c r="BE36">
        <f t="shared" si="20"/>
        <v>1.1738287214181276</v>
      </c>
      <c r="BF36">
        <f t="shared" si="21"/>
        <v>1.1715476228504871</v>
      </c>
      <c r="BG36">
        <f t="shared" si="22"/>
        <v>0.99999971041122537</v>
      </c>
      <c r="BH36">
        <f t="shared" si="23"/>
        <v>0.79929242591065952</v>
      </c>
      <c r="BI36">
        <f t="shared" si="24"/>
        <v>0.60025469908525753</v>
      </c>
      <c r="BJ36">
        <f t="shared" si="25"/>
        <v>0.47879945912158584</v>
      </c>
      <c r="BN36">
        <v>15</v>
      </c>
      <c r="BO36" s="18">
        <f t="shared" si="26"/>
        <v>0.92941660791245118</v>
      </c>
      <c r="BZ36">
        <v>3.1</v>
      </c>
      <c r="CE36">
        <f t="shared" si="19"/>
        <v>0</v>
      </c>
    </row>
    <row r="37" spans="2:83" x14ac:dyDescent="0.3">
      <c r="B37" t="s">
        <v>175</v>
      </c>
      <c r="D37">
        <v>50</v>
      </c>
      <c r="E37">
        <v>50</v>
      </c>
      <c r="G37">
        <v>1178.9779999999901</v>
      </c>
      <c r="H37">
        <v>1.49</v>
      </c>
      <c r="I37">
        <f t="shared" si="1"/>
        <v>6.866094575658295E-2</v>
      </c>
      <c r="J37">
        <v>0.21130210772833699</v>
      </c>
      <c r="K37">
        <v>5.0000000000000001E-4</v>
      </c>
      <c r="M37">
        <v>1338.9389999999901</v>
      </c>
      <c r="N37">
        <v>1.59</v>
      </c>
      <c r="O37">
        <f t="shared" si="2"/>
        <v>7.3269062921454284E-2</v>
      </c>
      <c r="P37">
        <v>0.173807962529274</v>
      </c>
      <c r="Q37">
        <v>5.0000000000000001E-4</v>
      </c>
      <c r="S37">
        <f t="shared" si="3"/>
        <v>0.78918719820425298</v>
      </c>
      <c r="T37">
        <f t="shared" si="4"/>
        <v>3.6414585894737936E-2</v>
      </c>
      <c r="U37">
        <f t="shared" si="5"/>
        <v>0.69271840563869502</v>
      </c>
      <c r="V37">
        <f t="shared" si="6"/>
        <v>3.1983417203076216E-2</v>
      </c>
      <c r="X37">
        <f t="shared" si="7"/>
        <v>0.27727602148322827</v>
      </c>
      <c r="Y37">
        <f t="shared" si="8"/>
        <v>1.8082462483966336E-2</v>
      </c>
      <c r="Z37">
        <f t="shared" si="9"/>
        <v>0.26889633711244415</v>
      </c>
      <c r="AA37">
        <f t="shared" si="10"/>
        <v>1.7541799129366421E-2</v>
      </c>
      <c r="AC37">
        <f t="shared" si="11"/>
        <v>0.27308617929783618</v>
      </c>
      <c r="AD37">
        <f t="shared" si="12"/>
        <v>1.2596528948276689E-2</v>
      </c>
      <c r="BD37">
        <v>15.5</v>
      </c>
      <c r="BE37">
        <f t="shared" si="20"/>
        <v>1.1553810423738522</v>
      </c>
      <c r="BF37">
        <f t="shared" si="21"/>
        <v>1.1526197207835354</v>
      </c>
      <c r="BG37">
        <f t="shared" si="22"/>
        <v>0.98584774949109333</v>
      </c>
      <c r="BH37">
        <f t="shared" si="23"/>
        <v>0.78947765598764552</v>
      </c>
      <c r="BI37">
        <f t="shared" si="24"/>
        <v>0.59475798118312684</v>
      </c>
      <c r="BJ37">
        <f t="shared" si="25"/>
        <v>0.47506286766376016</v>
      </c>
      <c r="BN37">
        <v>15.5</v>
      </c>
      <c r="BO37" s="18">
        <f t="shared" si="26"/>
        <v>0.92396988991149887</v>
      </c>
      <c r="BZ37">
        <v>3.2</v>
      </c>
      <c r="CE37">
        <f t="shared" si="19"/>
        <v>0</v>
      </c>
    </row>
    <row r="38" spans="2:83" x14ac:dyDescent="0.3">
      <c r="B38" t="s">
        <v>176</v>
      </c>
      <c r="D38">
        <v>60</v>
      </c>
      <c r="E38">
        <v>50</v>
      </c>
      <c r="G38">
        <v>1179.0509999999899</v>
      </c>
      <c r="H38">
        <v>1.20999999999999</v>
      </c>
      <c r="I38">
        <f t="shared" si="1"/>
        <v>5.5758217694942734E-2</v>
      </c>
      <c r="J38">
        <v>0.19409050154104701</v>
      </c>
      <c r="K38">
        <v>5.0000000000000001E-4</v>
      </c>
      <c r="M38">
        <v>1338.99099999999</v>
      </c>
      <c r="N38">
        <v>1.59</v>
      </c>
      <c r="O38">
        <f t="shared" si="2"/>
        <v>7.3269062921454284E-2</v>
      </c>
      <c r="P38">
        <v>0.14304230876996299</v>
      </c>
      <c r="Q38">
        <v>5.0000000000000001E-4</v>
      </c>
      <c r="S38">
        <f t="shared" si="3"/>
        <v>0.5886804141901163</v>
      </c>
      <c r="T38">
        <f t="shared" si="4"/>
        <v>2.7169439569516542E-2</v>
      </c>
      <c r="U38">
        <f t="shared" si="5"/>
        <v>0.57010069405374653</v>
      </c>
      <c r="V38">
        <f t="shared" si="6"/>
        <v>2.6346379906395753E-2</v>
      </c>
      <c r="X38">
        <f t="shared" si="7"/>
        <v>0.20682920800432056</v>
      </c>
      <c r="Y38">
        <f t="shared" si="8"/>
        <v>1.3489941726209789E-2</v>
      </c>
      <c r="Z38">
        <f t="shared" si="9"/>
        <v>0.22129914142381124</v>
      </c>
      <c r="AA38">
        <f t="shared" si="10"/>
        <v>1.4443420496963543E-2</v>
      </c>
      <c r="AC38">
        <f t="shared" si="11"/>
        <v>0.21406417471406591</v>
      </c>
      <c r="AD38">
        <f t="shared" si="12"/>
        <v>9.8816866403039025E-3</v>
      </c>
      <c r="BD38">
        <v>16</v>
      </c>
      <c r="BE38">
        <f t="shared" si="20"/>
        <v>1.1371649492979676</v>
      </c>
      <c r="BF38">
        <f t="shared" si="21"/>
        <v>1.1339400204862551</v>
      </c>
      <c r="BG38">
        <f t="shared" si="22"/>
        <v>0.97184616582067607</v>
      </c>
      <c r="BH38">
        <f t="shared" si="23"/>
        <v>0.77974580357036694</v>
      </c>
      <c r="BI38">
        <f t="shared" si="24"/>
        <v>0.58928980852718182</v>
      </c>
      <c r="BJ38">
        <f t="shared" si="25"/>
        <v>0.4713410583891231</v>
      </c>
      <c r="BN38">
        <v>16</v>
      </c>
      <c r="BO38" s="18">
        <f t="shared" si="26"/>
        <v>0.91835144674770819</v>
      </c>
      <c r="BZ38">
        <v>3.3</v>
      </c>
      <c r="CE38">
        <f t="shared" si="19"/>
        <v>0</v>
      </c>
    </row>
    <row r="39" spans="2:83" x14ac:dyDescent="0.3">
      <c r="B39" t="s">
        <v>142</v>
      </c>
      <c r="D39" s="17">
        <v>70</v>
      </c>
      <c r="E39">
        <v>50</v>
      </c>
      <c r="G39">
        <v>1179.0449999999901</v>
      </c>
      <c r="H39">
        <v>1.59</v>
      </c>
      <c r="I39">
        <f t="shared" si="1"/>
        <v>7.3269062921454284E-2</v>
      </c>
      <c r="J39">
        <v>0.140170626349892</v>
      </c>
      <c r="K39">
        <v>5.0000000000000001E-4</v>
      </c>
      <c r="M39">
        <v>1339.09799999999</v>
      </c>
      <c r="N39">
        <v>1.69</v>
      </c>
      <c r="O39">
        <f t="shared" si="2"/>
        <v>7.7877180086325618E-2</v>
      </c>
      <c r="P39">
        <v>0.119382289416846</v>
      </c>
      <c r="Q39">
        <v>5.0000000000000001E-4</v>
      </c>
      <c r="S39">
        <f t="shared" si="3"/>
        <v>0.5586554918973885</v>
      </c>
      <c r="T39">
        <f t="shared" si="4"/>
        <v>2.5820513213367948E-2</v>
      </c>
      <c r="U39">
        <f t="shared" si="5"/>
        <v>0.50572746742073615</v>
      </c>
      <c r="V39">
        <f t="shared" si="6"/>
        <v>2.3400571254927543E-2</v>
      </c>
      <c r="X39">
        <f t="shared" si="7"/>
        <v>0.19628013800215363</v>
      </c>
      <c r="Y39">
        <f t="shared" si="8"/>
        <v>1.2811060626315564E-2</v>
      </c>
      <c r="Z39">
        <f t="shared" si="9"/>
        <v>0.1963110297916886</v>
      </c>
      <c r="AA39">
        <f t="shared" si="10"/>
        <v>1.2820536655915538E-2</v>
      </c>
      <c r="AC39">
        <f t="shared" si="11"/>
        <v>0.19629558389692112</v>
      </c>
      <c r="AD39">
        <f t="shared" si="12"/>
        <v>9.0621387447556625E-3</v>
      </c>
      <c r="BD39">
        <v>16.5</v>
      </c>
      <c r="BE39">
        <f t="shared" si="20"/>
        <v>1.1191828742724763</v>
      </c>
      <c r="BF39">
        <f t="shared" si="21"/>
        <v>1.1155108901083977</v>
      </c>
      <c r="BG39">
        <f t="shared" si="22"/>
        <v>0.95799703735792163</v>
      </c>
      <c r="BH39">
        <f t="shared" si="23"/>
        <v>0.77009832595593697</v>
      </c>
      <c r="BI39">
        <f t="shared" si="24"/>
        <v>0.58385084371480056</v>
      </c>
      <c r="BJ39">
        <f t="shared" si="25"/>
        <v>0.46763440619057378</v>
      </c>
      <c r="BN39">
        <v>16.5</v>
      </c>
      <c r="BO39" s="18">
        <f t="shared" si="26"/>
        <v>0.91256481385509958</v>
      </c>
      <c r="BZ39">
        <v>3.4</v>
      </c>
      <c r="CE39">
        <f t="shared" si="19"/>
        <v>0</v>
      </c>
    </row>
    <row r="40" spans="2:83" x14ac:dyDescent="0.3">
      <c r="BD40">
        <v>17</v>
      </c>
      <c r="BE40">
        <f t="shared" si="20"/>
        <v>1.1014369288004116</v>
      </c>
      <c r="BF40">
        <f t="shared" si="21"/>
        <v>1.0973343468467154</v>
      </c>
      <c r="BG40">
        <f t="shared" si="22"/>
        <v>0.94430225236713961</v>
      </c>
      <c r="BH40">
        <f t="shared" si="23"/>
        <v>0.76053659054074596</v>
      </c>
      <c r="BI40">
        <f t="shared" si="24"/>
        <v>0.57844172816275441</v>
      </c>
      <c r="BJ40">
        <f t="shared" si="25"/>
        <v>0.46394327727919848</v>
      </c>
      <c r="BN40">
        <v>17</v>
      </c>
      <c r="BO40" s="18">
        <f t="shared" si="26"/>
        <v>0.90661361650285033</v>
      </c>
      <c r="BZ40">
        <v>3.5</v>
      </c>
      <c r="CE40">
        <f t="shared" si="19"/>
        <v>0</v>
      </c>
    </row>
    <row r="41" spans="2:83" x14ac:dyDescent="0.3">
      <c r="H41">
        <f>_xlfn.STDEV.S(H4:H39)</f>
        <v>6.5940876596762746E-2</v>
      </c>
      <c r="BD41">
        <v>17.5</v>
      </c>
      <c r="BE41">
        <f t="shared" si="20"/>
        <v>1.0839289119677447</v>
      </c>
      <c r="BF41">
        <f t="shared" si="21"/>
        <v>1.0794120668729432</v>
      </c>
      <c r="BG41">
        <f t="shared" si="22"/>
        <v>0.93076351245303102</v>
      </c>
      <c r="BH41">
        <f t="shared" si="23"/>
        <v>0.75106187533657331</v>
      </c>
      <c r="BI41">
        <f t="shared" si="24"/>
        <v>0.57306308191800925</v>
      </c>
      <c r="BJ41">
        <f t="shared" si="25"/>
        <v>0.46026802905968084</v>
      </c>
      <c r="BN41">
        <v>17.5</v>
      </c>
      <c r="BO41" s="18">
        <f t="shared" si="26"/>
        <v>0.9005015660164345</v>
      </c>
      <c r="BZ41">
        <v>3.6</v>
      </c>
      <c r="CE41">
        <f t="shared" si="19"/>
        <v>0</v>
      </c>
    </row>
    <row r="42" spans="2:83" x14ac:dyDescent="0.3">
      <c r="H42">
        <f>AVERAGE(H4:H39)</f>
        <v>1.4309722222222154</v>
      </c>
      <c r="BD42">
        <v>18</v>
      </c>
      <c r="BE42">
        <f t="shared" si="20"/>
        <v>1.0666603191959603</v>
      </c>
      <c r="BF42">
        <f t="shared" si="21"/>
        <v>1.0617453958839826</v>
      </c>
      <c r="BG42">
        <f t="shared" si="22"/>
        <v>0.91738233596917451</v>
      </c>
      <c r="BH42">
        <f t="shared" si="23"/>
        <v>0.74167536966029435</v>
      </c>
      <c r="BI42">
        <f t="shared" si="24"/>
        <v>0.56771550350051714</v>
      </c>
      <c r="BJ42">
        <f t="shared" si="25"/>
        <v>0.45660901001650173</v>
      </c>
      <c r="BN42">
        <v>18</v>
      </c>
      <c r="BO42" s="18">
        <f t="shared" si="26"/>
        <v>0.89423245592774347</v>
      </c>
      <c r="BZ42">
        <v>3.7</v>
      </c>
      <c r="CE42">
        <f t="shared" si="19"/>
        <v>0</v>
      </c>
    </row>
    <row r="43" spans="2:83" x14ac:dyDescent="0.3">
      <c r="BD43">
        <v>18.5</v>
      </c>
      <c r="BE43">
        <f t="shared" si="20"/>
        <v>1.049632351512586</v>
      </c>
      <c r="BF43">
        <f t="shared" si="21"/>
        <v>1.0443353601881806</v>
      </c>
      <c r="BG43">
        <f t="shared" si="22"/>
        <v>0.90416006176992902</v>
      </c>
      <c r="BH43">
        <f t="shared" si="23"/>
        <v>0.73237817498839841</v>
      </c>
      <c r="BI43">
        <f t="shared" si="24"/>
        <v>0.5623995697775368</v>
      </c>
      <c r="BJ43">
        <f t="shared" si="25"/>
        <v>0.45296655961090121</v>
      </c>
      <c r="BN43">
        <v>18.5</v>
      </c>
      <c r="BO43" s="18">
        <f t="shared" si="26"/>
        <v>0.88781015805976637</v>
      </c>
      <c r="BZ43">
        <v>3.8</v>
      </c>
      <c r="CE43">
        <f t="shared" si="19"/>
        <v>0</v>
      </c>
    </row>
    <row r="44" spans="2:83" x14ac:dyDescent="0.3">
      <c r="H44">
        <f>H41/H42</f>
        <v>4.6081171648713386E-2</v>
      </c>
      <c r="BD44">
        <v>19</v>
      </c>
      <c r="BE44">
        <f t="shared" si="20"/>
        <v>1.0328459252685345</v>
      </c>
      <c r="BF44">
        <f t="shared" si="21"/>
        <v>1.0271826782440165</v>
      </c>
      <c r="BG44">
        <f t="shared" si="22"/>
        <v>0.89109785327463042</v>
      </c>
      <c r="BH44">
        <f t="shared" si="23"/>
        <v>0.72317130596722778</v>
      </c>
      <c r="BI44">
        <f t="shared" si="24"/>
        <v>0.55711583586895419</v>
      </c>
      <c r="BJ44">
        <f t="shared" si="25"/>
        <v>0.44934100818854816</v>
      </c>
      <c r="BN44">
        <v>19</v>
      </c>
      <c r="BO44" s="18">
        <f t="shared" si="26"/>
        <v>0.88123861855147478</v>
      </c>
      <c r="BZ44">
        <v>3.9</v>
      </c>
      <c r="CE44">
        <f t="shared" si="19"/>
        <v>0</v>
      </c>
    </row>
    <row r="45" spans="2:83" x14ac:dyDescent="0.3">
      <c r="BD45">
        <v>19.5</v>
      </c>
      <c r="BE45">
        <f t="shared" si="20"/>
        <v>1.0163016822331166</v>
      </c>
      <c r="BF45">
        <f t="shared" si="21"/>
        <v>1.0102877725704349</v>
      </c>
      <c r="BG45">
        <f t="shared" si="22"/>
        <v>0.87819670281310824</v>
      </c>
      <c r="BH45">
        <f t="shared" si="23"/>
        <v>0.71405569156961846</v>
      </c>
      <c r="BI45">
        <f t="shared" si="24"/>
        <v>0.5518648350830011</v>
      </c>
      <c r="BJ45">
        <f t="shared" si="25"/>
        <v>0.44573267689784918</v>
      </c>
      <c r="BN45">
        <v>19.5</v>
      </c>
      <c r="BO45" s="18">
        <f t="shared" si="26"/>
        <v>0.87452185382860714</v>
      </c>
      <c r="BZ45">
        <v>4</v>
      </c>
      <c r="CE45">
        <f t="shared" si="19"/>
        <v>0</v>
      </c>
    </row>
    <row r="46" spans="2:83" x14ac:dyDescent="0.3">
      <c r="BD46">
        <v>20</v>
      </c>
      <c r="BE46">
        <f t="shared" si="20"/>
        <v>1</v>
      </c>
      <c r="BF46">
        <f t="shared" si="21"/>
        <v>0.99365078195142897</v>
      </c>
      <c r="BG46">
        <f t="shared" si="22"/>
        <v>0.86545743622190296</v>
      </c>
      <c r="BH46">
        <f t="shared" si="23"/>
        <v>0.70503217638844595</v>
      </c>
      <c r="BI46">
        <f t="shared" si="24"/>
        <v>0.54664707888171793</v>
      </c>
      <c r="BJ46">
        <f t="shared" si="25"/>
        <v>0.44214187761880441</v>
      </c>
      <c r="BN46">
        <v>20</v>
      </c>
      <c r="BO46" s="18">
        <f t="shared" si="26"/>
        <v>0.8676639465260958</v>
      </c>
    </row>
    <row r="47" spans="2:83" x14ac:dyDescent="0.3">
      <c r="BD47">
        <v>20.5</v>
      </c>
      <c r="BE47">
        <f t="shared" si="20"/>
        <v>0.98394100264012496</v>
      </c>
      <c r="BF47">
        <f t="shared" si="21"/>
        <v>0.97727157386119801</v>
      </c>
      <c r="BG47">
        <f t="shared" si="22"/>
        <v>0.85288071766107765</v>
      </c>
      <c r="BH47">
        <f t="shared" si="23"/>
        <v>0.69610152205747133</v>
      </c>
      <c r="BI47">
        <f t="shared" si="24"/>
        <v>0.54146305687544016</v>
      </c>
      <c r="BJ47">
        <f t="shared" si="25"/>
        <v>0.43856891290230027</v>
      </c>
      <c r="BN47">
        <v>20.5</v>
      </c>
      <c r="BO47" s="18">
        <f t="shared" si="26"/>
        <v>0.86066904136791011</v>
      </c>
    </row>
    <row r="48" spans="2:83" x14ac:dyDescent="0.3">
      <c r="BD48">
        <v>21</v>
      </c>
      <c r="BE48">
        <f t="shared" si="20"/>
        <v>0.96812457154061371</v>
      </c>
      <c r="BF48">
        <f t="shared" si="21"/>
        <v>0.96114975704021566</v>
      </c>
      <c r="BG48">
        <f t="shared" si="22"/>
        <v>0.84046705462221993</v>
      </c>
      <c r="BH48">
        <f t="shared" si="23"/>
        <v>0.6872644087898282</v>
      </c>
      <c r="BI48">
        <f t="shared" si="24"/>
        <v>0.53631323684554388</v>
      </c>
      <c r="BJ48">
        <f t="shared" si="25"/>
        <v>0.43501407591971297</v>
      </c>
      <c r="BN48">
        <v>21</v>
      </c>
      <c r="BO48" s="18">
        <f t="shared" si="26"/>
        <v>0.8535413410101107</v>
      </c>
    </row>
    <row r="49" spans="56:67" x14ac:dyDescent="0.3">
      <c r="BD49">
        <v>21.5</v>
      </c>
      <c r="BE49">
        <f t="shared" si="20"/>
        <v>0.95255035637195629</v>
      </c>
      <c r="BF49">
        <f t="shared" si="21"/>
        <v>0.94528469415678473</v>
      </c>
      <c r="BG49">
        <f t="shared" si="22"/>
        <v>0.82821680309906731</v>
      </c>
      <c r="BH49">
        <f t="shared" si="23"/>
        <v>0.67852143702448964</v>
      </c>
      <c r="BI49">
        <f t="shared" si="24"/>
        <v>0.53119806479462883</v>
      </c>
      <c r="BJ49">
        <f t="shared" si="25"/>
        <v>0.43147765042267583</v>
      </c>
      <c r="BN49">
        <v>21.5</v>
      </c>
      <c r="BO49" s="18">
        <f t="shared" si="26"/>
        <v>0.84628510185292516</v>
      </c>
    </row>
    <row r="50" spans="56:67" x14ac:dyDescent="0.3">
      <c r="BD50">
        <v>22</v>
      </c>
      <c r="BE50">
        <f t="shared" si="20"/>
        <v>0.93721778612918949</v>
      </c>
      <c r="BF50">
        <f t="shared" si="21"/>
        <v>0.92967551449304042</v>
      </c>
      <c r="BG50">
        <f t="shared" si="22"/>
        <v>0.81613017289315004</v>
      </c>
      <c r="BH50">
        <f t="shared" si="23"/>
        <v>0.66987312917110631</v>
      </c>
      <c r="BI50">
        <f t="shared" si="24"/>
        <v>0.52611796502328179</v>
      </c>
      <c r="BJ50">
        <f t="shared" si="25"/>
        <v>0.42795991071284967</v>
      </c>
      <c r="BN50">
        <v>22</v>
      </c>
      <c r="BO50" s="18">
        <f t="shared" si="26"/>
        <v>0.83890462982765446</v>
      </c>
    </row>
    <row r="51" spans="56:67" x14ac:dyDescent="0.3">
      <c r="BD51">
        <v>22.5</v>
      </c>
      <c r="BE51">
        <f t="shared" si="20"/>
        <v>0.92212608019631959</v>
      </c>
      <c r="BF51">
        <f t="shared" si="21"/>
        <v>0.9143211265988701</v>
      </c>
      <c r="BG51">
        <f t="shared" si="22"/>
        <v>0.80420723302793007</v>
      </c>
      <c r="BH51">
        <f t="shared" si="23"/>
        <v>0.66131993144371026</v>
      </c>
      <c r="BI51">
        <f t="shared" si="24"/>
        <v>0.52107334023251661</v>
      </c>
      <c r="BJ51">
        <f t="shared" si="25"/>
        <v>0.42446112162151939</v>
      </c>
      <c r="BN51">
        <v>22.5</v>
      </c>
      <c r="BO51" s="18">
        <f t="shared" si="26"/>
        <v>0.83140427616421197</v>
      </c>
    </row>
    <row r="52" spans="56:67" x14ac:dyDescent="0.3">
      <c r="BD52">
        <v>23</v>
      </c>
      <c r="BE52">
        <f t="shared" si="20"/>
        <v>0.90727425938688944</v>
      </c>
      <c r="BF52">
        <f t="shared" si="21"/>
        <v>0.89922023086175296</v>
      </c>
      <c r="BG52">
        <f t="shared" si="22"/>
        <v>0.79244791724607866</v>
      </c>
      <c r="BH52">
        <f t="shared" si="23"/>
        <v>0.6528622157739119</v>
      </c>
      <c r="BI52">
        <f t="shared" si="24"/>
        <v>0.51606457165095687</v>
      </c>
      <c r="BJ52">
        <f t="shared" si="25"/>
        <v>0.4209815384988248</v>
      </c>
      <c r="BN52">
        <v>23</v>
      </c>
      <c r="BO52" s="18">
        <f t="shared" si="26"/>
        <v>0.82378843314507733</v>
      </c>
    </row>
    <row r="53" spans="56:67" x14ac:dyDescent="0.3">
      <c r="BD53">
        <v>23.5</v>
      </c>
      <c r="BE53">
        <f t="shared" si="20"/>
        <v>0.89266115691725001</v>
      </c>
      <c r="BF53">
        <f t="shared" si="21"/>
        <v>0.88437133194507134</v>
      </c>
      <c r="BG53">
        <f t="shared" si="22"/>
        <v>0.7808520295657817</v>
      </c>
      <c r="BH53">
        <f t="shared" si="23"/>
        <v>0.64450028179441077</v>
      </c>
      <c r="BI53">
        <f t="shared" si="24"/>
        <v>0.51109201918579383</v>
      </c>
      <c r="BJ53">
        <f t="shared" si="25"/>
        <v>0.41752140721242043</v>
      </c>
      <c r="BN53">
        <v>23.5</v>
      </c>
      <c r="BO53" s="18">
        <f t="shared" si="26"/>
        <v>0.81606152985142044</v>
      </c>
    </row>
    <row r="54" spans="56:67" x14ac:dyDescent="0.3">
      <c r="BD54">
        <v>24</v>
      </c>
      <c r="BE54">
        <f t="shared" si="20"/>
        <v>0.87828542927277531</v>
      </c>
      <c r="BF54">
        <f t="shared" si="21"/>
        <v>0.86977275105194551</v>
      </c>
      <c r="BG54">
        <f t="shared" si="22"/>
        <v>0.76941924987326282</v>
      </c>
      <c r="BH54">
        <f t="shared" si="23"/>
        <v>0.63623435888385249</v>
      </c>
      <c r="BI54">
        <f t="shared" si="24"/>
        <v>0.50615602159652806</v>
      </c>
      <c r="BJ54">
        <f t="shared" si="25"/>
        <v>0.4140809641553454</v>
      </c>
      <c r="BN54">
        <v>24</v>
      </c>
      <c r="BO54" s="18">
        <f t="shared" si="26"/>
        <v>0.8082280279071089</v>
      </c>
    </row>
    <row r="55" spans="56:67" x14ac:dyDescent="0.3">
      <c r="BD55">
        <v>24.5</v>
      </c>
      <c r="BE55">
        <f t="shared" si="20"/>
        <v>0.86414556693090672</v>
      </c>
      <c r="BF55">
        <f t="shared" si="21"/>
        <v>0.85542263797604989</v>
      </c>
      <c r="BG55">
        <f t="shared" si="22"/>
        <v>0.75814913953007668</v>
      </c>
      <c r="BH55">
        <f t="shared" si="23"/>
        <v>0.62806460826431876</v>
      </c>
      <c r="BI55">
        <f t="shared" si="24"/>
        <v>0.50125689669048012</v>
      </c>
      <c r="BJ55">
        <f t="shared" si="25"/>
        <v>0.41066043626287441</v>
      </c>
      <c r="BN55">
        <v>24.5</v>
      </c>
      <c r="BO55" s="18">
        <f t="shared" si="26"/>
        <v>0.80029241722626787</v>
      </c>
    </row>
    <row r="56" spans="56:67" x14ac:dyDescent="0.3">
      <c r="BD56">
        <v>25</v>
      </c>
      <c r="BE56">
        <f t="shared" si="20"/>
        <v>0.85023990490848667</v>
      </c>
      <c r="BF56">
        <f t="shared" si="21"/>
        <v>0.84131898290518392</v>
      </c>
      <c r="BG56">
        <f t="shared" si="22"/>
        <v>0.74704114697508328</v>
      </c>
      <c r="BH56">
        <f t="shared" si="23"/>
        <v>0.61999112514301447</v>
      </c>
      <c r="BI56">
        <f t="shared" si="24"/>
        <v>0.49639494153903629</v>
      </c>
      <c r="BJ56">
        <f t="shared" si="25"/>
        <v>0.40726004103810848</v>
      </c>
      <c r="BN56">
        <v>25</v>
      </c>
      <c r="BO56" s="18">
        <f t="shared" si="26"/>
        <v>0.79225921176999825</v>
      </c>
    </row>
    <row r="57" spans="56:67" x14ac:dyDescent="0.3">
      <c r="BD57">
        <v>25.5</v>
      </c>
      <c r="BE57">
        <f t="shared" si="20"/>
        <v>0.83656663310434298</v>
      </c>
      <c r="BF57">
        <f t="shared" si="21"/>
        <v>0.82745962794751726</v>
      </c>
      <c r="BG57">
        <f t="shared" si="22"/>
        <v>0.73609461330243098</v>
      </c>
      <c r="BH57">
        <f t="shared" si="23"/>
        <v>0.6120139408900217</v>
      </c>
      <c r="BI57">
        <f t="shared" si="24"/>
        <v>0.4915704327135858</v>
      </c>
      <c r="BJ57">
        <f t="shared" si="25"/>
        <v>0.40387998658605345</v>
      </c>
      <c r="BN57">
        <v>25.5</v>
      </c>
      <c r="BO57" s="18">
        <f t="shared" si="26"/>
        <v>0.78413294531779665</v>
      </c>
    </row>
    <row r="58" spans="56:67" x14ac:dyDescent="0.3">
      <c r="BD58">
        <v>26</v>
      </c>
      <c r="BE58">
        <f t="shared" si="20"/>
        <v>0.82312380641147131</v>
      </c>
      <c r="BF58">
        <f t="shared" si="21"/>
        <v>0.81384227835442502</v>
      </c>
      <c r="BG58">
        <f t="shared" si="22"/>
        <v>0.72530877779826197</v>
      </c>
      <c r="BH58">
        <f t="shared" si="23"/>
        <v>0.60413302524431589</v>
      </c>
      <c r="BI58">
        <f t="shared" si="24"/>
        <v>0.48678362654009261</v>
      </c>
      <c r="BJ58">
        <f t="shared" si="25"/>
        <v>0.40052047165592808</v>
      </c>
      <c r="BN58">
        <v>26</v>
      </c>
      <c r="BO58" s="18">
        <f t="shared" si="26"/>
        <v>0.7759181672591392</v>
      </c>
    </row>
    <row r="59" spans="56:67" x14ac:dyDescent="0.3">
      <c r="BD59">
        <v>26.5</v>
      </c>
      <c r="BE59">
        <f t="shared" si="20"/>
        <v>0.80990935457641333</v>
      </c>
      <c r="BF59">
        <f t="shared" si="21"/>
        <v>0.80046451341762959</v>
      </c>
      <c r="BG59">
        <f t="shared" si="22"/>
        <v>0.71468278342025859</v>
      </c>
      <c r="BH59">
        <f t="shared" si="23"/>
        <v>0.59634828854057997</v>
      </c>
      <c r="BI59">
        <f t="shared" si="24"/>
        <v>0.4820347593712383</v>
      </c>
      <c r="BJ59">
        <f t="shared" si="25"/>
        <v>0.3971816856914327</v>
      </c>
      <c r="BN59">
        <v>26.5</v>
      </c>
      <c r="BO59" s="18">
        <f t="shared" si="26"/>
        <v>0.76761943841060987</v>
      </c>
    </row>
    <row r="60" spans="56:67" x14ac:dyDescent="0.3">
      <c r="BD60">
        <v>27</v>
      </c>
      <c r="BE60">
        <f t="shared" si="20"/>
        <v>0.79692109178655457</v>
      </c>
      <c r="BF60">
        <f t="shared" si="21"/>
        <v>0.78732379702197464</v>
      </c>
      <c r="BG60">
        <f t="shared" si="22"/>
        <v>0.70421568220552011</v>
      </c>
      <c r="BH60">
        <f t="shared" si="23"/>
        <v>0.58865958394971107</v>
      </c>
      <c r="BI60">
        <f t="shared" si="24"/>
        <v>0.47732404787507526</v>
      </c>
      <c r="BJ60">
        <f t="shared" si="25"/>
        <v>0.39386380888870265</v>
      </c>
      <c r="BN60">
        <v>27</v>
      </c>
      <c r="BO60" s="18">
        <f t="shared" si="26"/>
        <v>0.75924132686385726</v>
      </c>
    </row>
    <row r="61" spans="56:67" x14ac:dyDescent="0.3">
      <c r="BD61">
        <v>27.5</v>
      </c>
      <c r="BE61">
        <f t="shared" si="20"/>
        <v>0.78415672596901176</v>
      </c>
      <c r="BF61">
        <f t="shared" si="21"/>
        <v>0.7744174878385478</v>
      </c>
      <c r="BG61">
        <f t="shared" si="22"/>
        <v>0.69390644059361861</v>
      </c>
      <c r="BH61">
        <f t="shared" si="23"/>
        <v>0.58106670972628127</v>
      </c>
      <c r="BI61">
        <f t="shared" si="24"/>
        <v>0.47265168933912294</v>
      </c>
      <c r="BJ61">
        <f t="shared" si="25"/>
        <v>0.39056701226166757</v>
      </c>
      <c r="BN61">
        <v>27.5</v>
      </c>
      <c r="BO61" s="18">
        <f t="shared" si="26"/>
        <v>0.75078840386956014</v>
      </c>
    </row>
    <row r="62" spans="56:67" x14ac:dyDescent="0.3">
      <c r="BD62">
        <v>28</v>
      </c>
      <c r="BE62">
        <f t="shared" si="20"/>
        <v>0.771613867787588</v>
      </c>
      <c r="BF62">
        <f t="shared" si="21"/>
        <v>0.76174284914603907</v>
      </c>
      <c r="BG62">
        <f t="shared" si="22"/>
        <v>0.68375394465299877</v>
      </c>
      <c r="BH62">
        <f t="shared" si="23"/>
        <v>0.57356941145658991</v>
      </c>
      <c r="BI62">
        <f t="shared" si="24"/>
        <v>0.46801786198885209</v>
      </c>
      <c r="BJ62">
        <f t="shared" si="25"/>
        <v>0.387291457714526</v>
      </c>
      <c r="BN62">
        <v>28</v>
      </c>
      <c r="BO62" s="18">
        <f t="shared" si="26"/>
        <v>0.74226523976247671</v>
      </c>
    </row>
    <row r="63" spans="56:67" x14ac:dyDescent="0.3">
      <c r="BD63">
        <v>28.5</v>
      </c>
      <c r="BE63">
        <f t="shared" si="20"/>
        <v>0.75929003932688666</v>
      </c>
      <c r="BF63">
        <f t="shared" si="21"/>
        <v>0.7492970582711862</v>
      </c>
      <c r="BG63">
        <f t="shared" si="22"/>
        <v>0.67375700520017001</v>
      </c>
      <c r="BH63">
        <f t="shared" si="23"/>
        <v>0.56616738430132396</v>
      </c>
      <c r="BI63">
        <f t="shared" si="24"/>
        <v>0.46342272531950335</v>
      </c>
      <c r="BJ63">
        <f t="shared" si="25"/>
        <v>0.38403729812104898</v>
      </c>
      <c r="BN63">
        <v>28.5</v>
      </c>
      <c r="BO63" s="18">
        <f t="shared" si="26"/>
        <v>0.73367639993252631</v>
      </c>
    </row>
    <row r="64" spans="56:67" x14ac:dyDescent="0.3">
      <c r="BD64">
        <v>29</v>
      </c>
      <c r="BE64">
        <f t="shared" si="20"/>
        <v>0.74718268245513175</v>
      </c>
      <c r="BF64">
        <f t="shared" si="21"/>
        <v>0.7370772156418709</v>
      </c>
      <c r="BG64">
        <f t="shared" si="22"/>
        <v>0.66391436280237703</v>
      </c>
      <c r="BH64">
        <f t="shared" si="23"/>
        <v>0.5588602752272287</v>
      </c>
      <c r="BI64">
        <f t="shared" si="24"/>
        <v>0.45886642044019982</v>
      </c>
      <c r="BJ64">
        <f t="shared" si="25"/>
        <v>0.38080467741041374</v>
      </c>
      <c r="BN64">
        <v>29</v>
      </c>
      <c r="BO64" s="18">
        <f t="shared" si="26"/>
        <v>0.72502644084673318</v>
      </c>
    </row>
    <row r="65" spans="56:67" x14ac:dyDescent="0.3">
      <c r="BD65">
        <v>29.5</v>
      </c>
      <c r="BE65">
        <f t="shared" si="20"/>
        <v>0.73528916685951407</v>
      </c>
      <c r="BF65">
        <f t="shared" si="21"/>
        <v>0.72508035344895083</v>
      </c>
      <c r="BG65">
        <f t="shared" si="22"/>
        <v>0.65422469265561256</v>
      </c>
      <c r="BH65">
        <f t="shared" si="23"/>
        <v>0.55164768522256824</v>
      </c>
      <c r="BI65">
        <f t="shared" si="24"/>
        <v>0.45434907042932643</v>
      </c>
      <c r="BJ65">
        <f t="shared" si="25"/>
        <v>0.37759373065927193</v>
      </c>
      <c r="BN65">
        <v>29.5</v>
      </c>
      <c r="BO65" s="18">
        <f t="shared" si="26"/>
        <v>0.71631990612672558</v>
      </c>
    </row>
    <row r="66" spans="56:67" x14ac:dyDescent="0.3">
      <c r="BD66">
        <v>30</v>
      </c>
      <c r="BE66">
        <f t="shared" si="20"/>
        <v>0.72360679774997894</v>
      </c>
      <c r="BF66">
        <f t="shared" si="21"/>
        <v>0.71330344391518785</v>
      </c>
      <c r="BG66">
        <f t="shared" si="22"/>
        <v>0.64468660933098154</v>
      </c>
      <c r="BH66">
        <f t="shared" si="23"/>
        <v>0.54452917149154323</v>
      </c>
      <c r="BI66">
        <f t="shared" si="24"/>
        <v>0.4498707807001644</v>
      </c>
      <c r="BJ66">
        <f t="shared" si="25"/>
        <v>0.37440458418975453</v>
      </c>
      <c r="BN66">
        <v>30</v>
      </c>
      <c r="BO66" s="18">
        <f t="shared" si="26"/>
        <v>0.70756132268634342</v>
      </c>
    </row>
    <row r="67" spans="56:67" x14ac:dyDescent="0.3">
      <c r="BD67">
        <v>30.5</v>
      </c>
      <c r="BE67">
        <f t="shared" si="20"/>
        <v>0.71213282322929472</v>
      </c>
      <c r="BF67">
        <f t="shared" si="21"/>
        <v>0.7017434071717108</v>
      </c>
      <c r="BG67">
        <f t="shared" si="22"/>
        <v>0.63529867138349017</v>
      </c>
      <c r="BH67">
        <f t="shared" si="23"/>
        <v>0.53750424962320209</v>
      </c>
      <c r="BI67">
        <f t="shared" si="24"/>
        <v>0.44543163937578684</v>
      </c>
      <c r="BJ67">
        <f t="shared" si="25"/>
        <v>0.37123735567311</v>
      </c>
      <c r="BN67">
        <v>30.5</v>
      </c>
      <c r="BO67" s="18">
        <f t="shared" si="26"/>
        <v>0.69875519693376353</v>
      </c>
    </row>
    <row r="68" spans="56:67" x14ac:dyDescent="0.3">
      <c r="BD68">
        <v>31</v>
      </c>
      <c r="BE68">
        <f t="shared" si="20"/>
        <v>0.70086444132899528</v>
      </c>
      <c r="BF68">
        <f t="shared" si="21"/>
        <v>0.6903971187443152</v>
      </c>
      <c r="BG68">
        <f t="shared" si="22"/>
        <v>0.6260593858183563</v>
      </c>
      <c r="BH68">
        <f t="shared" si="23"/>
        <v>0.53057239573075377</v>
      </c>
      <c r="BI68">
        <f t="shared" si="24"/>
        <v>0.4410317176722402</v>
      </c>
      <c r="BJ68">
        <f t="shared" si="25"/>
        <v>0.36809215423867758</v>
      </c>
      <c r="BN68">
        <v>31</v>
      </c>
      <c r="BO68" s="18">
        <f t="shared" si="26"/>
        <v>0.68990601104239713</v>
      </c>
    </row>
    <row r="69" spans="56:67" x14ac:dyDescent="0.3">
      <c r="BD69">
        <v>31.5</v>
      </c>
      <c r="BE69">
        <f t="shared" si="20"/>
        <v>0.68979880671237315</v>
      </c>
      <c r="BF69">
        <f t="shared" si="21"/>
        <v>0.67926141665356865</v>
      </c>
      <c r="BG69">
        <f t="shared" si="22"/>
        <v>0.61696721241089458</v>
      </c>
      <c r="BH69">
        <f t="shared" si="23"/>
        <v>0.52373304855755665</v>
      </c>
      <c r="BI69">
        <f t="shared" si="24"/>
        <v>0.43667107028906427</v>
      </c>
      <c r="BJ69">
        <f t="shared" si="25"/>
        <v>0.36496908058789418</v>
      </c>
      <c r="BN69">
        <v>31.5</v>
      </c>
      <c r="BO69" s="18">
        <f t="shared" si="26"/>
        <v>0.681018219294657</v>
      </c>
    </row>
    <row r="70" spans="56:67" x14ac:dyDescent="0.3">
      <c r="BD70">
        <v>32</v>
      </c>
      <c r="BE70">
        <f t="shared" si="20"/>
        <v>0.67893303704712782</v>
      </c>
      <c r="BF70">
        <f t="shared" si="21"/>
        <v>0.66833310813415936</v>
      </c>
      <c r="BG70">
        <f t="shared" si="22"/>
        <v>0.60802056787692105</v>
      </c>
      <c r="BH70">
        <f t="shared" si="23"/>
        <v>0.5169856115464001</v>
      </c>
      <c r="BI70">
        <f t="shared" si="24"/>
        <v>0.43234973580621977</v>
      </c>
      <c r="BJ70">
        <f t="shared" si="25"/>
        <v>0.36186822711303601</v>
      </c>
      <c r="BN70">
        <v>32</v>
      </c>
      <c r="BO70" s="18">
        <f t="shared" si="26"/>
        <v>0.67209624450253014</v>
      </c>
    </row>
    <row r="71" spans="56:67" x14ac:dyDescent="0.3">
      <c r="BD71">
        <v>32.5</v>
      </c>
      <c r="BE71">
        <f t="shared" ref="BE71:BE134" si="28">(1-($BD71/(SQRT($BD71^2+BE$2^2))))/(1-(20/(SQRT(20^2+BE$2^2))))</f>
        <v>0.66826421905154898</v>
      </c>
      <c r="BF71">
        <f t="shared" ref="BF71:BF134" si="29">(1-($BD71/(SQRT($BD71^2+BF$2^2))))/(1-(20/(SQRT(20^2+BF$2^2))))*$AC$10</f>
        <v>0.65760897598023116</v>
      </c>
      <c r="BG71">
        <f t="shared" ref="BG71:BG134" si="30">(1-($BD71/(SQRT($BD71^2+BG$2^2))))/(1-(20/(SQRT(20^2+BG$2^2))))*$AC$16</f>
        <v>0.59921782989146632</v>
      </c>
      <c r="BH71">
        <f t="shared" ref="BH71:BH134" si="31">(1-($BD71/(SQRT($BD71^2+BH$2^2))))/(1-(20/(SQRT(20^2+BH$2^2))))*$AC$22</f>
        <v>0.5103294548690489</v>
      </c>
      <c r="BI71">
        <f t="shared" ref="BI71:BI134" si="32">(1-($BD71/(SQRT($BD71^2+BI$2^2))))/(1-(20/(SQRT(20^2+BI$2^2))))*$AC$28</f>
        <v>0.42806773708652368</v>
      </c>
      <c r="BJ71">
        <f t="shared" ref="BJ71:BJ134" si="33">(1-($BD71/(SQRT($BD71^2+BJ$2^2))))/(1-(20/(SQRT(20^2+BJ$2^2))))*$AC$34</f>
        <v>0.3587896780203968</v>
      </c>
      <c r="BN71">
        <v>32.5</v>
      </c>
      <c r="BO71" s="18">
        <f t="shared" ref="BO71:BO134" si="34">EXP(-((BN71-$BR$2)^2)/$BQ$2)+(1-EXP(-((0-$BR$2)^2)/$BQ$2))</f>
        <v>0.66314447450871883</v>
      </c>
    </row>
    <row r="72" spans="56:67" x14ac:dyDescent="0.3">
      <c r="BD72">
        <v>33</v>
      </c>
      <c r="BE72">
        <f t="shared" si="28"/>
        <v>0.65778941421922876</v>
      </c>
      <c r="BF72">
        <f t="shared" si="29"/>
        <v>0.64708578452455934</v>
      </c>
      <c r="BG72">
        <f t="shared" si="30"/>
        <v>0.59055734095434886</v>
      </c>
      <c r="BH72">
        <f t="shared" si="31"/>
        <v>0.50376391741334126</v>
      </c>
      <c r="BI72">
        <f t="shared" si="32"/>
        <v>0.42382508168271782</v>
      </c>
      <c r="BJ72">
        <f t="shared" si="33"/>
        <v>0.35573350945760884</v>
      </c>
      <c r="BN72">
        <v>33</v>
      </c>
      <c r="BO72" s="18">
        <f t="shared" si="34"/>
        <v>0.65416725877194737</v>
      </c>
    </row>
    <row r="73" spans="56:67" x14ac:dyDescent="0.3">
      <c r="BD73">
        <v>33.5</v>
      </c>
      <c r="BE73">
        <f t="shared" si="28"/>
        <v>0.64750566422829892</v>
      </c>
      <c r="BF73">
        <f t="shared" si="29"/>
        <v>0.63676028526039075</v>
      </c>
      <c r="BG73">
        <f t="shared" si="30"/>
        <v>0.58203741210188509</v>
      </c>
      <c r="BH73">
        <f t="shared" si="31"/>
        <v>0.49728830872545665</v>
      </c>
      <c r="BI73">
        <f t="shared" si="32"/>
        <v>0.41962176224832404</v>
      </c>
      <c r="BJ73">
        <f t="shared" si="33"/>
        <v>0.35269978964481319</v>
      </c>
      <c r="BN73">
        <v>33.5</v>
      </c>
      <c r="BO73" s="18">
        <f t="shared" si="34"/>
        <v>0.64516890503984703</v>
      </c>
    </row>
    <row r="74" spans="56:67" x14ac:dyDescent="0.3">
      <c r="BD74">
        <v>34</v>
      </c>
      <c r="BE74">
        <f t="shared" si="28"/>
        <v>0.63740999604202941</v>
      </c>
      <c r="BF74">
        <f t="shared" si="29"/>
        <v>0.62662922211558336</v>
      </c>
      <c r="BG74">
        <f t="shared" si="30"/>
        <v>0.57365632646465881</v>
      </c>
      <c r="BH74">
        <f t="shared" si="31"/>
        <v>0.49090191090526764</v>
      </c>
      <c r="BI74">
        <f t="shared" si="32"/>
        <v>0.41545775695146903</v>
      </c>
      <c r="BJ74">
        <f t="shared" si="33"/>
        <v>0.34968857900939121</v>
      </c>
      <c r="BN74">
        <v>34</v>
      </c>
      <c r="BO74" s="18">
        <f t="shared" si="34"/>
        <v>0.63615367611265849</v>
      </c>
    </row>
    <row r="75" spans="56:67" x14ac:dyDescent="0.3">
      <c r="BD75">
        <v>34.5</v>
      </c>
      <c r="BE75">
        <f t="shared" si="28"/>
        <v>0.62749942670836423</v>
      </c>
      <c r="BF75">
        <f t="shared" si="29"/>
        <v>0.61668933638935974</v>
      </c>
      <c r="BG75">
        <f t="shared" si="30"/>
        <v>0.56541234267188101</v>
      </c>
      <c r="BH75">
        <f t="shared" si="31"/>
        <v>0.48460398045298475</v>
      </c>
      <c r="BI75">
        <f t="shared" si="32"/>
        <v>0.41133302989089326</v>
      </c>
      <c r="BJ75">
        <f t="shared" si="33"/>
        <v>0.34669993032397312</v>
      </c>
      <c r="BN75">
        <v>34.5</v>
      </c>
      <c r="BO75" s="18">
        <f t="shared" si="34"/>
        <v>0.62712578670080199</v>
      </c>
    </row>
    <row r="76" spans="56:67" x14ac:dyDescent="0.3">
      <c r="BD76">
        <v>35</v>
      </c>
      <c r="BE76">
        <f t="shared" si="28"/>
        <v>0.61777096786658725</v>
      </c>
      <c r="BF76">
        <f t="shared" si="29"/>
        <v>0.60693737136252368</v>
      </c>
      <c r="BG76">
        <f t="shared" si="30"/>
        <v>0.55730369810340363</v>
      </c>
      <c r="BH76">
        <f t="shared" si="31"/>
        <v>0.47839375006557994</v>
      </c>
      <c r="BI76">
        <f t="shared" si="32"/>
        <v>0.40724753151338633</v>
      </c>
      <c r="BJ76">
        <f t="shared" si="33"/>
        <v>0.3437338888474421</v>
      </c>
      <c r="BN76">
        <v>35</v>
      </c>
      <c r="BO76" s="18">
        <f t="shared" si="34"/>
        <v>0.61808940037918048</v>
      </c>
    </row>
    <row r="77" spans="56:67" x14ac:dyDescent="0.3">
      <c r="BD77">
        <v>35.5</v>
      </c>
      <c r="BE77">
        <f t="shared" si="28"/>
        <v>0.60822162996981932</v>
      </c>
      <c r="BF77">
        <f t="shared" si="29"/>
        <v>0.59737007659243668</v>
      </c>
      <c r="BG77">
        <f t="shared" si="30"/>
        <v>0.54932861199094574</v>
      </c>
      <c r="BH77">
        <f t="shared" si="31"/>
        <v>0.472270430381734</v>
      </c>
      <c r="BI77">
        <f t="shared" si="32"/>
        <v>0.40320119903192625</v>
      </c>
      <c r="BJ77">
        <f t="shared" si="33"/>
        <v>0.34079049246866161</v>
      </c>
      <c r="BN77">
        <v>35.5</v>
      </c>
      <c r="BO77" s="18">
        <f t="shared" si="34"/>
        <v>0.60904862664089321</v>
      </c>
    </row>
    <row r="78" spans="56:67" x14ac:dyDescent="0.3">
      <c r="BD78">
        <v>36</v>
      </c>
      <c r="BE78">
        <f t="shared" si="28"/>
        <v>0.59884842623245993</v>
      </c>
      <c r="BF78">
        <f t="shared" si="29"/>
        <v>0.58798421190435657</v>
      </c>
      <c r="BG78">
        <f t="shared" si="30"/>
        <v>0.54148528837053034</v>
      </c>
      <c r="BH78">
        <f t="shared" si="31"/>
        <v>0.46623321167430326</v>
      </c>
      <c r="BI78">
        <f t="shared" si="32"/>
        <v>0.39919395684383002</v>
      </c>
      <c r="BJ78">
        <f t="shared" si="33"/>
        <v>0.33786977185265332</v>
      </c>
      <c r="BN78">
        <v>36</v>
      </c>
      <c r="BO78" s="18">
        <f t="shared" si="34"/>
        <v>0.60000751805284391</v>
      </c>
    </row>
    <row r="79" spans="56:67" x14ac:dyDescent="0.3">
      <c r="BD79">
        <v>36.5</v>
      </c>
      <c r="BE79">
        <f t="shared" si="28"/>
        <v>0.58964837631201494</v>
      </c>
      <c r="BF79">
        <f t="shared" si="29"/>
        <v>0.5787765510909727</v>
      </c>
      <c r="BG79">
        <f t="shared" si="30"/>
        <v>0.53377191888851472</v>
      </c>
      <c r="BH79">
        <f t="shared" si="31"/>
        <v>0.46028126548953208</v>
      </c>
      <c r="BI79">
        <f t="shared" si="32"/>
        <v>0.39522571694825537</v>
      </c>
      <c r="BJ79">
        <f t="shared" si="33"/>
        <v>0.33497175058896356</v>
      </c>
      <c r="BN79">
        <v>36.5</v>
      </c>
      <c r="BO79" s="18">
        <f t="shared" si="34"/>
        <v>0.59097006751553449</v>
      </c>
    </row>
    <row r="80" spans="56:67" x14ac:dyDescent="0.3">
      <c r="BD80">
        <v>37</v>
      </c>
      <c r="BE80">
        <f t="shared" si="28"/>
        <v>0.58061850973498108</v>
      </c>
      <c r="BF80">
        <f t="shared" si="29"/>
        <v>0.56974388533211251</v>
      </c>
      <c r="BG80">
        <f t="shared" si="30"/>
        <v>0.52618668546394276</v>
      </c>
      <c r="BH80">
        <f t="shared" si="31"/>
        <v>0.45441374623245545</v>
      </c>
      <c r="BI80">
        <f t="shared" si="32"/>
        <v>0.39129637936242667</v>
      </c>
      <c r="BJ80">
        <f t="shared" si="33"/>
        <v>0.33209644534196081</v>
      </c>
      <c r="BN80">
        <v>37</v>
      </c>
      <c r="BO80" s="18">
        <f t="shared" si="34"/>
        <v>0.58194020562914461</v>
      </c>
    </row>
    <row r="81" spans="56:67" x14ac:dyDescent="0.3">
      <c r="BD81">
        <v>37.5</v>
      </c>
      <c r="BE81">
        <f t="shared" si="28"/>
        <v>0.57175586907663545</v>
      </c>
      <c r="BF81">
        <f t="shared" si="29"/>
        <v>0.56088302634664788</v>
      </c>
      <c r="BG81">
        <f t="shared" si="30"/>
        <v>0.51872776281024668</v>
      </c>
      <c r="BH81">
        <f t="shared" si="31"/>
        <v>0.44862979269814313</v>
      </c>
      <c r="BI81">
        <f t="shared" si="32"/>
        <v>0.38740583253598904</v>
      </c>
      <c r="BJ81">
        <f t="shared" si="33"/>
        <v>0.32924386600281197</v>
      </c>
      <c r="BN81">
        <v>37.5</v>
      </c>
      <c r="BO81" s="18">
        <f t="shared" si="34"/>
        <v>0.57292179816779598</v>
      </c>
    </row>
    <row r="82" spans="56:67" x14ac:dyDescent="0.3">
      <c r="BD82">
        <v>38</v>
      </c>
      <c r="BE82">
        <f t="shared" si="28"/>
        <v>0.5630575129046671</v>
      </c>
      <c r="BF82">
        <f t="shared" si="29"/>
        <v>0.55219080928861697</v>
      </c>
      <c r="BG82">
        <f t="shared" si="30"/>
        <v>0.51139332081958577</v>
      </c>
      <c r="BH82">
        <f t="shared" si="31"/>
        <v>0.44292852954861983</v>
      </c>
      <c r="BI82">
        <f t="shared" si="32"/>
        <v>0.38355395376292883</v>
      </c>
      <c r="BJ82">
        <f t="shared" si="33"/>
        <v>0.32641401584289387</v>
      </c>
      <c r="BN82">
        <v>38</v>
      </c>
      <c r="BO82" s="18">
        <f t="shared" si="34"/>
        <v>0.56391864366371325</v>
      </c>
    </row>
    <row r="83" spans="56:67" x14ac:dyDescent="0.3">
      <c r="BD83">
        <v>38.5</v>
      </c>
      <c r="BE83">
        <f t="shared" si="28"/>
        <v>0.55452051849662454</v>
      </c>
      <c r="BF83">
        <f t="shared" si="29"/>
        <v>0.54366409539950844</v>
      </c>
      <c r="BG83">
        <f t="shared" si="30"/>
        <v>0.50418152681332673</v>
      </c>
      <c r="BH83">
        <f t="shared" si="31"/>
        <v>0.43730906873547848</v>
      </c>
      <c r="BI83">
        <f t="shared" si="32"/>
        <v>0.37974060959052897</v>
      </c>
      <c r="BJ83">
        <f t="shared" si="33"/>
        <v>0.32360689166840251</v>
      </c>
      <c r="BN83">
        <v>38.5</v>
      </c>
      <c r="BO83" s="18">
        <f t="shared" si="34"/>
        <v>0.55493447110278804</v>
      </c>
    </row>
    <row r="84" spans="56:67" x14ac:dyDescent="0.3">
      <c r="BD84">
        <v>39</v>
      </c>
      <c r="BE84">
        <f t="shared" si="28"/>
        <v>0.54614198434114558</v>
      </c>
      <c r="BF84">
        <f t="shared" si="29"/>
        <v>0.53529977442852494</v>
      </c>
      <c r="BG84">
        <f t="shared" si="30"/>
        <v>0.49709054766235189</v>
      </c>
      <c r="BH84">
        <f t="shared" si="31"/>
        <v>0.43177051086835744</v>
      </c>
      <c r="BI84">
        <f t="shared" si="32"/>
        <v>0.375965656224863</v>
      </c>
      <c r="BJ84">
        <f t="shared" si="33"/>
        <v>0.320822483975929</v>
      </c>
      <c r="BN84">
        <v>39</v>
      </c>
      <c r="BO84" s="18">
        <f t="shared" si="34"/>
        <v>0.54597293773286681</v>
      </c>
    </row>
    <row r="85" spans="56:67" x14ac:dyDescent="0.3">
      <c r="BD85">
        <v>39.5</v>
      </c>
      <c r="BE85">
        <f t="shared" si="28"/>
        <v>0.53791903243285388</v>
      </c>
      <c r="BF85">
        <f t="shared" si="29"/>
        <v>0.52709476683246581</v>
      </c>
      <c r="BG85">
        <f t="shared" si="30"/>
        <v>0.49011855178104208</v>
      </c>
      <c r="BH85">
        <f t="shared" si="31"/>
        <v>0.42631194652960869</v>
      </c>
      <c r="BI85">
        <f t="shared" si="32"/>
        <v>0.37222893993235578</v>
      </c>
      <c r="BJ85">
        <f t="shared" si="33"/>
        <v>0.31806077710878106</v>
      </c>
      <c r="BN85">
        <v>39.5</v>
      </c>
      <c r="BO85" s="18">
        <f t="shared" si="34"/>
        <v>0.53703762698588109</v>
      </c>
    </row>
    <row r="86" spans="56:67" x14ac:dyDescent="0.3">
      <c r="BD86">
        <v>40</v>
      </c>
      <c r="BE86">
        <f t="shared" si="28"/>
        <v>0.52984881037071563</v>
      </c>
      <c r="BF86">
        <f t="shared" si="29"/>
        <v>0.51904602576665149</v>
      </c>
      <c r="BG86">
        <f t="shared" si="30"/>
        <v>0.48326371099888532</v>
      </c>
      <c r="BH86">
        <f t="shared" si="31"/>
        <v>0.4209324575356127</v>
      </c>
      <c r="BI86">
        <f t="shared" si="32"/>
        <v>0.36853029743698024</v>
      </c>
      <c r="BJ86">
        <f t="shared" si="33"/>
        <v>0.31532174941383256</v>
      </c>
      <c r="BN86">
        <v>40</v>
      </c>
      <c r="BO86" s="18">
        <f t="shared" si="34"/>
        <v>0.52813204651475099</v>
      </c>
    </row>
    <row r="87" spans="56:67" x14ac:dyDescent="0.3">
      <c r="BD87">
        <v>40.5</v>
      </c>
      <c r="BE87">
        <f t="shared" si="28"/>
        <v>0.52192849326949298</v>
      </c>
      <c r="BF87">
        <f t="shared" si="29"/>
        <v>0.51115053887806849</v>
      </c>
      <c r="BG87">
        <f t="shared" si="30"/>
        <v>0.47652420231376746</v>
      </c>
      <c r="BH87">
        <f t="shared" si="31"/>
        <v>0.41563111814532255</v>
      </c>
      <c r="BI87">
        <f t="shared" si="32"/>
        <v>0.36486955631268042</v>
      </c>
      <c r="BJ87">
        <f t="shared" si="33"/>
        <v>0.31260537339869604</v>
      </c>
      <c r="BN87">
        <v>40.5</v>
      </c>
      <c r="BO87" s="18">
        <f t="shared" si="34"/>
        <v>0.5192596263457967</v>
      </c>
    </row>
    <row r="88" spans="56:67" x14ac:dyDescent="0.3">
      <c r="BD88">
        <v>41</v>
      </c>
      <c r="BE88">
        <f t="shared" si="28"/>
        <v>0.51415528549376177</v>
      </c>
      <c r="BF88">
        <f t="shared" si="29"/>
        <v>0.50340532991162212</v>
      </c>
      <c r="BG88">
        <f t="shared" si="30"/>
        <v>0.4698982095310606</v>
      </c>
      <c r="BH88">
        <f t="shared" si="31"/>
        <v>0.41040699621672949</v>
      </c>
      <c r="BI88">
        <f t="shared" si="32"/>
        <v>0.3612465353706466</v>
      </c>
      <c r="BJ88">
        <f t="shared" si="33"/>
        <v>0.30991161588901678</v>
      </c>
      <c r="BN88">
        <v>41</v>
      </c>
      <c r="BO88" s="18">
        <f t="shared" si="34"/>
        <v>0.51042371714720447</v>
      </c>
    </row>
    <row r="89" spans="56:67" x14ac:dyDescent="0.3">
      <c r="BD89">
        <v>41.5</v>
      </c>
      <c r="BE89">
        <f t="shared" si="28"/>
        <v>0.50652642222375344</v>
      </c>
      <c r="BF89">
        <f t="shared" si="29"/>
        <v>0.49580746014008925</v>
      </c>
      <c r="BG89">
        <f t="shared" si="30"/>
        <v>0.46338392479266022</v>
      </c>
      <c r="BH89">
        <f t="shared" si="31"/>
        <v>0.40525915431204179</v>
      </c>
      <c r="BI89">
        <f t="shared" si="32"/>
        <v>0.35766104504109575</v>
      </c>
      <c r="BJ89">
        <f t="shared" si="33"/>
        <v>0.30724043818569646</v>
      </c>
      <c r="BN89">
        <v>41.5</v>
      </c>
      <c r="BO89" s="18">
        <f t="shared" si="34"/>
        <v>0.50162758861390666</v>
      </c>
    </row>
    <row r="90" spans="56:67" x14ac:dyDescent="0.3">
      <c r="BD90">
        <v>42</v>
      </c>
      <c r="BE90">
        <f t="shared" si="28"/>
        <v>0.4990391708620544</v>
      </c>
      <c r="BF90">
        <f t="shared" si="29"/>
        <v>0.48835402962803665</v>
      </c>
      <c r="BG90">
        <f t="shared" si="30"/>
        <v>0.45697955000015694</v>
      </c>
      <c r="BH90">
        <f t="shared" si="31"/>
        <v>0.40018665075245974</v>
      </c>
      <c r="BI90">
        <f t="shared" si="32"/>
        <v>0.35411288774923833</v>
      </c>
      <c r="BJ90">
        <f t="shared" si="33"/>
        <v>0.30459179622186394</v>
      </c>
      <c r="BN90">
        <v>42</v>
      </c>
      <c r="BO90" s="18">
        <f t="shared" si="34"/>
        <v>0.4928744279690459</v>
      </c>
    </row>
    <row r="91" spans="56:67" x14ac:dyDescent="0.3">
      <c r="BD91">
        <v>42.5</v>
      </c>
      <c r="BE91">
        <f t="shared" si="28"/>
        <v>0.49169083228995442</v>
      </c>
      <c r="BF91">
        <f t="shared" si="29"/>
        <v>0.48104217833962482</v>
      </c>
      <c r="BG91">
        <f t="shared" si="30"/>
        <v>0.45068329813631391</v>
      </c>
      <c r="BH91">
        <f t="shared" si="31"/>
        <v>0.39518854062350217</v>
      </c>
      <c r="BI91">
        <f t="shared" si="32"/>
        <v>0.35060185828514118</v>
      </c>
      <c r="BJ91">
        <f t="shared" si="33"/>
        <v>0.30196564071941567</v>
      </c>
      <c r="BN91">
        <v>42.5</v>
      </c>
      <c r="BO91" s="18">
        <f t="shared" si="34"/>
        <v>0.48416733858201672</v>
      </c>
    </row>
    <row r="92" spans="56:67" x14ac:dyDescent="0.3">
      <c r="BD92">
        <v>43</v>
      </c>
      <c r="BE92">
        <f t="shared" si="28"/>
        <v>0.48447874198196894</v>
      </c>
      <c r="BF92">
        <f t="shared" si="29"/>
        <v>0.47386908709987763</v>
      </c>
      <c r="BG92">
        <f t="shared" si="30"/>
        <v>0.44449339448901282</v>
      </c>
      <c r="BH92">
        <f t="shared" si="31"/>
        <v>0.39026387673191848</v>
      </c>
      <c r="BI92">
        <f t="shared" si="32"/>
        <v>0.34712774416722358</v>
      </c>
      <c r="BJ92">
        <f t="shared" si="33"/>
        <v>0.29936191734495821</v>
      </c>
      <c r="BN92">
        <v>43</v>
      </c>
      <c r="BO92" s="18">
        <f t="shared" si="34"/>
        <v>0.47550933870289186</v>
      </c>
    </row>
    <row r="93" spans="56:67" x14ac:dyDescent="0.3">
      <c r="BD93">
        <v>43.5</v>
      </c>
      <c r="BE93">
        <f t="shared" si="28"/>
        <v>0.47740027098679039</v>
      </c>
      <c r="BF93">
        <f t="shared" si="29"/>
        <v>0.46683197841863339</v>
      </c>
      <c r="BG93">
        <f t="shared" si="30"/>
        <v>0.43840807778179497</v>
      </c>
      <c r="BH93">
        <f t="shared" si="31"/>
        <v>0.38541171051526757</v>
      </c>
      <c r="BI93">
        <f t="shared" si="32"/>
        <v>0.34369032599914617</v>
      </c>
      <c r="BJ93">
        <f t="shared" si="33"/>
        <v>0.29678056686499249</v>
      </c>
      <c r="BN93">
        <v>43.5</v>
      </c>
      <c r="BO93" s="18">
        <f t="shared" si="34"/>
        <v>0.46690336031286994</v>
      </c>
    </row>
    <row r="94" spans="56:67" x14ac:dyDescent="0.3">
      <c r="BD94">
        <v>44</v>
      </c>
      <c r="BE94">
        <f t="shared" si="28"/>
        <v>0.47045282678263928</v>
      </c>
      <c r="BF94">
        <f t="shared" si="29"/>
        <v>0.4599281171860205</v>
      </c>
      <c r="BG94">
        <f t="shared" si="30"/>
        <v>0.43242560121508183</v>
      </c>
      <c r="BH94">
        <f t="shared" si="31"/>
        <v>0.3806310929053085</v>
      </c>
      <c r="BI94">
        <f t="shared" si="32"/>
        <v>0.340289377819883</v>
      </c>
      <c r="BJ94">
        <f t="shared" si="33"/>
        <v>0.29422152530018802</v>
      </c>
      <c r="BN94">
        <v>44</v>
      </c>
      <c r="BO94" s="18">
        <f t="shared" si="34"/>
        <v>0.45835224809020553</v>
      </c>
    </row>
    <row r="95" spans="56:67" x14ac:dyDescent="0.3">
      <c r="BD95">
        <v>44.5</v>
      </c>
      <c r="BE95">
        <f t="shared" si="28"/>
        <v>0.46363385401469681</v>
      </c>
      <c r="BF95">
        <f t="shared" si="29"/>
        <v>0.45315481124795465</v>
      </c>
      <c r="BG95">
        <f t="shared" si="30"/>
        <v>0.42654423342209491</v>
      </c>
      <c r="BH95">
        <f t="shared" si="31"/>
        <v>0.37592107514637974</v>
      </c>
      <c r="BI95">
        <f t="shared" si="32"/>
        <v>0.33692466744678518</v>
      </c>
      <c r="BJ95">
        <f t="shared" si="33"/>
        <v>0.29168472407860213</v>
      </c>
      <c r="BN95">
        <v>44.5</v>
      </c>
      <c r="BO95" s="18">
        <f t="shared" si="34"/>
        <v>0.44985875849091461</v>
      </c>
    </row>
    <row r="96" spans="56:67" x14ac:dyDescent="0.3">
      <c r="BD96">
        <v>45</v>
      </c>
      <c r="BE96">
        <f t="shared" si="28"/>
        <v>0.4569408351220059</v>
      </c>
      <c r="BF96">
        <f t="shared" si="29"/>
        <v>0.44650941186976378</v>
      </c>
      <c r="BG96">
        <f t="shared" si="30"/>
        <v>0.42076225934342831</v>
      </c>
      <c r="BH96">
        <f t="shared" si="31"/>
        <v>0.37128070956998649</v>
      </c>
      <c r="BI96">
        <f t="shared" si="32"/>
        <v>0.33359595681147325</v>
      </c>
      <c r="BJ96">
        <f t="shared" si="33"/>
        <v>0.28917009018770778</v>
      </c>
      <c r="BN96">
        <v>45</v>
      </c>
      <c r="BO96" s="18">
        <f t="shared" si="34"/>
        <v>0.44142555894338631</v>
      </c>
    </row>
    <row r="97" spans="56:67" x14ac:dyDescent="0.3">
      <c r="BD97">
        <v>45.5</v>
      </c>
      <c r="BE97">
        <f t="shared" si="28"/>
        <v>0.45037129086093353</v>
      </c>
      <c r="BF97">
        <f t="shared" si="29"/>
        <v>0.43998931409570224</v>
      </c>
      <c r="BG97">
        <f t="shared" si="30"/>
        <v>0.41507798102415122</v>
      </c>
      <c r="BH97">
        <f t="shared" si="31"/>
        <v>0.36670905032683987</v>
      </c>
      <c r="BI97">
        <f t="shared" si="32"/>
        <v>0.33030300228841292</v>
      </c>
      <c r="BJ97">
        <f t="shared" si="33"/>
        <v>0.2866775463251004</v>
      </c>
      <c r="BN97">
        <v>45.5</v>
      </c>
      <c r="BO97" s="18">
        <f t="shared" si="34"/>
        <v>0.43305522715586936</v>
      </c>
    </row>
    <row r="98" spans="56:67" x14ac:dyDescent="0.3">
      <c r="BD98">
        <v>46</v>
      </c>
      <c r="BE98">
        <f t="shared" si="28"/>
        <v>0.44392278073198643</v>
      </c>
      <c r="BF98">
        <f t="shared" si="29"/>
        <v>0.4335919570117418</v>
      </c>
      <c r="BG98">
        <f t="shared" si="30"/>
        <v>0.40948971833722814</v>
      </c>
      <c r="BH98">
        <f t="shared" si="31"/>
        <v>0.36220515407761578</v>
      </c>
      <c r="BI98">
        <f t="shared" si="32"/>
        <v>0.32704555501605453</v>
      </c>
      <c r="BJ98">
        <f t="shared" si="33"/>
        <v>0.28420701104776358</v>
      </c>
      <c r="BN98">
        <v>46</v>
      </c>
      <c r="BO98" s="18">
        <f t="shared" si="34"/>
        <v>0.42475025053564885</v>
      </c>
    </row>
    <row r="99" spans="56:67" x14ac:dyDescent="0.3">
      <c r="BD99">
        <v>46.5</v>
      </c>
      <c r="BE99">
        <f t="shared" si="28"/>
        <v>0.4375929033164821</v>
      </c>
      <c r="BF99">
        <f t="shared" si="29"/>
        <v>0.42731482391867637</v>
      </c>
      <c r="BG99">
        <f t="shared" si="30"/>
        <v>0.40399580963694925</v>
      </c>
      <c r="BH99">
        <f t="shared" si="31"/>
        <v>0.35776808064371279</v>
      </c>
      <c r="BI99">
        <f t="shared" si="32"/>
        <v>0.32382336121043248</v>
      </c>
      <c r="BJ99">
        <f t="shared" si="33"/>
        <v>0.28175839891977766</v>
      </c>
      <c r="BN99">
        <v>46.5</v>
      </c>
      <c r="BO99" s="18">
        <f t="shared" si="34"/>
        <v>0.41651302571857884</v>
      </c>
    </row>
    <row r="100" spans="56:67" x14ac:dyDescent="0.3">
      <c r="BD100">
        <v>47</v>
      </c>
      <c r="BE100">
        <f t="shared" si="28"/>
        <v>0.43137929652928203</v>
      </c>
      <c r="BF100">
        <f t="shared" si="29"/>
        <v>0.42115544242222835</v>
      </c>
      <c r="BG100">
        <f t="shared" si="30"/>
        <v>0.39859461234597399</v>
      </c>
      <c r="BH100">
        <f t="shared" si="31"/>
        <v>0.35339689361930671</v>
      </c>
      <c r="BI100">
        <f t="shared" si="32"/>
        <v>0.32063616247114468</v>
      </c>
      <c r="BJ100">
        <f t="shared" si="33"/>
        <v>0.2793316206583667</v>
      </c>
      <c r="BN100">
        <v>47</v>
      </c>
      <c r="BO100" s="18">
        <f t="shared" si="34"/>
        <v>0.40834585820748992</v>
      </c>
    </row>
    <row r="101" spans="56:67" x14ac:dyDescent="0.3">
      <c r="BD101">
        <v>47.5</v>
      </c>
      <c r="BE101">
        <f t="shared" si="28"/>
        <v>0.42527963779350025</v>
      </c>
      <c r="BF101">
        <f t="shared" si="29"/>
        <v>0.41511138444650292</v>
      </c>
      <c r="BG101">
        <f t="shared" si="30"/>
        <v>0.39328450347947452</v>
      </c>
      <c r="BH101">
        <f t="shared" si="31"/>
        <v>0.34909066094599189</v>
      </c>
      <c r="BI101">
        <f t="shared" si="32"/>
        <v>0.31748369607964727</v>
      </c>
      <c r="BJ101">
        <f t="shared" si="33"/>
        <v>0.27692658327818231</v>
      </c>
      <c r="BN101">
        <v>47.5</v>
      </c>
      <c r="BO101" s="18">
        <f t="shared" si="34"/>
        <v>0.4002509621178541</v>
      </c>
    </row>
    <row r="102" spans="56:67" x14ac:dyDescent="0.3">
      <c r="BD102">
        <v>48</v>
      </c>
      <c r="BE102">
        <f t="shared" si="28"/>
        <v>0.41929164414282638</v>
      </c>
      <c r="BF102">
        <f t="shared" si="29"/>
        <v>0.40918026617679876</v>
      </c>
      <c r="BG102">
        <f t="shared" si="30"/>
        <v>0.38806388010977433</v>
      </c>
      <c r="BH102">
        <f t="shared" si="31"/>
        <v>0.34484845545131471</v>
      </c>
      <c r="BI102">
        <f t="shared" si="32"/>
        <v>0.31436569528981934</v>
      </c>
      <c r="BJ102">
        <f t="shared" si="33"/>
        <v>0.27454319023373303</v>
      </c>
      <c r="BN102">
        <v>48</v>
      </c>
      <c r="BO102" s="18">
        <f t="shared" si="34"/>
        <v>0.3922304600289534</v>
      </c>
    </row>
    <row r="103" spans="56:67" x14ac:dyDescent="0.3">
      <c r="BD103">
        <v>48.5</v>
      </c>
      <c r="BE103">
        <f t="shared" si="28"/>
        <v>0.41341307225681745</v>
      </c>
      <c r="BF103">
        <f t="shared" si="29"/>
        <v>0.4033597479374687</v>
      </c>
      <c r="BG103">
        <f t="shared" si="30"/>
        <v>0.3829311597747509</v>
      </c>
      <c r="BH103">
        <f t="shared" si="31"/>
        <v>0.34066935535248605</v>
      </c>
      <c r="BI103">
        <f t="shared" si="32"/>
        <v>0.3112818896107673</v>
      </c>
      <c r="BJ103">
        <f t="shared" si="33"/>
        <v>0.27218134155987289</v>
      </c>
      <c r="BN103">
        <v>48.5</v>
      </c>
      <c r="BO103" s="18">
        <f t="shared" si="34"/>
        <v>0.38428638293867118</v>
      </c>
    </row>
    <row r="104" spans="56:67" x14ac:dyDescent="0.3">
      <c r="BD104">
        <v>49</v>
      </c>
      <c r="BE104">
        <f t="shared" si="28"/>
        <v>0.40764171843423735</v>
      </c>
      <c r="BF104">
        <f t="shared" si="29"/>
        <v>0.39764753401020492</v>
      </c>
      <c r="BG104">
        <f t="shared" si="30"/>
        <v>0.37788478083317956</v>
      </c>
      <c r="BH104">
        <f t="shared" si="31"/>
        <v>0.33655244472656259</v>
      </c>
      <c r="BI104">
        <f t="shared" si="32"/>
        <v>0.30823200508185544</v>
      </c>
      <c r="BJ104">
        <f t="shared" si="33"/>
        <v>0.26984093401027087</v>
      </c>
      <c r="BN104">
        <v>49</v>
      </c>
      <c r="BO104" s="18">
        <f t="shared" si="34"/>
        <v>0.37642067031990339</v>
      </c>
    </row>
    <row r="105" spans="56:67" x14ac:dyDescent="0.3">
      <c r="BD105">
        <v>49.5</v>
      </c>
      <c r="BE105">
        <f t="shared" si="28"/>
        <v>0.40197541850927176</v>
      </c>
      <c r="BF105">
        <f t="shared" si="29"/>
        <v>0.392041372397818</v>
      </c>
      <c r="BG105">
        <f t="shared" si="30"/>
        <v>0.37292320277006324</v>
      </c>
      <c r="BH105">
        <f t="shared" si="31"/>
        <v>0.33249681394836966</v>
      </c>
      <c r="BI105">
        <f t="shared" si="32"/>
        <v>0.30521576453996507</v>
      </c>
      <c r="BJ105">
        <f t="shared" si="33"/>
        <v>0.26752186119378762</v>
      </c>
      <c r="BN105">
        <v>49.5</v>
      </c>
      <c r="BO105" s="18">
        <f t="shared" si="34"/>
        <v>0.36863517027646986</v>
      </c>
    </row>
    <row r="106" spans="56:67" x14ac:dyDescent="0.3">
      <c r="BD106">
        <v>50</v>
      </c>
      <c r="BE106">
        <f t="shared" si="28"/>
        <v>0.39641204771517297</v>
      </c>
      <c r="BF106">
        <f t="shared" si="29"/>
        <v>0.38653905453829435</v>
      </c>
      <c r="BG106">
        <f t="shared" si="30"/>
        <v>0.36804490645489746</v>
      </c>
      <c r="BH106">
        <f t="shared" si="31"/>
        <v>0.3285015600974277</v>
      </c>
      <c r="BI106">
        <f t="shared" si="32"/>
        <v>0.30223288787899366</v>
      </c>
      <c r="BJ106">
        <f t="shared" si="33"/>
        <v>0.26522401370869447</v>
      </c>
      <c r="BN106">
        <v>50</v>
      </c>
      <c r="BO106" s="18">
        <f t="shared" si="34"/>
        <v>0.36093163979629539</v>
      </c>
    </row>
    <row r="107" spans="56:67" x14ac:dyDescent="0.3">
      <c r="BD107">
        <v>50.5</v>
      </c>
      <c r="BE107">
        <f t="shared" si="28"/>
        <v>0.39094952049965592</v>
      </c>
      <c r="BF107">
        <f t="shared" si="29"/>
        <v>0.38113841497362616</v>
      </c>
      <c r="BG107">
        <f t="shared" si="30"/>
        <v>0.36324839435569495</v>
      </c>
      <c r="BH107">
        <f t="shared" si="31"/>
        <v>0.32456578733512154</v>
      </c>
      <c r="BI107">
        <f t="shared" si="32"/>
        <v>0.29928309230162564</v>
      </c>
      <c r="BJ107">
        <f t="shared" si="33"/>
        <v>0.26294727927467371</v>
      </c>
      <c r="BN107">
        <v>50.5</v>
      </c>
      <c r="BO107" s="18">
        <f t="shared" si="34"/>
        <v>0.35331174509952773</v>
      </c>
    </row>
    <row r="108" spans="56:67" x14ac:dyDescent="0.3">
      <c r="BD108">
        <v>51</v>
      </c>
      <c r="BE108">
        <f t="shared" si="28"/>
        <v>0.38558579029611245</v>
      </c>
      <c r="BF108">
        <f t="shared" si="29"/>
        <v>0.3758373309776471</v>
      </c>
      <c r="BG108">
        <f t="shared" si="30"/>
        <v>0.35853219071148829</v>
      </c>
      <c r="BH108">
        <f t="shared" si="31"/>
        <v>0.32068860725334086</v>
      </c>
      <c r="BI108">
        <f t="shared" si="32"/>
        <v>0.29636609256341168</v>
      </c>
      <c r="BJ108">
        <f t="shared" si="33"/>
        <v>0.26069154286254603</v>
      </c>
      <c r="BN108">
        <v>51</v>
      </c>
      <c r="BO108" s="18">
        <f t="shared" si="34"/>
        <v>0.34577706207915876</v>
      </c>
    </row>
    <row r="109" spans="56:67" x14ac:dyDescent="0.3">
      <c r="BD109">
        <v>51.5</v>
      </c>
      <c r="BE109">
        <f t="shared" si="28"/>
        <v>0.38031884925449183</v>
      </c>
      <c r="BF109">
        <f t="shared" si="29"/>
        <v>0.37063372214683771</v>
      </c>
      <c r="BG109">
        <f t="shared" si="30"/>
        <v>0.35389484166591273</v>
      </c>
      <c r="BH109">
        <f t="shared" si="31"/>
        <v>0.31686913919578902</v>
      </c>
      <c r="BI109">
        <f t="shared" si="32"/>
        <v>0.29348160120920908</v>
      </c>
      <c r="BJ109">
        <f t="shared" si="33"/>
        <v>0.25845668682167777</v>
      </c>
      <c r="BN109">
        <v>51.5</v>
      </c>
      <c r="BO109" s="18">
        <f t="shared" si="34"/>
        <v>0.33832907683162783</v>
      </c>
    </row>
    <row r="110" spans="56:67" x14ac:dyDescent="0.3">
      <c r="BD110">
        <v>52</v>
      </c>
      <c r="BE110">
        <f t="shared" si="28"/>
        <v>0.37514672793546289</v>
      </c>
      <c r="BF110">
        <f t="shared" si="29"/>
        <v>0.36552554995782566</v>
      </c>
      <c r="BG110">
        <f t="shared" si="30"/>
        <v>0.34933491536436723</v>
      </c>
      <c r="BH110">
        <f t="shared" si="31"/>
        <v>0.31310651055314082</v>
      </c>
      <c r="BI110">
        <f t="shared" si="32"/>
        <v>0.29062932880204506</v>
      </c>
      <c r="BJ110">
        <f t="shared" si="33"/>
        <v>0.25624259100502372</v>
      </c>
      <c r="BN110">
        <v>52</v>
      </c>
      <c r="BO110" s="18">
        <f t="shared" si="34"/>
        <v>0.33096918627479638</v>
      </c>
    </row>
    <row r="111" spans="56:67" x14ac:dyDescent="0.3">
      <c r="BD111">
        <v>52.5</v>
      </c>
      <c r="BE111">
        <f t="shared" si="28"/>
        <v>0.37006749497126185</v>
      </c>
      <c r="BF111">
        <f t="shared" si="29"/>
        <v>0.36051081729506579</v>
      </c>
      <c r="BG111">
        <f t="shared" si="30"/>
        <v>0.34485100201713809</v>
      </c>
      <c r="BH111">
        <f t="shared" si="31"/>
        <v>0.30939985703320211</v>
      </c>
      <c r="BI111">
        <f t="shared" si="32"/>
        <v>0.2878089841444732</v>
      </c>
      <c r="BJ111">
        <f t="shared" si="33"/>
        <v>0.25404913289176811</v>
      </c>
      <c r="BN111">
        <v>52.5</v>
      </c>
      <c r="BO111" s="18">
        <f t="shared" si="34"/>
        <v>0.32369869885060787</v>
      </c>
    </row>
    <row r="112" spans="56:67" x14ac:dyDescent="0.3">
      <c r="BD112">
        <v>53</v>
      </c>
      <c r="BE112">
        <f t="shared" si="28"/>
        <v>0.36507925669643337</v>
      </c>
      <c r="BF112">
        <f t="shared" si="29"/>
        <v>0.35558756795195356</v>
      </c>
      <c r="BG112">
        <f t="shared" si="30"/>
        <v>0.34044171393076439</v>
      </c>
      <c r="BH112">
        <f t="shared" si="31"/>
        <v>0.30574832290719445</v>
      </c>
      <c r="BI112">
        <f t="shared" si="32"/>
        <v>0.28502027449250433</v>
      </c>
      <c r="BJ112">
        <f t="shared" si="33"/>
        <v>0.25187618770753256</v>
      </c>
      <c r="BN112">
        <v>53</v>
      </c>
      <c r="BO112" s="18">
        <f t="shared" si="34"/>
        <v>0.31651883530967273</v>
      </c>
    </row>
    <row r="113" spans="56:67" x14ac:dyDescent="0.3">
      <c r="BD113">
        <v>53.5</v>
      </c>
      <c r="BE113">
        <f t="shared" si="28"/>
        <v>0.36018015675145376</v>
      </c>
      <c r="BF113">
        <f t="shared" si="29"/>
        <v>0.35075388610842412</v>
      </c>
      <c r="BG113">
        <f t="shared" si="30"/>
        <v>0.33610568550981973</v>
      </c>
      <c r="BH113">
        <f t="shared" si="31"/>
        <v>0.3021510612332674</v>
      </c>
      <c r="BI113">
        <f t="shared" si="32"/>
        <v>0.28226290576219953</v>
      </c>
      <c r="BJ113">
        <f t="shared" si="33"/>
        <v>0.24972362854212224</v>
      </c>
      <c r="BN113">
        <v>53.5</v>
      </c>
      <c r="BO113" s="18">
        <f t="shared" si="34"/>
        <v>0.30943072957495249</v>
      </c>
    </row>
    <row r="114" spans="56:67" x14ac:dyDescent="0.3">
      <c r="BD114">
        <v>54</v>
      </c>
      <c r="BE114">
        <f t="shared" si="28"/>
        <v>0.35536837566206697</v>
      </c>
      <c r="BF114">
        <f t="shared" si="29"/>
        <v>0.34600789578786717</v>
      </c>
      <c r="BG114">
        <f t="shared" si="30"/>
        <v>0.33184157323118835</v>
      </c>
      <c r="BH114">
        <f t="shared" si="31"/>
        <v>0.29860723405830492</v>
      </c>
      <c r="BI114">
        <f t="shared" si="32"/>
        <v>0.27953658272902243</v>
      </c>
      <c r="BJ114">
        <f t="shared" si="33"/>
        <v>0.24759132646478746</v>
      </c>
      <c r="BN114">
        <v>54</v>
      </c>
      <c r="BO114" s="18">
        <f t="shared" si="34"/>
        <v>0.30243542968165804</v>
      </c>
    </row>
    <row r="115" spans="56:67" x14ac:dyDescent="0.3">
      <c r="BD115">
        <v>54.5</v>
      </c>
      <c r="BE115">
        <f t="shared" si="28"/>
        <v>0.3506421303969568</v>
      </c>
      <c r="BF115">
        <f t="shared" si="29"/>
        <v>0.34134776029600866</v>
      </c>
      <c r="BG115">
        <f t="shared" si="30"/>
        <v>0.32764805559279997</v>
      </c>
      <c r="BH115">
        <f t="shared" si="31"/>
        <v>0.29511601259906756</v>
      </c>
      <c r="BI115">
        <f t="shared" si="32"/>
        <v>0.27684100922005223</v>
      </c>
      <c r="BJ115">
        <f t="shared" si="33"/>
        <v>0.24547915063698342</v>
      </c>
      <c r="BN115">
        <v>54.5</v>
      </c>
      <c r="BO115" s="18">
        <f t="shared" si="34"/>
        <v>0.29553389879042358</v>
      </c>
    </row>
    <row r="116" spans="56:67" x14ac:dyDescent="0.3">
      <c r="BD116">
        <v>55</v>
      </c>
      <c r="BE116">
        <f t="shared" si="28"/>
        <v>0.34599967390622915</v>
      </c>
      <c r="BF116">
        <f t="shared" si="29"/>
        <v>0.33677168164421678</v>
      </c>
      <c r="BG116">
        <f t="shared" si="30"/>
        <v>0.32352383303871174</v>
      </c>
      <c r="BH116">
        <f t="shared" si="31"/>
        <v>0.29167657740368019</v>
      </c>
      <c r="BI116">
        <f t="shared" si="32"/>
        <v>0.27417588829916723</v>
      </c>
      <c r="BJ116">
        <f t="shared" si="33"/>
        <v>0.24338696842261326</v>
      </c>
      <c r="BN116">
        <v>55</v>
      </c>
      <c r="BO116" s="18">
        <f t="shared" si="34"/>
        <v>0.28872701627077013</v>
      </c>
    </row>
    <row r="117" spans="56:67" x14ac:dyDescent="0.3">
      <c r="BD117">
        <v>55.5</v>
      </c>
      <c r="BE117">
        <f t="shared" si="28"/>
        <v>0.3414392946430011</v>
      </c>
      <c r="BF117">
        <f t="shared" si="29"/>
        <v>0.33227789995952089</v>
      </c>
      <c r="BG117">
        <f t="shared" si="30"/>
        <v>0.31946762786231275</v>
      </c>
      <c r="BH117">
        <f t="shared" si="31"/>
        <v>0.2882881184944448</v>
      </c>
      <c r="BI117">
        <f t="shared" si="32"/>
        <v>0.27154092244531358</v>
      </c>
      <c r="BJ117">
        <f t="shared" si="33"/>
        <v>0.24131464549574469</v>
      </c>
      <c r="BN117">
        <v>55.5</v>
      </c>
      <c r="BO117" s="18">
        <f t="shared" si="34"/>
        <v>0.28201557885183387</v>
      </c>
    </row>
    <row r="118" spans="56:67" x14ac:dyDescent="0.3">
      <c r="BD118">
        <v>56</v>
      </c>
      <c r="BE118">
        <f t="shared" si="28"/>
        <v>0.33695931607024682</v>
      </c>
      <c r="BF118">
        <f t="shared" si="29"/>
        <v>0.32786469288346071</v>
      </c>
      <c r="BG118">
        <f t="shared" si="30"/>
        <v>0.31547818408934569</v>
      </c>
      <c r="BH118">
        <f t="shared" si="31"/>
        <v>0.2849498354929284</v>
      </c>
      <c r="BI118">
        <f t="shared" si="32"/>
        <v>0.26893581372397901</v>
      </c>
      <c r="BJ118">
        <f t="shared" si="33"/>
        <v>0.23926204594579475</v>
      </c>
      <c r="BN118">
        <v>56</v>
      </c>
      <c r="BO118" s="18">
        <f t="shared" si="34"/>
        <v>0.27540030183729886</v>
      </c>
    </row>
    <row r="119" spans="56:67" x14ac:dyDescent="0.3">
      <c r="BD119">
        <v>56.5</v>
      </c>
      <c r="BE119">
        <f t="shared" si="28"/>
        <v>0.33255809615490378</v>
      </c>
      <c r="BF119">
        <f t="shared" si="29"/>
        <v>0.32353037496173592</v>
      </c>
      <c r="BG119">
        <f t="shared" si="30"/>
        <v>0.31155426734235125</v>
      </c>
      <c r="BH119">
        <f t="shared" si="31"/>
        <v>0.28166093772824369</v>
      </c>
      <c r="BI119">
        <f t="shared" si="32"/>
        <v>0.26636026395199369</v>
      </c>
      <c r="BJ119">
        <f t="shared" si="33"/>
        <v>0.23722903238018053</v>
      </c>
      <c r="BN119">
        <v>56.5</v>
      </c>
      <c r="BO119" s="18">
        <f t="shared" si="34"/>
        <v>0.26888182038144504</v>
      </c>
    </row>
    <row r="120" spans="56:67" x14ac:dyDescent="0.3">
      <c r="BD120">
        <v>57</v>
      </c>
      <c r="BE120">
        <f t="shared" si="28"/>
        <v>0.32823402685109521</v>
      </c>
      <c r="BF120">
        <f t="shared" si="29"/>
        <v>0.31927329702647006</v>
      </c>
      <c r="BG120">
        <f t="shared" si="30"/>
        <v>0.3076946646880559</v>
      </c>
      <c r="BH120">
        <f t="shared" si="31"/>
        <v>0.27842064432940777</v>
      </c>
      <c r="BI120">
        <f t="shared" si="32"/>
        <v>0.26381397485578939</v>
      </c>
      <c r="BJ120">
        <f t="shared" si="33"/>
        <v>0.23521546602443566</v>
      </c>
      <c r="BN120">
        <v>57</v>
      </c>
      <c r="BO120" s="18">
        <f t="shared" si="34"/>
        <v>0.26246069082320261</v>
      </c>
    </row>
    <row r="121" spans="56:67" x14ac:dyDescent="0.3">
      <c r="BD121">
        <v>57.5</v>
      </c>
      <c r="BE121">
        <f t="shared" si="28"/>
        <v>0.32398553357420562</v>
      </c>
      <c r="BF121">
        <f t="shared" si="29"/>
        <v>0.31509184557276887</v>
      </c>
      <c r="BG121">
        <f t="shared" si="30"/>
        <v>0.30389818446913552</v>
      </c>
      <c r="BH121">
        <f t="shared" si="31"/>
        <v>0.27522818430263984</v>
      </c>
      <c r="BI121">
        <f t="shared" si="32"/>
        <v>0.26129664822324544</v>
      </c>
      <c r="BJ121">
        <f t="shared" si="33"/>
        <v>0.23322120681980008</v>
      </c>
      <c r="BN121">
        <v>57.5</v>
      </c>
      <c r="BO121" s="18">
        <f t="shared" si="34"/>
        <v>0.25613739207508546</v>
      </c>
    </row>
    <row r="122" spans="56:67" x14ac:dyDescent="0.3">
      <c r="BD122">
        <v>58</v>
      </c>
      <c r="BE122">
        <f t="shared" si="28"/>
        <v>0.31981107466741265</v>
      </c>
      <c r="BF122">
        <f t="shared" si="29"/>
        <v>0.31098444213112181</v>
      </c>
      <c r="BG122">
        <f t="shared" si="30"/>
        <v>0.30016365612172219</v>
      </c>
      <c r="BH122">
        <f t="shared" si="31"/>
        <v>0.27208279659441947</v>
      </c>
      <c r="BI122">
        <f t="shared" si="32"/>
        <v>0.2588079860492557</v>
      </c>
      <c r="BJ122">
        <f t="shared" si="33"/>
        <v>0.23124611351828822</v>
      </c>
      <c r="BN122">
        <v>58</v>
      </c>
      <c r="BO122" s="18">
        <f t="shared" si="34"/>
        <v>0.24991232706386707</v>
      </c>
    </row>
    <row r="123" spans="56:67" x14ac:dyDescent="0.3">
      <c r="BD123">
        <v>58.5</v>
      </c>
      <c r="BE123">
        <f t="shared" si="28"/>
        <v>0.31570914086216068</v>
      </c>
      <c r="BF123">
        <f t="shared" si="29"/>
        <v>0.30694954263707319</v>
      </c>
      <c r="BG123">
        <f t="shared" si="30"/>
        <v>0.29648992997992885</v>
      </c>
      <c r="BH123">
        <f t="shared" si="31"/>
        <v>0.26898373014110338</v>
      </c>
      <c r="BI123">
        <f t="shared" si="32"/>
        <v>0.25634769067515517</v>
      </c>
      <c r="BJ123">
        <f t="shared" si="33"/>
        <v>0.22929004377524809</v>
      </c>
      <c r="BN123">
        <v>58.5</v>
      </c>
      <c r="BO123" s="18">
        <f t="shared" si="34"/>
        <v>0.24378582421985878</v>
      </c>
    </row>
    <row r="124" spans="56:67" x14ac:dyDescent="0.3">
      <c r="BD124">
        <v>59</v>
      </c>
      <c r="BE124">
        <f t="shared" si="28"/>
        <v>0.311678254733955</v>
      </c>
      <c r="BF124">
        <f t="shared" si="29"/>
        <v>0.30298563679946905</v>
      </c>
      <c r="BG124">
        <f t="shared" si="30"/>
        <v>0.29287587706860913</v>
      </c>
      <c r="BH124">
        <f t="shared" si="31"/>
        <v>0.26593024390586562</v>
      </c>
      <c r="BI124">
        <f t="shared" si="32"/>
        <v>0.25391546492214334</v>
      </c>
      <c r="BJ124">
        <f t="shared" si="33"/>
        <v>0.22735285423942447</v>
      </c>
      <c r="BN124">
        <v>59</v>
      </c>
      <c r="BO124" s="18">
        <f t="shared" si="34"/>
        <v>0.23775813901164933</v>
      </c>
    </row>
    <row r="125" spans="56:67" x14ac:dyDescent="0.3">
      <c r="BD125">
        <v>59.5</v>
      </c>
      <c r="BE125">
        <f t="shared" si="28"/>
        <v>0.30771697015475247</v>
      </c>
      <c r="BF125">
        <f t="shared" si="29"/>
        <v>0.29909124746848559</v>
      </c>
      <c r="BG125">
        <f t="shared" si="30"/>
        <v>0.28932038888549</v>
      </c>
      <c r="BH125">
        <f t="shared" si="31"/>
        <v>0.2629216069036977</v>
      </c>
      <c r="BI125">
        <f t="shared" si="32"/>
        <v>0.25151101221884287</v>
      </c>
      <c r="BJ125">
        <f t="shared" si="33"/>
        <v>0.22543440064054179</v>
      </c>
      <c r="BN125">
        <v>59.5</v>
      </c>
      <c r="BO125" s="18">
        <f t="shared" si="34"/>
        <v>0.23182945552317358</v>
      </c>
    </row>
    <row r="126" spans="56:67" x14ac:dyDescent="0.3">
      <c r="BD126">
        <v>60</v>
      </c>
      <c r="BE126">
        <f t="shared" si="28"/>
        <v>0.30382387174311098</v>
      </c>
      <c r="BF126">
        <f t="shared" si="29"/>
        <v>0.2952649300045358</v>
      </c>
      <c r="BG126">
        <f t="shared" si="30"/>
        <v>0.28582237717375186</v>
      </c>
      <c r="BH126">
        <f t="shared" si="31"/>
        <v>0.25995709821517538</v>
      </c>
      <c r="BI126">
        <f t="shared" si="32"/>
        <v>0.24913403672313891</v>
      </c>
      <c r="BJ126">
        <f t="shared" si="33"/>
        <v>0.22353453787442673</v>
      </c>
      <c r="BN126">
        <v>60</v>
      </c>
      <c r="BO126" s="18">
        <f t="shared" si="34"/>
        <v>0.2259998880699888</v>
      </c>
    </row>
    <row r="127" spans="56:67" x14ac:dyDescent="0.3">
      <c r="BD127">
        <v>60.5</v>
      </c>
      <c r="BE127">
        <f t="shared" si="28"/>
        <v>0.2999975743131903</v>
      </c>
      <c r="BF127">
        <f t="shared" si="29"/>
        <v>0.29150527164905615</v>
      </c>
      <c r="BG127">
        <f t="shared" si="30"/>
        <v>0.28238077368606435</v>
      </c>
      <c r="BH127">
        <f t="shared" si="31"/>
        <v>0.25703600698967</v>
      </c>
      <c r="BI127">
        <f t="shared" si="32"/>
        <v>0.24678424343843727</v>
      </c>
      <c r="BJ127">
        <f t="shared" si="33"/>
        <v>0.22165312008569057</v>
      </c>
      <c r="BN127">
        <v>60.5</v>
      </c>
      <c r="BO127" s="18">
        <f t="shared" si="34"/>
        <v>0.22026948285165399</v>
      </c>
    </row>
    <row r="128" spans="56:67" x14ac:dyDescent="0.3">
      <c r="BD128">
        <v>61</v>
      </c>
      <c r="BE128">
        <f t="shared" si="28"/>
        <v>0.29623672232358644</v>
      </c>
      <c r="BF128">
        <f t="shared" si="29"/>
        <v>0.28781089089809575</v>
      </c>
      <c r="BG128">
        <f t="shared" si="30"/>
        <v>0.27899452994103291</v>
      </c>
      <c r="BH128">
        <f t="shared" si="31"/>
        <v>0.25415763243865597</v>
      </c>
      <c r="BI128">
        <f t="shared" si="32"/>
        <v>0.24446133832448605</v>
      </c>
      <c r="BJ128">
        <f t="shared" si="33"/>
        <v>0.21979000074799493</v>
      </c>
      <c r="BN128">
        <v>61</v>
      </c>
      <c r="BO128" s="18">
        <f t="shared" si="34"/>
        <v>0.21463821963713162</v>
      </c>
    </row>
    <row r="129" spans="56:67" x14ac:dyDescent="0.3">
      <c r="BD129">
        <v>61.5</v>
      </c>
      <c r="BE129">
        <f t="shared" si="28"/>
        <v>0.29253998932691627</v>
      </c>
      <c r="BF129">
        <f t="shared" si="29"/>
        <v>0.28418043687952826</v>
      </c>
      <c r="BG129">
        <f t="shared" si="30"/>
        <v>0.27566261697293887</v>
      </c>
      <c r="BH129">
        <f t="shared" si="31"/>
        <v>0.25132128381973678</v>
      </c>
      <c r="BI129">
        <f t="shared" si="32"/>
        <v>0.24216502840290358</v>
      </c>
      <c r="BJ129">
        <f t="shared" si="33"/>
        <v>0.21794503274192539</v>
      </c>
      <c r="BN129">
        <v>61.5</v>
      </c>
      <c r="BO129" s="18">
        <f t="shared" si="34"/>
        <v>0.20910601348015617</v>
      </c>
    </row>
    <row r="130" spans="56:67" x14ac:dyDescent="0.3">
      <c r="BD130">
        <v>62</v>
      </c>
      <c r="BE130">
        <f t="shared" si="28"/>
        <v>0.2889060774209824</v>
      </c>
      <c r="BF130">
        <f t="shared" si="29"/>
        <v>0.28061258873464984</v>
      </c>
      <c r="BG130">
        <f t="shared" si="30"/>
        <v>0.27238402507561377</v>
      </c>
      <c r="BH130">
        <f t="shared" si="31"/>
        <v>0.24852628041198652</v>
      </c>
      <c r="BI130">
        <f t="shared" si="32"/>
        <v>0.23989502185755512</v>
      </c>
      <c r="BJ130">
        <f t="shared" si="33"/>
        <v>0.2161180684305011</v>
      </c>
      <c r="BN130">
        <v>62</v>
      </c>
      <c r="BO130" s="18">
        <f t="shared" si="34"/>
        <v>0.20367271646154619</v>
      </c>
    </row>
    <row r="131" spans="56:67" x14ac:dyDescent="0.3">
      <c r="BD131">
        <v>62.5</v>
      </c>
      <c r="BE131">
        <f t="shared" si="28"/>
        <v>0.28533371670228314</v>
      </c>
      <c r="BF131">
        <f t="shared" si="29"/>
        <v>0.27710605500483437</v>
      </c>
      <c r="BG131">
        <f t="shared" si="30"/>
        <v>0.26915776354123033</v>
      </c>
      <c r="BH131">
        <f t="shared" si="31"/>
        <v>0.2457719514831764</v>
      </c>
      <c r="BI131">
        <f t="shared" si="32"/>
        <v>0.23765102812991998</v>
      </c>
      <c r="BJ131">
        <f t="shared" si="33"/>
        <v>0.21430895973234868</v>
      </c>
      <c r="BN131">
        <v>62.5</v>
      </c>
      <c r="BO131" s="18">
        <f t="shared" si="34"/>
        <v>0.19833811945547425</v>
      </c>
    </row>
    <row r="132" spans="56:67" x14ac:dyDescent="0.3">
      <c r="BD132">
        <v>63</v>
      </c>
      <c r="BE132">
        <f t="shared" si="28"/>
        <v>0.28182166472255221</v>
      </c>
      <c r="BF132">
        <f t="shared" si="29"/>
        <v>0.2736595730238684</v>
      </c>
      <c r="BG132">
        <f t="shared" si="30"/>
        <v>0.26598286039473634</v>
      </c>
      <c r="BH132">
        <f t="shared" si="31"/>
        <v>0.24305763624943269</v>
      </c>
      <c r="BI132">
        <f t="shared" si="32"/>
        <v>0.23543275800959335</v>
      </c>
      <c r="BJ132">
        <f t="shared" si="33"/>
        <v>0.21251755819256904</v>
      </c>
      <c r="BN132">
        <v>63</v>
      </c>
      <c r="BO132" s="18">
        <f t="shared" si="34"/>
        <v>0.193101953916747</v>
      </c>
    </row>
    <row r="133" spans="56:67" x14ac:dyDescent="0.3">
      <c r="BD133">
        <v>63.5</v>
      </c>
      <c r="BE133">
        <f t="shared" si="28"/>
        <v>0.27836870594897117</v>
      </c>
      <c r="BF133">
        <f t="shared" si="29"/>
        <v>0.27027190831650161</v>
      </c>
      <c r="BG133">
        <f t="shared" si="30"/>
        <v>0.26285836212462355</v>
      </c>
      <c r="BH133">
        <f t="shared" si="31"/>
        <v>0.24038268382784458</v>
      </c>
      <c r="BI133">
        <f t="shared" si="32"/>
        <v>0.23323992372005981</v>
      </c>
      <c r="BJ133">
        <f t="shared" si="33"/>
        <v>0.21074371505133213</v>
      </c>
      <c r="BN133">
        <v>63.5</v>
      </c>
      <c r="BO133" s="18">
        <f t="shared" si="34"/>
        <v>0.18796389368619482</v>
      </c>
    </row>
    <row r="134" spans="56:67" x14ac:dyDescent="0.3">
      <c r="BD134">
        <v>64</v>
      </c>
      <c r="BE134">
        <f t="shared" si="28"/>
        <v>0.27497365122861012</v>
      </c>
      <c r="BF134">
        <f t="shared" si="29"/>
        <v>0.26694185400371728</v>
      </c>
      <c r="BG134">
        <f t="shared" si="30"/>
        <v>0.25978333341066306</v>
      </c>
      <c r="BH134">
        <f t="shared" si="31"/>
        <v>0.23774645318252047</v>
      </c>
      <c r="BI134">
        <f t="shared" si="32"/>
        <v>0.23107223899988277</v>
      </c>
      <c r="BJ134">
        <f t="shared" si="33"/>
        <v>0.20898728131022881</v>
      </c>
      <c r="BN134">
        <v>64</v>
      </c>
      <c r="BO134" s="18">
        <f t="shared" si="34"/>
        <v>0.18292355681131747</v>
      </c>
    </row>
    <row r="135" spans="56:67" x14ac:dyDescent="0.3">
      <c r="BD135">
        <v>64.5</v>
      </c>
      <c r="BE135">
        <f t="shared" ref="BE135:BE146" si="35">(1-($BD135/(SQRT($BD135^2+BE$2^2))))/(1-(20/(SQRT(20^2+BE$2^2))))</f>
        <v>0.27163533725762523</v>
      </c>
      <c r="BF135">
        <f t="shared" ref="BF135:BF146" si="36">(1-($BD135/(SQRT($BD135^2+BF$2^2))))/(1-(20/(SQRT(20^2+BF$2^2))))*$AC$10</f>
        <v>0.26366823021514613</v>
      </c>
      <c r="BG135">
        <f t="shared" ref="BG135:BG146" si="37">(1-($BD135/(SQRT($BD135^2+BG$2^2))))/(1-(20/(SQRT(20^2+BG$2^2))))*$AC$16</f>
        <v>0.25675685684920596</v>
      </c>
      <c r="BH135">
        <f t="shared" ref="BH135:BH146" si="38">(1-($BD135/(SQRT($BD135^2+BH$2^2))))/(1-(20/(SQRT(20^2+BH$2^2))))*$AC$22</f>
        <v>0.23514831306456524</v>
      </c>
      <c r="BI135">
        <f t="shared" ref="BI135:BI146" si="39">(1-($BD135/(SQRT($BD135^2+BI$2^2))))/(1-(20/(SQRT(20^2+BI$2^2))))*$AC$28</f>
        <v>0.22892941917944493</v>
      </c>
      <c r="BJ135">
        <f t="shared" ref="BJ135:BJ146" si="40">(1-($BD135/(SQRT($BD135^2+BJ$2^2))))/(1-(20/(SQRT(20^2+BJ$2^2))))*$AC$34</f>
        <v>0.20724810779641761</v>
      </c>
      <c r="BN135">
        <v>64.5</v>
      </c>
      <c r="BO135" s="18">
        <f t="shared" ref="BO135:BO146" si="41">EXP(-((BN135-$BR$2)^2)/$BQ$2)+(1-EXP(-((0-$BR$2)^2)/$BQ$2))</f>
        <v>0.17798050737938489</v>
      </c>
    </row>
    <row r="136" spans="56:67" x14ac:dyDescent="0.3">
      <c r="BD136">
        <v>65</v>
      </c>
      <c r="BE136">
        <f t="shared" si="35"/>
        <v>0.26835262605566623</v>
      </c>
      <c r="BF136">
        <f t="shared" si="36"/>
        <v>0.26044988350901505</v>
      </c>
      <c r="BG136">
        <f t="shared" si="37"/>
        <v>0.25377803267660182</v>
      </c>
      <c r="BH136">
        <f t="shared" si="38"/>
        <v>0.23258764194642784</v>
      </c>
      <c r="BI136">
        <f t="shared" si="39"/>
        <v>0.22681118125337887</v>
      </c>
      <c r="BJ136">
        <f t="shared" si="40"/>
        <v>0.20552604522459791</v>
      </c>
      <c r="BN136">
        <v>65</v>
      </c>
      <c r="BO136" s="18">
        <f t="shared" si="41"/>
        <v>0.17313425736024818</v>
      </c>
    </row>
    <row r="137" spans="56:67" x14ac:dyDescent="0.3">
      <c r="BD137">
        <v>65.5</v>
      </c>
      <c r="BE137">
        <f t="shared" si="35"/>
        <v>0.26512440444591567</v>
      </c>
      <c r="BF137">
        <f t="shared" si="36"/>
        <v>0.25728568629996501</v>
      </c>
      <c r="BG137">
        <f t="shared" si="37"/>
        <v>0.25084597849125134</v>
      </c>
      <c r="BH137">
        <f t="shared" si="38"/>
        <v>0.23006382795105113</v>
      </c>
      <c r="BI137">
        <f t="shared" si="39"/>
        <v>0.2247172439488232</v>
      </c>
      <c r="BJ137">
        <f t="shared" si="40"/>
        <v>0.2038209442568491</v>
      </c>
      <c r="BN137">
        <v>65.5</v>
      </c>
      <c r="BO137" s="18">
        <f t="shared" si="41"/>
        <v>0.16838426845617491</v>
      </c>
    </row>
    <row r="138" spans="56:67" x14ac:dyDescent="0.3">
      <c r="BD138">
        <v>66</v>
      </c>
      <c r="BE138">
        <f t="shared" si="35"/>
        <v>0.26194958354112546</v>
      </c>
      <c r="BF138">
        <f t="shared" si="36"/>
        <v>0.25417453629503223</v>
      </c>
      <c r="BG138">
        <f t="shared" si="37"/>
        <v>0.24795982897477142</v>
      </c>
      <c r="BH138">
        <f t="shared" si="38"/>
        <v>0.22757626877622972</v>
      </c>
      <c r="BI138">
        <f t="shared" si="39"/>
        <v>0.22264732778963708</v>
      </c>
      <c r="BJ138">
        <f t="shared" si="40"/>
        <v>0.20213265556037013</v>
      </c>
      <c r="BN138">
        <v>66</v>
      </c>
      <c r="BO138" s="18">
        <f t="shared" si="41"/>
        <v>0.16372995395608489</v>
      </c>
    </row>
    <row r="139" spans="56:67" x14ac:dyDescent="0.3">
      <c r="BD139">
        <v>66.5</v>
      </c>
      <c r="BE139">
        <f t="shared" si="35"/>
        <v>0.25882709823598327</v>
      </c>
      <c r="BF139">
        <f t="shared" si="36"/>
        <v>0.25111535593804674</v>
      </c>
      <c r="BG139">
        <f t="shared" si="37"/>
        <v>0.2451187356127156</v>
      </c>
      <c r="BH139">
        <f t="shared" si="38"/>
        <v>0.22512437161456439</v>
      </c>
      <c r="BI139">
        <f t="shared" si="39"/>
        <v>0.2206011551567067</v>
      </c>
      <c r="BJ139">
        <f t="shared" si="40"/>
        <v>0.20046102986315853</v>
      </c>
      <c r="BN139">
        <v>66.5</v>
      </c>
      <c r="BO139" s="18">
        <f t="shared" si="41"/>
        <v>0.15917068059162795</v>
      </c>
    </row>
    <row r="140" spans="56:67" x14ac:dyDescent="0.3">
      <c r="BD140">
        <v>67</v>
      </c>
      <c r="BE140">
        <f t="shared" si="35"/>
        <v>0.25575590670609533</v>
      </c>
      <c r="BF140">
        <f t="shared" si="36"/>
        <v>0.24810709186266044</v>
      </c>
      <c r="BG140">
        <f t="shared" si="37"/>
        <v>0.24232186641526049</v>
      </c>
      <c r="BH140">
        <f t="shared" si="38"/>
        <v>0.22270755306938214</v>
      </c>
      <c r="BI140">
        <f t="shared" si="39"/>
        <v>0.21857845034447115</v>
      </c>
      <c r="BJ140">
        <f t="shared" si="40"/>
        <v>0.19880591800766681</v>
      </c>
      <c r="BN140">
        <v>67</v>
      </c>
      <c r="BO140" s="18">
        <f t="shared" si="41"/>
        <v>0.15470577039261291</v>
      </c>
    </row>
    <row r="141" spans="56:67" x14ac:dyDescent="0.3">
      <c r="BD141">
        <v>67.5</v>
      </c>
      <c r="BE141">
        <f t="shared" si="35"/>
        <v>0.25273498991383936</v>
      </c>
      <c r="BF141">
        <f t="shared" si="36"/>
        <v>0.24514871435419169</v>
      </c>
      <c r="BG141">
        <f t="shared" si="37"/>
        <v>0.23956840563823995</v>
      </c>
      <c r="BH141">
        <f t="shared" si="38"/>
        <v>0.2203252390669703</v>
      </c>
      <c r="BI141">
        <f t="shared" si="39"/>
        <v>0.21657893961379923</v>
      </c>
      <c r="BJ141">
        <f t="shared" si="40"/>
        <v>0.19716717100247488</v>
      </c>
      <c r="BN141">
        <v>67.5</v>
      </c>
      <c r="BO141" s="18">
        <f t="shared" si="41"/>
        <v>0.15033450253936714</v>
      </c>
    </row>
    <row r="142" spans="56:67" x14ac:dyDescent="0.3">
      <c r="BD142">
        <v>68</v>
      </c>
      <c r="BE142">
        <f t="shared" si="35"/>
        <v>0.24976335112131001</v>
      </c>
      <c r="BF142">
        <f t="shared" si="36"/>
        <v>0.24223921682042818</v>
      </c>
      <c r="BG142">
        <f t="shared" si="37"/>
        <v>0.23685755350487409</v>
      </c>
      <c r="BH142">
        <f t="shared" si="38"/>
        <v>0.21797686476545666</v>
      </c>
      <c r="BI142">
        <f t="shared" si="39"/>
        <v>0.21460235124133845</v>
      </c>
      <c r="BJ142">
        <f t="shared" si="40"/>
        <v>0.19554464007201805</v>
      </c>
      <c r="BN142">
        <v>68</v>
      </c>
      <c r="BO142" s="18">
        <f t="shared" si="41"/>
        <v>0.14605611520967898</v>
      </c>
    </row>
    <row r="143" spans="56:67" x14ac:dyDescent="0.3">
      <c r="BD143">
        <v>68.5</v>
      </c>
      <c r="BE143">
        <f t="shared" si="35"/>
        <v>0.24684001541054074</v>
      </c>
      <c r="BF143">
        <f t="shared" si="36"/>
        <v>0.23937761527151472</v>
      </c>
      <c r="BG143">
        <f t="shared" si="37"/>
        <v>0.23418852592851971</v>
      </c>
      <c r="BH143">
        <f t="shared" si="38"/>
        <v>0.21566187446064924</v>
      </c>
      <c r="BI143">
        <f t="shared" si="39"/>
        <v>0.21264841556546396</v>
      </c>
      <c r="BJ143">
        <f t="shared" si="40"/>
        <v>0.19393817670441049</v>
      </c>
      <c r="BN143">
        <v>68.5</v>
      </c>
      <c r="BO143" s="18">
        <f t="shared" si="41"/>
        <v>0.14186980741804978</v>
      </c>
    </row>
    <row r="144" spans="56:67" x14ac:dyDescent="0.3">
      <c r="BD144">
        <v>69</v>
      </c>
      <c r="BE144">
        <f t="shared" si="35"/>
        <v>0.24396402921117014</v>
      </c>
      <c r="BF144">
        <f t="shared" si="36"/>
        <v>0.23656294780901352</v>
      </c>
      <c r="BG144">
        <f t="shared" si="37"/>
        <v>0.23156055423673241</v>
      </c>
      <c r="BH144">
        <f t="shared" si="38"/>
        <v>0.21337972148913278</v>
      </c>
      <c r="BI144">
        <f t="shared" si="39"/>
        <v>0.21071686502894435</v>
      </c>
      <c r="BJ144">
        <f t="shared" si="40"/>
        <v>0.19234763269740329</v>
      </c>
      <c r="BN144">
        <v>69</v>
      </c>
      <c r="BO144" s="18">
        <f t="shared" si="41"/>
        <v>0.13777474084505859</v>
      </c>
    </row>
    <row r="145" spans="56:67" x14ac:dyDescent="0.3">
      <c r="BD145">
        <v>69.5</v>
      </c>
      <c r="BE145">
        <f t="shared" si="35"/>
        <v>0.24113445983567625</v>
      </c>
      <c r="BF145">
        <f t="shared" si="36"/>
        <v>0.23379427412420872</v>
      </c>
      <c r="BG145">
        <f t="shared" si="37"/>
        <v>0.22897288489691983</v>
      </c>
      <c r="BH145">
        <f t="shared" si="38"/>
        <v>0.21112986812890483</v>
      </c>
      <c r="BI145">
        <f t="shared" si="39"/>
        <v>0.20880743421844611</v>
      </c>
      <c r="BJ145">
        <f t="shared" si="40"/>
        <v>0.19077286020251857</v>
      </c>
      <c r="BN145">
        <v>69.5</v>
      </c>
      <c r="BO145" s="18">
        <f t="shared" si="41"/>
        <v>0.13377004165472103</v>
      </c>
    </row>
    <row r="146" spans="56:67" x14ac:dyDescent="0.3">
      <c r="BD146">
        <v>70</v>
      </c>
      <c r="BE146">
        <f t="shared" si="35"/>
        <v>0.23835039502229774</v>
      </c>
      <c r="BF146">
        <f t="shared" si="36"/>
        <v>0.23107067500569695</v>
      </c>
      <c r="BG146">
        <f t="shared" si="37"/>
        <v>0.22642477924383048</v>
      </c>
      <c r="BH146">
        <f t="shared" si="38"/>
        <v>0.20891178549781306</v>
      </c>
      <c r="BI146">
        <f t="shared" si="39"/>
        <v>0.20691985990099124</v>
      </c>
      <c r="BJ146">
        <f t="shared" si="40"/>
        <v>0.18921371176739815</v>
      </c>
      <c r="BN146">
        <v>70</v>
      </c>
      <c r="BO146" s="18">
        <f t="shared" si="41"/>
        <v>0.12985480229780366</v>
      </c>
    </row>
  </sheetData>
  <conditionalFormatting sqref="AI4:AN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DBB7-F107-4765-9D34-B73E8364A7D8}">
  <dimension ref="A1:EW38"/>
  <sheetViews>
    <sheetView tabSelected="1" topLeftCell="EI1" workbookViewId="0">
      <selection activeCell="ER16" sqref="ER16"/>
    </sheetView>
  </sheetViews>
  <sheetFormatPr defaultRowHeight="14.4" x14ac:dyDescent="0.3"/>
  <cols>
    <col min="19" max="29" width="8.88671875" customWidth="1"/>
    <col min="57" max="58" width="8.88671875" customWidth="1"/>
    <col min="84" max="84" width="8.88671875" customWidth="1"/>
    <col min="87" max="87" width="8.77734375" customWidth="1"/>
    <col min="142" max="142" width="14.6640625" bestFit="1" customWidth="1"/>
    <col min="143" max="143" width="18.109375" bestFit="1" customWidth="1"/>
    <col min="144" max="144" width="14.44140625" bestFit="1" customWidth="1"/>
    <col min="145" max="145" width="10.5546875" bestFit="1" customWidth="1"/>
    <col min="146" max="146" width="14.44140625" bestFit="1" customWidth="1"/>
    <col min="147" max="147" width="10.5546875" bestFit="1" customWidth="1"/>
    <col min="148" max="148" width="10.5546875" customWidth="1"/>
    <col min="150" max="150" width="11" bestFit="1" customWidth="1"/>
    <col min="151" max="151" width="11" customWidth="1"/>
    <col min="152" max="152" width="10.6640625" bestFit="1" customWidth="1"/>
    <col min="153" max="153" width="10.6640625" customWidth="1"/>
  </cols>
  <sheetData>
    <row r="1" spans="1:153" x14ac:dyDescent="0.3">
      <c r="D1" t="s">
        <v>226</v>
      </c>
      <c r="G1" t="s">
        <v>227</v>
      </c>
      <c r="J1" t="s">
        <v>228</v>
      </c>
      <c r="AT1" t="s">
        <v>245</v>
      </c>
      <c r="AV1" t="s">
        <v>245</v>
      </c>
      <c r="AX1" t="s">
        <v>245</v>
      </c>
      <c r="BA1" t="s">
        <v>246</v>
      </c>
      <c r="BJ1" t="s">
        <v>247</v>
      </c>
      <c r="BS1" t="s">
        <v>266</v>
      </c>
      <c r="BW1" t="s">
        <v>268</v>
      </c>
      <c r="CB1" t="s">
        <v>266</v>
      </c>
      <c r="CG1" t="s">
        <v>269</v>
      </c>
      <c r="CM1" t="s">
        <v>266</v>
      </c>
      <c r="CQ1" t="s">
        <v>270</v>
      </c>
      <c r="CY1" t="s">
        <v>281</v>
      </c>
      <c r="DH1" t="s">
        <v>272</v>
      </c>
      <c r="DS1" t="s">
        <v>282</v>
      </c>
      <c r="EB1" t="s">
        <v>272</v>
      </c>
    </row>
    <row r="2" spans="1:153" x14ac:dyDescent="0.3">
      <c r="A2" t="s">
        <v>220</v>
      </c>
      <c r="D2" t="s">
        <v>241</v>
      </c>
      <c r="E2" t="s">
        <v>221</v>
      </c>
      <c r="G2" t="s">
        <v>241</v>
      </c>
      <c r="H2" t="s">
        <v>221</v>
      </c>
      <c r="J2" t="s">
        <v>241</v>
      </c>
      <c r="K2" t="s">
        <v>221</v>
      </c>
      <c r="N2" t="s">
        <v>216</v>
      </c>
      <c r="O2" t="s">
        <v>204</v>
      </c>
      <c r="S2" t="s">
        <v>205</v>
      </c>
      <c r="T2" t="s">
        <v>17</v>
      </c>
      <c r="U2" t="s">
        <v>206</v>
      </c>
      <c r="V2" t="s">
        <v>17</v>
      </c>
      <c r="W2" t="s">
        <v>207</v>
      </c>
      <c r="X2" t="s">
        <v>17</v>
      </c>
      <c r="Y2" t="s">
        <v>208</v>
      </c>
      <c r="Z2" t="s">
        <v>17</v>
      </c>
      <c r="AA2" t="s">
        <v>212</v>
      </c>
      <c r="AB2" t="s">
        <v>17</v>
      </c>
      <c r="AD2" t="s">
        <v>215</v>
      </c>
      <c r="AE2" t="s">
        <v>291</v>
      </c>
      <c r="AF2" t="s">
        <v>292</v>
      </c>
      <c r="AG2" t="s">
        <v>17</v>
      </c>
      <c r="AI2" t="s">
        <v>205</v>
      </c>
      <c r="AJ2" t="s">
        <v>17</v>
      </c>
      <c r="AK2" t="s">
        <v>206</v>
      </c>
      <c r="AL2" t="s">
        <v>17</v>
      </c>
      <c r="AM2" t="s">
        <v>207</v>
      </c>
      <c r="AN2" t="s">
        <v>17</v>
      </c>
      <c r="AO2" t="s">
        <v>208</v>
      </c>
      <c r="AP2" t="s">
        <v>17</v>
      </c>
      <c r="AQ2" t="s">
        <v>212</v>
      </c>
      <c r="AT2" t="s">
        <v>242</v>
      </c>
      <c r="AU2" t="s">
        <v>17</v>
      </c>
      <c r="AV2" t="s">
        <v>243</v>
      </c>
      <c r="AW2" t="s">
        <v>17</v>
      </c>
      <c r="AX2" t="s">
        <v>244</v>
      </c>
      <c r="AY2" t="s">
        <v>17</v>
      </c>
      <c r="BA2" t="s">
        <v>205</v>
      </c>
      <c r="BB2" t="s">
        <v>17</v>
      </c>
      <c r="BC2" t="s">
        <v>206</v>
      </c>
      <c r="BD2" t="s">
        <v>17</v>
      </c>
      <c r="BE2" t="s">
        <v>207</v>
      </c>
      <c r="BF2" t="s">
        <v>17</v>
      </c>
      <c r="BG2" t="s">
        <v>208</v>
      </c>
      <c r="BH2" t="s">
        <v>17</v>
      </c>
      <c r="BJ2" t="s">
        <v>205</v>
      </c>
      <c r="BK2" t="s">
        <v>17</v>
      </c>
      <c r="BL2" t="s">
        <v>206</v>
      </c>
      <c r="BM2" t="s">
        <v>17</v>
      </c>
      <c r="BN2" t="s">
        <v>207</v>
      </c>
      <c r="BO2" t="s">
        <v>17</v>
      </c>
      <c r="BP2" t="s">
        <v>208</v>
      </c>
      <c r="BQ2" t="s">
        <v>17</v>
      </c>
      <c r="BS2" t="s">
        <v>206</v>
      </c>
      <c r="BT2" t="s">
        <v>208</v>
      </c>
      <c r="BU2" t="s">
        <v>17</v>
      </c>
      <c r="BW2" t="s">
        <v>206</v>
      </c>
      <c r="BX2" t="s">
        <v>208</v>
      </c>
      <c r="BY2" t="s">
        <v>17</v>
      </c>
      <c r="BZ2" t="s">
        <v>17</v>
      </c>
      <c r="CB2" t="s">
        <v>206</v>
      </c>
      <c r="CC2" t="s">
        <v>208</v>
      </c>
      <c r="CD2" t="s">
        <v>17</v>
      </c>
      <c r="CG2" t="s">
        <v>206</v>
      </c>
      <c r="CH2" t="s">
        <v>17</v>
      </c>
      <c r="CJ2" t="s">
        <v>208</v>
      </c>
      <c r="CK2" t="s">
        <v>17</v>
      </c>
      <c r="CM2" t="s">
        <v>206</v>
      </c>
      <c r="CN2" t="s">
        <v>208</v>
      </c>
      <c r="CO2" t="s">
        <v>17</v>
      </c>
      <c r="CQ2" t="s">
        <v>206</v>
      </c>
      <c r="CR2" t="s">
        <v>208</v>
      </c>
      <c r="CS2" t="s">
        <v>17</v>
      </c>
      <c r="CT2" t="s">
        <v>17</v>
      </c>
      <c r="CZ2" t="s">
        <v>271</v>
      </c>
      <c r="DA2" t="s">
        <v>17</v>
      </c>
      <c r="DG2" t="s">
        <v>17</v>
      </c>
      <c r="DH2" t="s">
        <v>273</v>
      </c>
      <c r="DT2" t="s">
        <v>271</v>
      </c>
      <c r="DU2" t="s">
        <v>17</v>
      </c>
      <c r="EA2" t="s">
        <v>17</v>
      </c>
      <c r="EB2" t="s">
        <v>273</v>
      </c>
      <c r="EL2" s="14"/>
      <c r="EM2" s="26"/>
      <c r="EN2" s="29" t="s">
        <v>301</v>
      </c>
      <c r="EO2" s="30"/>
      <c r="EP2" s="24" t="s">
        <v>209</v>
      </c>
      <c r="EQ2" s="24"/>
      <c r="ER2" s="44"/>
      <c r="ET2" s="13"/>
      <c r="EU2" s="14"/>
      <c r="EV2" s="24" t="s">
        <v>302</v>
      </c>
      <c r="EW2" s="24"/>
    </row>
    <row r="3" spans="1:153" x14ac:dyDescent="0.3">
      <c r="BT3" s="22"/>
      <c r="BU3" s="22"/>
      <c r="EL3" s="14" t="s">
        <v>293</v>
      </c>
      <c r="EM3" s="26" t="s">
        <v>294</v>
      </c>
      <c r="EN3" s="31" t="s">
        <v>299</v>
      </c>
      <c r="EO3" s="14" t="s">
        <v>300</v>
      </c>
      <c r="EP3" s="13" t="s">
        <v>299</v>
      </c>
      <c r="EQ3" s="13" t="s">
        <v>300</v>
      </c>
      <c r="ER3" s="17"/>
      <c r="ET3" s="13" t="s">
        <v>303</v>
      </c>
      <c r="EU3" s="14" t="s">
        <v>204</v>
      </c>
      <c r="EV3" s="13" t="s">
        <v>301</v>
      </c>
      <c r="EW3" s="13" t="s">
        <v>209</v>
      </c>
    </row>
    <row r="4" spans="1:153" x14ac:dyDescent="0.3">
      <c r="A4">
        <f>N4*'Energy Calibration (2)'!$T$4+'Energy Calibration (2)'!$U$4</f>
        <v>46.364954664345028</v>
      </c>
      <c r="B4">
        <f>A4/1000</f>
        <v>4.636495466434503E-2</v>
      </c>
      <c r="D4" s="6">
        <v>0.23669999999999999</v>
      </c>
      <c r="E4" s="11">
        <f>D4/$C$27</f>
        <v>0.26034210954980391</v>
      </c>
      <c r="F4" s="11"/>
      <c r="G4" s="6">
        <v>0.4133</v>
      </c>
      <c r="H4" s="11">
        <f>G4/2.52</f>
        <v>0.16400793650793652</v>
      </c>
      <c r="I4" s="11"/>
      <c r="J4" s="6">
        <v>0.214</v>
      </c>
      <c r="K4" s="11">
        <f>J4/0.925</f>
        <v>0.23135135135135135</v>
      </c>
      <c r="L4" s="6"/>
      <c r="M4" s="6"/>
      <c r="N4">
        <v>47</v>
      </c>
      <c r="O4" s="21" t="s">
        <v>123</v>
      </c>
      <c r="P4" s="21"/>
      <c r="S4" s="2">
        <v>9.3251510478549998E-3</v>
      </c>
      <c r="T4" s="2">
        <v>2.42765108788189E-4</v>
      </c>
      <c r="U4" s="2">
        <v>9.5518947581734702E-3</v>
      </c>
      <c r="V4" s="2">
        <v>2.00814577040416E-4</v>
      </c>
      <c r="W4" s="2">
        <v>6.6624749099175196E-3</v>
      </c>
      <c r="X4" s="2">
        <v>2.83830973720236E-4</v>
      </c>
      <c r="Y4" s="2">
        <v>8.0705929010509402E-3</v>
      </c>
      <c r="Z4" s="2">
        <v>3.26634915740784E-4</v>
      </c>
      <c r="AA4" s="2">
        <v>7.4553978382601903E-3</v>
      </c>
      <c r="AB4" s="2">
        <v>1.74183931493624E-4</v>
      </c>
      <c r="AD4">
        <f>'Energy Efficiency Calibrati (2)'!$AP$4/(N4^'Energy Efficiency Calibrati (2)'!$AP$7)-'Energy Efficiency Calibrati (2)'!$AP$6/(N4^'Energy Efficiency Calibrati (2)'!$AP$5)</f>
        <v>0.10323007853495132</v>
      </c>
      <c r="AE4">
        <f>'Energy Efficiency Calibrati (2)'!$AR$4/(N4^'Energy Efficiency Calibrati (2)'!$AP$7)-'Energy Efficiency Calibrati (2)'!$AR$6/(N4^'Energy Efficiency Calibrati (2)'!$AR$5)</f>
        <v>0.10931107653065836</v>
      </c>
      <c r="AF4">
        <f>'Energy Efficiency Calibrati (2)'!$AS$4/(N4^'Energy Efficiency Calibrati (2)'!$AP$7)-'Energy Efficiency Calibrati (2)'!$AS$6/(N4^'Energy Efficiency Calibrati (2)'!$AS$5)</f>
        <v>9.3833736262677853E-2</v>
      </c>
      <c r="AG4">
        <f>AVERAGE(ABS(AE4-AD4),ABS(AF4-AD4))</f>
        <v>7.7386701339902525E-3</v>
      </c>
      <c r="AI4">
        <f>S4/$AD4</f>
        <v>9.0333662244553262E-2</v>
      </c>
      <c r="AJ4">
        <f>AI4*SQRT((T4/S4)^2+($AG4/$AD4)^2)</f>
        <v>7.1686048956302604E-3</v>
      </c>
      <c r="AK4">
        <f>U4/$AD4</f>
        <v>9.2530151034801542E-2</v>
      </c>
      <c r="AL4">
        <f>AK4*SQRT((V4/U4)^2+($AG4/$AD4)^2)</f>
        <v>7.2041600033221857E-3</v>
      </c>
      <c r="AM4">
        <f>W4/$AD4</f>
        <v>6.4540054647558548E-2</v>
      </c>
      <c r="AN4">
        <f>AM4*SQRT((X4/W4)^2+($AG4/$AD4)^2)</f>
        <v>5.5649371241558235E-3</v>
      </c>
      <c r="AO4">
        <f>Y4/$AD4</f>
        <v>7.8180633160309224E-2</v>
      </c>
      <c r="AP4">
        <f>AO4*SQRT((Z4/Y4)^2+($AG4/$AD4)^2)</f>
        <v>6.6604175633326193E-3</v>
      </c>
      <c r="AQ4">
        <f>AA4/$AD4</f>
        <v>7.2221177626402414E-2</v>
      </c>
      <c r="AR4">
        <f>AQ4*SQRT((AB4/AA4)^2+($AG4/$AD4)^2)</f>
        <v>5.6709227578067472E-3</v>
      </c>
      <c r="AT4">
        <v>1</v>
      </c>
      <c r="AU4">
        <v>0.2</v>
      </c>
      <c r="AV4">
        <f>7-AT4</f>
        <v>6</v>
      </c>
      <c r="AW4">
        <v>0.4</v>
      </c>
      <c r="AX4">
        <v>0.4</v>
      </c>
      <c r="AY4">
        <v>0.1</v>
      </c>
      <c r="BA4">
        <f>AQ4/EXP(AT4*H4)/EXP(AV4*E4)/6+5*AQ4/6</f>
        <v>6.2326685901058047E-2</v>
      </c>
      <c r="BB4">
        <f>SQRT(($AR4^2 *1/6 *EXP(-$H4*$AT4)*EXP(-$E4*$AV4) +5/6) + ($AU4^2 *$AT4/6 *$AQ4*EXP(-$H4*$AT4)*EXP(-$E4*$AV4)) + (($AW4^2 *$AV4/6 *$AQ4*EXP(-$H4*$AT4)*EXP(-$E4*$AV4))))</f>
        <v>0.91404412285299619</v>
      </c>
      <c r="BC4">
        <f>AQ4/EXP(AT4*H4)/6+5*AQ4/6</f>
        <v>7.0400424994973454E-2</v>
      </c>
      <c r="BD4">
        <f>SQRT(($AR4^2 *1/6 *EXP(-$H4*$AT4) +5/6) + ($AU4^2 *$AT4/6 *$AQ4*EXP(-$H4*$AT4)))</f>
        <v>0.91309721655302545</v>
      </c>
      <c r="BE4">
        <f>AQ4/EXP(AV4*E4)/EXP(AX4*K4)/6+5*AQ4/6</f>
        <v>6.2485399467569855E-2</v>
      </c>
      <c r="BF4">
        <f>SQRT(($AR4^2 *1/6 *EXP(-$H4*$AX4)*EXP(-$K4*$AV4) +5/6) + ($AY4^2 *$AX4/6 *$AQ4*EXP(-$H4*$AX4)*EXP(-$K4*$AV4)) + (($AW4^2 *$AV4/6 *$AQ4*EXP(-$H4*$AX4)*EXP(-$K4*$AV4))))</f>
        <v>0.91435570096461283</v>
      </c>
      <c r="BG4">
        <f>AQ4/EXP(AX4*K4)/6+5*AQ4/6</f>
        <v>7.1157266429928756E-2</v>
      </c>
      <c r="BH4">
        <f>SQRT(($AR4^2 *1/6 *EXP(-$H4*$AX4)*EXP(-$K4*$AV4) +5/6) + ($AY4^2 *$AX4/6 *$AQ4*EXP(-$H4*$AX4)*EXP(-$K4*$AV4)) + (($AW4^2 *$AV4/6 *$AQ4*EXP(-$H4*$AX4)*EXP(-$K4*$AV4))))</f>
        <v>0.91435570096461283</v>
      </c>
      <c r="BJ4">
        <f>AI4-BA4</f>
        <v>2.8006976343495214E-2</v>
      </c>
      <c r="BK4">
        <f>SQRT(AJ4^2 + BB4^2)</f>
        <v>0.91407223315132635</v>
      </c>
      <c r="BL4">
        <f t="shared" ref="BL4" si="0">AK4-BC4</f>
        <v>2.2129726039828088E-2</v>
      </c>
      <c r="BM4">
        <f>SQRT(AL4^2 + BD4^2)</f>
        <v>0.9131256358235903</v>
      </c>
      <c r="BN4">
        <f>AM4-BE4</f>
        <v>2.0546551799886931E-3</v>
      </c>
      <c r="BO4">
        <f>SQRT(AN4^2 + BF4^2)</f>
        <v>0.91437263542370095</v>
      </c>
      <c r="BP4">
        <f>AO4-BG4</f>
        <v>7.0233667303804675E-3</v>
      </c>
      <c r="BQ4">
        <f>SQRT(AP4^2 + BH4^2)</f>
        <v>0.91437995879645484</v>
      </c>
      <c r="BS4">
        <v>5.9153954359234397</v>
      </c>
      <c r="BT4">
        <v>6.5822230967626396</v>
      </c>
      <c r="BU4">
        <v>0.01</v>
      </c>
      <c r="BW4">
        <f>BL4*BS4</f>
        <v>0.13090608041423515</v>
      </c>
      <c r="BX4">
        <f>IF(BP4&lt;0,0,BP4*BT4)</f>
        <v>4.6229366709744618E-2</v>
      </c>
      <c r="BY4">
        <f>BW4*SQRT(($BU4/BS4)^2+(BM4/BL4)^2)</f>
        <v>5.4014992231087842</v>
      </c>
      <c r="BZ4">
        <f>BX4*SQRT(($BU4/BT4)^2+(BQ4/BP4)^2)</f>
        <v>6.018652884416686</v>
      </c>
      <c r="CB4">
        <v>8.1889778195726901</v>
      </c>
      <c r="CC4">
        <v>9.6317728450952096</v>
      </c>
      <c r="CD4">
        <f>BU4</f>
        <v>0.01</v>
      </c>
      <c r="CF4">
        <f>BJ4-(BW4/CB4)</f>
        <v>1.2021332799394619E-2</v>
      </c>
      <c r="CG4">
        <f>IF(CF4&lt;0,0,CF4)</f>
        <v>1.2021332799394619E-2</v>
      </c>
      <c r="CH4">
        <f>SQRT(BJ4^2 + (BW4^2 *(-1/CB4)^2) + (CB4^2 *(BW4/(CB4^2))^2))</f>
        <v>3.5992670405836667E-2</v>
      </c>
      <c r="CI4">
        <f>BN4-(BX4/CC4)</f>
        <v>-2.7450185097086313E-3</v>
      </c>
      <c r="CJ4">
        <f>IF(CI4&lt;0,0,CI4)</f>
        <v>0</v>
      </c>
      <c r="CK4">
        <f>SQRT(BN4^2 + (BX4^2 *(-1/CC4)^2) + (CC4^2 *(BX4/(CC4^2))^2))</f>
        <v>7.0919209642944991E-3</v>
      </c>
      <c r="CM4">
        <v>13.2434272973783</v>
      </c>
      <c r="CN4">
        <v>15.789675436910899</v>
      </c>
      <c r="CO4">
        <v>0.01</v>
      </c>
      <c r="CQ4">
        <f>CG4*CM4</f>
        <v>0.15920364694637179</v>
      </c>
      <c r="CR4">
        <f>CJ4*CN4</f>
        <v>0</v>
      </c>
      <c r="CS4">
        <f>CQ4*SQRT((CH4/CG4)^2 + (CO4/CM4)^2)</f>
        <v>0.47666632891685612</v>
      </c>
      <c r="CV4">
        <v>47</v>
      </c>
      <c r="CW4" s="21" t="s">
        <v>123</v>
      </c>
      <c r="CX4" s="21"/>
      <c r="CZ4">
        <v>4.2519999999999998</v>
      </c>
      <c r="DA4">
        <v>0.04</v>
      </c>
      <c r="DG4">
        <f>DH4*SQRT((BY4/BW4)^2 + (DA4/CZ4)^2)</f>
        <v>127.0343218130276</v>
      </c>
      <c r="DH4">
        <f>BW4/(CZ4/100)</f>
        <v>3.0786942712661141</v>
      </c>
      <c r="DJ4" t="s">
        <v>85</v>
      </c>
      <c r="DK4">
        <f>DH7</f>
        <v>121.45062407660365</v>
      </c>
      <c r="DP4">
        <v>47</v>
      </c>
      <c r="DQ4" s="21" t="s">
        <v>123</v>
      </c>
      <c r="DR4" s="21"/>
      <c r="DT4">
        <v>4.2519999999999998</v>
      </c>
      <c r="DU4">
        <v>0.04</v>
      </c>
      <c r="EA4">
        <f>EB4*SQRT((CS4/CQ4)^2 + (DU4/DT4)^2)</f>
        <v>11.210458178863952</v>
      </c>
      <c r="EB4">
        <f>CQ4/(DT4/100)</f>
        <v>3.744206184063307</v>
      </c>
      <c r="ED4" t="s">
        <v>85</v>
      </c>
      <c r="EE4">
        <f>EB7</f>
        <v>19.849640892233314</v>
      </c>
      <c r="EL4" s="25">
        <f>A4</f>
        <v>46.364954664345028</v>
      </c>
      <c r="EM4" s="27" t="s">
        <v>123</v>
      </c>
      <c r="EN4" s="32">
        <f>DH4</f>
        <v>3.0786942712661141</v>
      </c>
      <c r="EO4" s="25">
        <f>DG4</f>
        <v>127.0343218130276</v>
      </c>
      <c r="EP4" s="4">
        <f>EB4</f>
        <v>3.744206184063307</v>
      </c>
      <c r="EQ4" s="4">
        <f>EA4</f>
        <v>11.210458178863952</v>
      </c>
      <c r="ER4" s="4"/>
      <c r="ET4" s="40" t="s">
        <v>305</v>
      </c>
      <c r="EU4" s="9" t="s">
        <v>85</v>
      </c>
      <c r="EV4" s="4">
        <f>DK4</f>
        <v>121.45062407660365</v>
      </c>
      <c r="EW4" s="4">
        <f>EE4</f>
        <v>19.849640892233314</v>
      </c>
    </row>
    <row r="5" spans="1:153" x14ac:dyDescent="0.3">
      <c r="A5">
        <f>N5*'Energy Calibration (2)'!$T$4+'Energy Calibration (2)'!$U$4</f>
        <v>63.351111988868091</v>
      </c>
      <c r="B5">
        <f t="shared" ref="B5:B25" si="1">A5/1000</f>
        <v>6.3351111988868086E-2</v>
      </c>
      <c r="D5" s="6">
        <v>0.20280000000000001</v>
      </c>
      <c r="E5" s="11">
        <f t="shared" ref="E5:E25" si="2">D5/$C$27</f>
        <v>0.22305610399957854</v>
      </c>
      <c r="F5" s="11"/>
      <c r="G5" s="6">
        <v>0.25840000000000002</v>
      </c>
      <c r="H5" s="11">
        <f t="shared" ref="H5:H25" si="3">G5/2.52</f>
        <v>0.10253968253968254</v>
      </c>
      <c r="I5" s="11"/>
      <c r="J5" s="6">
        <v>0.19400000000000001</v>
      </c>
      <c r="K5" s="11">
        <f t="shared" ref="K5:K25" si="4">J5/0.925</f>
        <v>0.20972972972972972</v>
      </c>
      <c r="N5">
        <v>64</v>
      </c>
      <c r="O5" s="21" t="s">
        <v>47</v>
      </c>
      <c r="P5" s="21" t="s">
        <v>213</v>
      </c>
      <c r="S5" s="2">
        <v>1.13001491518568E-2</v>
      </c>
      <c r="T5" s="2">
        <v>2.6723935728020201E-4</v>
      </c>
      <c r="U5" s="2">
        <v>8.5576533369359602E-3</v>
      </c>
      <c r="V5" s="2">
        <v>1.9007623251301E-4</v>
      </c>
      <c r="W5" s="2">
        <v>7.6298033904862997E-3</v>
      </c>
      <c r="X5" s="2">
        <v>3.0373767713188197E-4</v>
      </c>
      <c r="Y5" s="2">
        <v>7.5153678366051899E-3</v>
      </c>
      <c r="Z5" s="2">
        <v>3.1519912796791199E-4</v>
      </c>
      <c r="AA5" s="2">
        <v>8.6599817684594408E-3</v>
      </c>
      <c r="AB5" s="2">
        <v>1.8772891318320699E-4</v>
      </c>
      <c r="AD5">
        <f>'Energy Efficiency Calibrati (2)'!$AP$4/(N5^'Energy Efficiency Calibrati (2)'!$AP$7)-'Energy Efficiency Calibrati (2)'!$AP$6/(N5^'Energy Efficiency Calibrati (2)'!$AP$5)</f>
        <v>8.9586930342412247E-2</v>
      </c>
      <c r="AE5">
        <f>'Energy Efficiency Calibrati (2)'!$AR$4/(N5^'Energy Efficiency Calibrati (2)'!$AP$7)-'Energy Efficiency Calibrati (2)'!$AR$6/(N5^'Energy Efficiency Calibrati (2)'!$AR$5)</f>
        <v>9.0769617726469409E-2</v>
      </c>
      <c r="AF5">
        <f>'Energy Efficiency Calibrati (2)'!$AS$4/(N5^'Energy Efficiency Calibrati (2)'!$AP$7)-'Energy Efficiency Calibrati (2)'!$AS$6/(N5^'Energy Efficiency Calibrati (2)'!$AS$5)</f>
        <v>8.6831665039062506E-2</v>
      </c>
      <c r="AG5">
        <f t="shared" ref="AG5:AG25" si="5">AVERAGE(ABS(AE5-AD5),ABS(AF5-AD5))</f>
        <v>1.9689763437034519E-3</v>
      </c>
      <c r="AI5">
        <f>S5/$AD5</f>
        <v>0.12613613513339772</v>
      </c>
      <c r="AJ5">
        <f t="shared" ref="AJ5:AR25" si="6">AI5*SQRT((T5/S5)^2+($AG5/$AD5)^2)</f>
        <v>4.0723294329617042E-3</v>
      </c>
      <c r="AK5">
        <f>U5/$AD5</f>
        <v>9.552345754260759E-2</v>
      </c>
      <c r="AL5">
        <f t="shared" si="6"/>
        <v>2.9848435732443656E-3</v>
      </c>
      <c r="AM5">
        <f>W5/$AD5</f>
        <v>8.5166478651788322E-2</v>
      </c>
      <c r="AN5">
        <f t="shared" si="6"/>
        <v>3.8728145003684472E-3</v>
      </c>
      <c r="AO5">
        <f>Y5/$AD5</f>
        <v>8.3889109805197384E-2</v>
      </c>
      <c r="AP5">
        <f t="shared" si="6"/>
        <v>3.9721865587410837E-3</v>
      </c>
      <c r="AQ5">
        <f>AA5/$AD5</f>
        <v>9.6665682542754025E-2</v>
      </c>
      <c r="AR5">
        <f t="shared" si="6"/>
        <v>2.984096965199164E-3</v>
      </c>
      <c r="AT5">
        <f>AT4</f>
        <v>1</v>
      </c>
      <c r="AU5">
        <f>AU4</f>
        <v>0.2</v>
      </c>
      <c r="AV5">
        <f>AV4</f>
        <v>6</v>
      </c>
      <c r="AW5">
        <f>AW4</f>
        <v>0.4</v>
      </c>
      <c r="AX5">
        <f>AX4</f>
        <v>0.4</v>
      </c>
      <c r="AY5">
        <f>AY4</f>
        <v>0.1</v>
      </c>
      <c r="BA5">
        <f>AQ5/EXP(AT5*H5)/EXP(AV5*E5)/6+5*AQ5/6</f>
        <v>8.4368522525383821E-2</v>
      </c>
      <c r="BB5">
        <f t="shared" ref="BB5:BB25" si="7">SQRT(($AR5^2 *1/6 *EXP(-$H5*$AT5)*EXP(-$E5*$AV5) +5/6) + ($AU5^2 *$AT5/6 *$AQ5*EXP(-$H5*$AT5)*EXP(-$E5*$AV5)) + (($AW5^2 *$AV5/6 *$AQ5*EXP(-$H5*$AT5)*EXP(-$E5*$AV5))))</f>
        <v>0.9149576338455091</v>
      </c>
      <c r="BC5">
        <f>AQ5/EXP(AT5*H5)/6+5*AQ5/6</f>
        <v>9.5095547240179115E-2</v>
      </c>
      <c r="BD5">
        <f t="shared" ref="BD5:BD25" si="8">SQRT(($AR5^2 *1/6 *EXP(-$H5*$AT5) +5/6) + ($AU5^2 *$AT5/6 *$AQ5*EXP(-$H5*$AT5)))</f>
        <v>0.9131901802490161</v>
      </c>
      <c r="BE5">
        <f>AQ5/EXP(AV5*E5)/EXP(AX5*K5)/6+5*AQ5/6</f>
        <v>8.4440308472731193E-2</v>
      </c>
      <c r="BF5">
        <f t="shared" ref="BF5:BH25" si="9">SQRT(($AR5^2 *1/6 *EXP(-$H5*$AX5)*EXP(-$K5*$AV5) +5/6) + ($AY5^2 *$AX5/6 *$AQ5*EXP(-$H5*$AX5)*EXP(-$K5*$AV5)) + (($AW5^2 *$AV5/6 *$AQ5*EXP(-$H5*$AX5)*EXP(-$K5*$AV5))))</f>
        <v>0.91518794858575914</v>
      </c>
      <c r="BG5">
        <f>AQ5/EXP(AX5*K5)/6+5*AQ5/6</f>
        <v>9.5369245254616958E-2</v>
      </c>
      <c r="BH5">
        <f t="shared" si="9"/>
        <v>0.91518794858575914</v>
      </c>
      <c r="BJ5">
        <f t="shared" ref="BJ5:BJ25" si="10">AI5-BA5</f>
        <v>4.1767612608013899E-2</v>
      </c>
      <c r="BK5">
        <f t="shared" ref="BK5:BQ25" si="11">SQRT(AJ5^2 + BB5^2)</f>
        <v>0.91496669644265372</v>
      </c>
      <c r="BL5">
        <f t="shared" ref="BL5:BL25" si="12">AK5-BC5</f>
        <v>4.2791030242847472E-4</v>
      </c>
      <c r="BM5">
        <f t="shared" si="11"/>
        <v>0.91319505834974124</v>
      </c>
      <c r="BN5">
        <f t="shared" ref="BN5:BN25" si="13">AM5-BE5</f>
        <v>7.2617017905712844E-4</v>
      </c>
      <c r="BO5">
        <f t="shared" si="11"/>
        <v>0.91519614287253437</v>
      </c>
      <c r="BP5">
        <f t="shared" ref="BP5:BP25" si="14">AO5-BG5</f>
        <v>-1.1480135449419573E-2</v>
      </c>
      <c r="BQ5">
        <f t="shared" si="11"/>
        <v>0.91519656877780498</v>
      </c>
      <c r="BS5">
        <v>5.7876422692648299</v>
      </c>
      <c r="BT5">
        <v>6.5620541556146801</v>
      </c>
      <c r="BU5">
        <f>BU4</f>
        <v>0.01</v>
      </c>
      <c r="BW5">
        <f t="shared" ref="BW5:BW25" si="15">BL5*BS5</f>
        <v>2.4765917537889373E-3</v>
      </c>
      <c r="BX5">
        <f t="shared" ref="BX5:BX25" si="16">IF(BP5&lt;0,0,BP5*BT5)</f>
        <v>0</v>
      </c>
      <c r="BY5">
        <f t="shared" ref="BY5:BY25" si="17">BW5*SQRT(($BU5/BS5)^2+(BM5/BL5)^2)</f>
        <v>5.285246319790458</v>
      </c>
      <c r="CB5">
        <v>7.8240019386439599</v>
      </c>
      <c r="CC5">
        <v>9.30507480648326</v>
      </c>
      <c r="CD5">
        <f>CD4</f>
        <v>0.01</v>
      </c>
      <c r="CF5">
        <f>BJ5-(BW5/CB5)</f>
        <v>4.1451074885604004E-2</v>
      </c>
      <c r="CG5">
        <f t="shared" ref="CG5:CG25" si="18">IF(CF5&lt;0,0,CF5)</f>
        <v>4.1451074885604004E-2</v>
      </c>
      <c r="CH5">
        <f t="shared" ref="CH5:CH25" si="19">SQRT(BJ5^2 + (BW5^2 *(-1/CB5)^2) + (CB5^2 *(BW5/(CB5^2))^2))</f>
        <v>4.17700114344315E-2</v>
      </c>
      <c r="CI5">
        <f>BN5-(BX5/CC5)</f>
        <v>7.2617017905712844E-4</v>
      </c>
      <c r="CJ5">
        <f t="shared" ref="CJ5:CJ25" si="20">IF(CI5&lt;0,0,CI5)</f>
        <v>7.2617017905712844E-4</v>
      </c>
      <c r="CK5">
        <f t="shared" ref="CK5:CK25" si="21">SQRT(BN5^2 + (BX5^2 *(-1/CC5)^2) + (CC5^2 *(BX5/(CC5^2))^2))</f>
        <v>7.2617017905712844E-4</v>
      </c>
      <c r="CM5">
        <v>11.5597309607217</v>
      </c>
      <c r="CN5">
        <v>13.8450534962143</v>
      </c>
      <c r="CO5">
        <v>0.01</v>
      </c>
      <c r="CQ5">
        <f t="shared" ref="CQ5:CQ25" si="22">CG5*CM5</f>
        <v>0.47916327371031031</v>
      </c>
      <c r="CR5">
        <f t="shared" ref="CR5:CR25" si="23">CJ5*CN5</f>
        <v>1.0053864976401461E-2</v>
      </c>
      <c r="CS5">
        <f t="shared" ref="CS5:CS25" si="24">CQ5*SQRT((CH5/CG5)^2 + (CO5/CM5)^2)</f>
        <v>0.48285027233011119</v>
      </c>
      <c r="CT5">
        <f t="shared" ref="CT5:CT22" si="25">CR5*SQRT((CK5/CJ5)^2 + (CO5/CN5)^2)</f>
        <v>1.0053867598890728E-2</v>
      </c>
      <c r="CV5">
        <v>64</v>
      </c>
      <c r="CW5" s="21" t="s">
        <v>47</v>
      </c>
      <c r="CX5" s="21" t="s">
        <v>213</v>
      </c>
      <c r="CZ5">
        <v>3.75</v>
      </c>
      <c r="DA5">
        <v>0.08</v>
      </c>
      <c r="DB5">
        <v>0.25900000000000001</v>
      </c>
      <c r="DC5">
        <v>1.4999999999999999E-2</v>
      </c>
      <c r="DH5">
        <f>BW6/(CZ5/100) + BW6/(DB5/100)</f>
        <v>1297.1818237953971</v>
      </c>
      <c r="DJ5" t="s">
        <v>86</v>
      </c>
      <c r="DK5">
        <f>DH8</f>
        <v>36.980025209072956</v>
      </c>
      <c r="DP5">
        <v>64</v>
      </c>
      <c r="DQ5" s="21" t="s">
        <v>47</v>
      </c>
      <c r="DR5" s="21" t="s">
        <v>213</v>
      </c>
      <c r="DT5">
        <v>3.75</v>
      </c>
      <c r="DU5">
        <v>0.08</v>
      </c>
      <c r="DV5">
        <v>0.25900000000000001</v>
      </c>
      <c r="DW5">
        <v>1.4999999999999999E-2</v>
      </c>
      <c r="EB5">
        <f>CQ6/(DT5/100) + CQ6/(DV5/100)</f>
        <v>139.80096396385289</v>
      </c>
      <c r="ED5" t="s">
        <v>86</v>
      </c>
      <c r="EE5">
        <f>EB8</f>
        <v>6.043939470602024</v>
      </c>
      <c r="EL5" s="25">
        <f t="shared" ref="EL5:EL25" si="26">A5</f>
        <v>63.351111988868091</v>
      </c>
      <c r="EM5" s="27" t="s">
        <v>295</v>
      </c>
      <c r="EN5" s="32">
        <f t="shared" ref="EN5:EN25" si="27">DH5</f>
        <v>1297.1818237953971</v>
      </c>
      <c r="EO5" s="25"/>
      <c r="EP5" s="4">
        <f t="shared" ref="EP5:EP25" si="28">EB5</f>
        <v>139.80096396385289</v>
      </c>
      <c r="EQ5" s="4"/>
      <c r="ER5" s="4"/>
      <c r="ET5" s="41"/>
      <c r="EU5" s="9" t="s">
        <v>86</v>
      </c>
      <c r="EV5" s="4">
        <f>DK5</f>
        <v>36.980025209072956</v>
      </c>
      <c r="EW5" s="4">
        <f>EE5</f>
        <v>6.043939470602024</v>
      </c>
    </row>
    <row r="6" spans="1:153" x14ac:dyDescent="0.3">
      <c r="A6">
        <f>N6*'Energy Calibration (2)'!$T$4+'Energy Calibration (2)'!$U$4</f>
        <v>76.340526413503369</v>
      </c>
      <c r="B6">
        <f t="shared" si="1"/>
        <v>7.6340526413503362E-2</v>
      </c>
      <c r="D6" s="6">
        <v>0.1895</v>
      </c>
      <c r="E6" s="11">
        <f t="shared" si="2"/>
        <v>0.2084276711435904</v>
      </c>
      <c r="F6" s="11"/>
      <c r="G6" s="6">
        <v>0.21240000000000001</v>
      </c>
      <c r="H6" s="11">
        <f t="shared" si="3"/>
        <v>8.4285714285714283E-2</v>
      </c>
      <c r="I6" s="11"/>
      <c r="J6" s="6">
        <v>0.1845</v>
      </c>
      <c r="K6" s="11">
        <f t="shared" si="4"/>
        <v>0.19945945945945945</v>
      </c>
      <c r="N6">
        <v>77</v>
      </c>
      <c r="O6" s="21" t="s">
        <v>73</v>
      </c>
      <c r="P6" s="21" t="s">
        <v>74</v>
      </c>
      <c r="S6" s="2">
        <v>3.4507166873119798E-2</v>
      </c>
      <c r="T6" s="2">
        <v>4.6699580862833698E-4</v>
      </c>
      <c r="U6" s="2">
        <v>4.2904367062955903E-2</v>
      </c>
      <c r="V6" s="2">
        <v>4.2559960892444502E-4</v>
      </c>
      <c r="W6" s="2"/>
      <c r="X6" s="2"/>
      <c r="Y6" s="2"/>
      <c r="Z6" s="2"/>
      <c r="AA6" s="2"/>
      <c r="AB6" s="2"/>
      <c r="AD6">
        <f>'Energy Efficiency Calibrati (2)'!$AP$4/(N6^'Energy Efficiency Calibrati (2)'!$AP$7)-'Energy Efficiency Calibrati (2)'!$AP$6/(N6^'Energy Efficiency Calibrati (2)'!$AP$5)</f>
        <v>7.8501018619289917E-2</v>
      </c>
      <c r="AE6">
        <f>'Energy Efficiency Calibrati (2)'!$AR$4/(N6^'Energy Efficiency Calibrati (2)'!$AP$7)-'Energy Efficiency Calibrati (2)'!$AR$6/(N6^'Energy Efficiency Calibrati (2)'!$AR$5)</f>
        <v>7.8443264873640312E-2</v>
      </c>
      <c r="AF6">
        <f>'Energy Efficiency Calibrati (2)'!$AS$4/(N6^'Energy Efficiency Calibrati (2)'!$AP$7)-'Energy Efficiency Calibrati (2)'!$AS$6/(N6^'Energy Efficiency Calibrati (2)'!$AS$5)</f>
        <v>7.7563067730043608E-2</v>
      </c>
      <c r="AG6">
        <f t="shared" si="5"/>
        <v>4.9785231744795683E-4</v>
      </c>
      <c r="AI6">
        <f>S6/$AD6</f>
        <v>0.43957603964950859</v>
      </c>
      <c r="AJ6">
        <f t="shared" si="6"/>
        <v>6.5697277047469674E-3</v>
      </c>
      <c r="AK6">
        <f>U6/$AD6</f>
        <v>0.54654535466643095</v>
      </c>
      <c r="AL6">
        <f t="shared" si="6"/>
        <v>6.4349016997267026E-3</v>
      </c>
      <c r="AM6">
        <f>W6/$AD6</f>
        <v>0</v>
      </c>
      <c r="AO6">
        <f>Y6/$AD6</f>
        <v>0</v>
      </c>
      <c r="AQ6">
        <f>AA6/$AD6</f>
        <v>0</v>
      </c>
      <c r="AT6">
        <f t="shared" ref="AT6:AU25" si="29">AT5</f>
        <v>1</v>
      </c>
      <c r="AU6">
        <f t="shared" si="29"/>
        <v>0.2</v>
      </c>
      <c r="AV6">
        <f t="shared" ref="AV6:AW25" si="30">AV5</f>
        <v>6</v>
      </c>
      <c r="AW6">
        <f t="shared" si="30"/>
        <v>0.4</v>
      </c>
      <c r="AX6">
        <f t="shared" ref="AX6:AY25" si="31">AX5</f>
        <v>0.4</v>
      </c>
      <c r="AY6">
        <f t="shared" si="31"/>
        <v>0.1</v>
      </c>
      <c r="BA6">
        <f>AQ6/EXP(AT6*H6)/EXP(AV6*E6)/6+5*AQ6/6</f>
        <v>0</v>
      </c>
      <c r="BB6">
        <f t="shared" si="7"/>
        <v>0.9128709291752769</v>
      </c>
      <c r="BC6">
        <f>AQ6/EXP(AT6*H6)/6+5*AQ6/6</f>
        <v>0</v>
      </c>
      <c r="BD6">
        <f t="shared" si="8"/>
        <v>0.9128709291752769</v>
      </c>
      <c r="BE6">
        <f>AQ6/EXP(AV6*E6)/EXP(AX6*K6)/6+5*AQ6/6</f>
        <v>0</v>
      </c>
      <c r="BF6">
        <f t="shared" si="9"/>
        <v>0.9128709291752769</v>
      </c>
      <c r="BG6">
        <f>AQ6/EXP(AX6*K6)/6+5*AQ6/6</f>
        <v>0</v>
      </c>
      <c r="BH6">
        <f t="shared" si="9"/>
        <v>0.9128709291752769</v>
      </c>
      <c r="BJ6">
        <f t="shared" si="10"/>
        <v>0.43957603964950859</v>
      </c>
      <c r="BK6">
        <f t="shared" si="11"/>
        <v>0.91289456929891299</v>
      </c>
      <c r="BL6">
        <f t="shared" si="12"/>
        <v>0.54654535466643095</v>
      </c>
      <c r="BM6">
        <f t="shared" si="11"/>
        <v>0.91289360896723259</v>
      </c>
      <c r="BN6">
        <f t="shared" si="13"/>
        <v>0</v>
      </c>
      <c r="BO6">
        <f t="shared" si="11"/>
        <v>0.9128709291752769</v>
      </c>
      <c r="BP6">
        <f t="shared" si="14"/>
        <v>0</v>
      </c>
      <c r="BQ6">
        <f t="shared" si="11"/>
        <v>0.9128709291752769</v>
      </c>
      <c r="BS6">
        <v>5.7500235425919399</v>
      </c>
      <c r="BT6">
        <v>6.5524867301193304</v>
      </c>
      <c r="BU6">
        <f t="shared" ref="BU6:BU25" si="32">BU5</f>
        <v>0.01</v>
      </c>
      <c r="BW6">
        <f t="shared" si="15"/>
        <v>3.1426486564262395</v>
      </c>
      <c r="BX6">
        <f t="shared" si="16"/>
        <v>0</v>
      </c>
      <c r="BY6">
        <f t="shared" si="17"/>
        <v>5.2491625887724496</v>
      </c>
      <c r="CB6">
        <v>7.6895321533405099</v>
      </c>
      <c r="CC6">
        <v>9.1664719006119597</v>
      </c>
      <c r="CD6">
        <f t="shared" ref="CD6:CD25" si="33">CD5</f>
        <v>0.01</v>
      </c>
      <c r="CF6">
        <f>BJ6-(BW6/CB6)</f>
        <v>3.0884250115733036E-2</v>
      </c>
      <c r="CG6">
        <f t="shared" si="18"/>
        <v>3.0884250115733036E-2</v>
      </c>
      <c r="CH6">
        <f t="shared" si="19"/>
        <v>0.72614396113896462</v>
      </c>
      <c r="CI6">
        <f>BN6-(BX6/CC6)</f>
        <v>0</v>
      </c>
      <c r="CJ6">
        <f t="shared" si="20"/>
        <v>0</v>
      </c>
      <c r="CK6">
        <f t="shared" si="21"/>
        <v>0</v>
      </c>
      <c r="CM6">
        <v>10.9665009511139</v>
      </c>
      <c r="CN6">
        <v>13.1133542181149</v>
      </c>
      <c r="CO6">
        <v>0.01</v>
      </c>
      <c r="CQ6">
        <f t="shared" si="22"/>
        <v>0.33869215826862592</v>
      </c>
      <c r="CR6">
        <f t="shared" si="23"/>
        <v>0</v>
      </c>
      <c r="CS6">
        <f t="shared" si="24"/>
        <v>7.9632584464650575</v>
      </c>
      <c r="CV6">
        <v>77</v>
      </c>
      <c r="CW6" s="21" t="s">
        <v>73</v>
      </c>
      <c r="CX6" s="21" t="s">
        <v>74</v>
      </c>
      <c r="CZ6">
        <v>10.47</v>
      </c>
      <c r="DA6">
        <v>0.2</v>
      </c>
      <c r="DB6">
        <v>16.899999999999999</v>
      </c>
      <c r="DC6">
        <v>0.3</v>
      </c>
      <c r="DH6">
        <f>BW7/(CZ6/100) + BW7/(DB6/100)</f>
        <v>25.88642534192752</v>
      </c>
      <c r="DJ6" t="s">
        <v>51</v>
      </c>
      <c r="DK6">
        <f>AVERAGE(DH10,DH12)</f>
        <v>20.813415061658809</v>
      </c>
      <c r="DP6">
        <v>77</v>
      </c>
      <c r="DQ6" s="21" t="s">
        <v>73</v>
      </c>
      <c r="DR6" s="21" t="s">
        <v>74</v>
      </c>
      <c r="DT6">
        <v>10.47</v>
      </c>
      <c r="DU6">
        <v>0.2</v>
      </c>
      <c r="DV6">
        <v>16.899999999999999</v>
      </c>
      <c r="DW6">
        <v>0.3</v>
      </c>
      <c r="EB6">
        <f>CQ7/(DT6/100) + CQ7/(DV6/100)</f>
        <v>3.6474084867533092</v>
      </c>
      <c r="ED6" t="s">
        <v>51</v>
      </c>
      <c r="EE6">
        <f>AVERAGE(EB10,EB12)</f>
        <v>3.0584741279586831</v>
      </c>
      <c r="EL6" s="25">
        <f t="shared" si="26"/>
        <v>76.340526413503369</v>
      </c>
      <c r="EM6" s="27" t="s">
        <v>296</v>
      </c>
      <c r="EN6" s="32">
        <f t="shared" si="27"/>
        <v>25.88642534192752</v>
      </c>
      <c r="EO6" s="25"/>
      <c r="EP6" s="4">
        <f t="shared" si="28"/>
        <v>3.6474084867533092</v>
      </c>
      <c r="EQ6" s="4"/>
      <c r="ER6" s="4"/>
      <c r="ET6" s="41"/>
      <c r="EU6" s="9" t="s">
        <v>51</v>
      </c>
      <c r="EV6" s="4">
        <f>DK6</f>
        <v>20.813415061658809</v>
      </c>
      <c r="EW6" s="4">
        <f>EE6</f>
        <v>3.0584741279586831</v>
      </c>
    </row>
    <row r="7" spans="1:153" x14ac:dyDescent="0.3">
      <c r="A7">
        <f>N7*'Energy Calibration (2)'!$T$4+'Energy Calibration (2)'!$U$4</f>
        <v>92.327498013054495</v>
      </c>
      <c r="B7">
        <f t="shared" si="1"/>
        <v>9.2327498013054496E-2</v>
      </c>
      <c r="D7" s="6">
        <v>0.1784</v>
      </c>
      <c r="E7" s="11">
        <f t="shared" si="2"/>
        <v>0.19621897906077324</v>
      </c>
      <c r="F7" s="11"/>
      <c r="G7" s="6">
        <v>0.1827</v>
      </c>
      <c r="H7" s="11">
        <f t="shared" si="3"/>
        <v>7.2499999999999995E-2</v>
      </c>
      <c r="I7" s="11"/>
      <c r="J7" s="6">
        <v>0.17560000000000001</v>
      </c>
      <c r="K7" s="11">
        <f t="shared" si="4"/>
        <v>0.18983783783783784</v>
      </c>
      <c r="N7">
        <v>93</v>
      </c>
      <c r="O7" s="21" t="s">
        <v>47</v>
      </c>
      <c r="P7" s="21"/>
      <c r="S7" s="2">
        <v>3.2797608514295799E-2</v>
      </c>
      <c r="T7" s="2">
        <v>4.5528088782738297E-4</v>
      </c>
      <c r="U7" s="2">
        <v>3.8104144150229599E-2</v>
      </c>
      <c r="V7" s="2">
        <v>4.0108514397502301E-4</v>
      </c>
      <c r="W7" s="20">
        <v>1.9116829097240599E-2</v>
      </c>
      <c r="X7" s="20">
        <v>4.8078390733164898E-4</v>
      </c>
      <c r="Y7" s="2">
        <v>1.83422565932976E-2</v>
      </c>
      <c r="Z7" s="2">
        <v>4.9242066315524202E-4</v>
      </c>
      <c r="AA7" s="2">
        <v>1.8650703216564601E-2</v>
      </c>
      <c r="AB7" s="2">
        <v>2.7549916234231002E-4</v>
      </c>
      <c r="AD7">
        <f>'Energy Efficiency Calibrati (2)'!$AP$4/(N7^'Energy Efficiency Calibrati (2)'!$AP$7)-'Energy Efficiency Calibrati (2)'!$AP$6/(N7^'Energy Efficiency Calibrati (2)'!$AP$5)</f>
        <v>6.7302183727301151E-2</v>
      </c>
      <c r="AE7">
        <f>'Energy Efficiency Calibrati (2)'!$AR$4/(N7^'Energy Efficiency Calibrati (2)'!$AP$7)-'Energy Efficiency Calibrati (2)'!$AR$6/(N7^'Energy Efficiency Calibrati (2)'!$AR$5)</f>
        <v>6.6628339553732291E-2</v>
      </c>
      <c r="AF7">
        <f>'Energy Efficiency Calibrati (2)'!$AS$4/(N7^'Energy Efficiency Calibrati (2)'!$AP$7)-'Energy Efficiency Calibrati (2)'!$AS$6/(N7^'Energy Efficiency Calibrati (2)'!$AS$5)</f>
        <v>6.7355788536682101E-2</v>
      </c>
      <c r="AG7">
        <f t="shared" si="5"/>
        <v>3.6372449147490521E-4</v>
      </c>
      <c r="AI7">
        <f>S7/$AD7</f>
        <v>0.48731863808739151</v>
      </c>
      <c r="AJ7">
        <f t="shared" si="6"/>
        <v>7.2593104876829415E-3</v>
      </c>
      <c r="AK7">
        <f>U7/$AD7</f>
        <v>0.56616504903647935</v>
      </c>
      <c r="AL7">
        <f t="shared" si="6"/>
        <v>6.6990550675820456E-3</v>
      </c>
      <c r="AM7">
        <f>W7/$AD7</f>
        <v>0.2840447075937278</v>
      </c>
      <c r="AN7">
        <f t="shared" si="6"/>
        <v>7.3067322772525983E-3</v>
      </c>
      <c r="AO7">
        <f>Y7/$AD7</f>
        <v>0.27253583134267689</v>
      </c>
      <c r="AP7">
        <f t="shared" si="6"/>
        <v>7.4633414143550928E-3</v>
      </c>
      <c r="AQ7">
        <f>AA7/$AD7</f>
        <v>0.2771188419700405</v>
      </c>
      <c r="AR7">
        <f t="shared" si="6"/>
        <v>4.3588307590720953E-3</v>
      </c>
      <c r="AT7">
        <f t="shared" si="29"/>
        <v>1</v>
      </c>
      <c r="AU7">
        <f t="shared" si="29"/>
        <v>0.2</v>
      </c>
      <c r="AV7">
        <f t="shared" si="30"/>
        <v>6</v>
      </c>
      <c r="AW7">
        <f t="shared" si="30"/>
        <v>0.4</v>
      </c>
      <c r="AX7">
        <f t="shared" si="31"/>
        <v>0.4</v>
      </c>
      <c r="AY7">
        <f t="shared" si="31"/>
        <v>0.1</v>
      </c>
      <c r="BA7">
        <f>AQ7/EXP(AT7*H7)/EXP(AV7*E7)/6+5*AQ7/6</f>
        <v>0.24416747772640676</v>
      </c>
      <c r="BB7">
        <f t="shared" si="7"/>
        <v>0.92009203352548108</v>
      </c>
      <c r="BC7">
        <f>AQ7/EXP(AT7*H7)/6+5*AQ7/6</f>
        <v>0.27388882542011667</v>
      </c>
      <c r="BD7">
        <f t="shared" si="8"/>
        <v>0.91381318481069229</v>
      </c>
      <c r="BE7">
        <f>AQ7/EXP(AV7*E7)/EXP(AX7*K7)/6+5*AQ7/6</f>
        <v>0.24412209133585044</v>
      </c>
      <c r="BF7">
        <f t="shared" si="9"/>
        <v>0.9204239850785122</v>
      </c>
      <c r="BG7">
        <f>AQ7/EXP(AX7*K7)/6+5*AQ7/6</f>
        <v>0.27374151734144431</v>
      </c>
      <c r="BH7">
        <f t="shared" si="9"/>
        <v>0.9204239850785122</v>
      </c>
      <c r="BJ7">
        <f t="shared" si="10"/>
        <v>0.24315116036098475</v>
      </c>
      <c r="BK7">
        <f t="shared" si="11"/>
        <v>0.92012067020897403</v>
      </c>
      <c r="BL7">
        <f t="shared" si="12"/>
        <v>0.29227622361636268</v>
      </c>
      <c r="BM7">
        <f t="shared" si="11"/>
        <v>0.91383773946618063</v>
      </c>
      <c r="BN7">
        <f t="shared" si="13"/>
        <v>3.9922616257877352E-2</v>
      </c>
      <c r="BO7">
        <f t="shared" si="11"/>
        <v>0.92045298665623365</v>
      </c>
      <c r="BP7">
        <f t="shared" si="14"/>
        <v>-1.205685998767414E-3</v>
      </c>
      <c r="BQ7">
        <f t="shared" si="11"/>
        <v>0.92045424317174862</v>
      </c>
      <c r="BS7">
        <v>5.7258133177154704</v>
      </c>
      <c r="BT7">
        <v>6.5435310685285097</v>
      </c>
      <c r="BU7">
        <f t="shared" si="32"/>
        <v>0.01</v>
      </c>
      <c r="BW7">
        <f t="shared" si="15"/>
        <v>1.6735190936341544</v>
      </c>
      <c r="BX7">
        <f t="shared" si="16"/>
        <v>0</v>
      </c>
      <c r="BY7">
        <f t="shared" si="17"/>
        <v>5.2324651151681021</v>
      </c>
      <c r="CB7">
        <v>7.5828470099739302</v>
      </c>
      <c r="CC7">
        <v>9.0456752838798202</v>
      </c>
      <c r="CD7">
        <f t="shared" si="33"/>
        <v>0.01</v>
      </c>
      <c r="CF7">
        <f>BJ7-(BW7/CB7)</f>
        <v>2.2453170353679053E-2</v>
      </c>
      <c r="CG7">
        <f t="shared" si="18"/>
        <v>2.2453170353679053E-2</v>
      </c>
      <c r="CH7">
        <f t="shared" si="19"/>
        <v>0.39564844543031247</v>
      </c>
      <c r="CI7">
        <f>BN7-(BX7/CC7)</f>
        <v>3.9922616257877352E-2</v>
      </c>
      <c r="CJ7">
        <f t="shared" si="20"/>
        <v>3.9922616257877352E-2</v>
      </c>
      <c r="CK7">
        <f t="shared" si="21"/>
        <v>3.9922616257877352E-2</v>
      </c>
      <c r="CM7">
        <v>10.5018381726304</v>
      </c>
      <c r="CN7">
        <v>12.5161291409092</v>
      </c>
      <c r="CO7">
        <v>0.01</v>
      </c>
      <c r="CQ7">
        <f t="shared" si="22"/>
        <v>0.2357995615168399</v>
      </c>
      <c r="CR7">
        <f t="shared" si="23"/>
        <v>0.49967662072655411</v>
      </c>
      <c r="CS7">
        <f t="shared" si="24"/>
        <v>4.1550359532286034</v>
      </c>
      <c r="CT7">
        <f t="shared" si="25"/>
        <v>0.49967678021120565</v>
      </c>
      <c r="CV7">
        <v>93</v>
      </c>
      <c r="CW7" s="21" t="s">
        <v>47</v>
      </c>
      <c r="CX7" s="21"/>
      <c r="CZ7">
        <v>2.1800000000000002</v>
      </c>
      <c r="DA7">
        <v>0.19</v>
      </c>
      <c r="DB7">
        <v>2.15</v>
      </c>
      <c r="DC7">
        <v>0.19</v>
      </c>
      <c r="DH7">
        <f>BW8/(CZ7/100) + BW8/(DB7/100)</f>
        <v>121.45062407660365</v>
      </c>
      <c r="DJ7" t="s">
        <v>52</v>
      </c>
      <c r="DK7">
        <f>AVERAGE(DH15,DH20,DH24)</f>
        <v>24.063966941815448</v>
      </c>
      <c r="DP7">
        <v>93</v>
      </c>
      <c r="DQ7" s="21" t="s">
        <v>47</v>
      </c>
      <c r="DR7" s="21"/>
      <c r="DT7">
        <v>2.1800000000000002</v>
      </c>
      <c r="DU7">
        <v>0.19</v>
      </c>
      <c r="DV7">
        <v>2.15</v>
      </c>
      <c r="DW7">
        <v>0.19</v>
      </c>
      <c r="EB7">
        <f>CQ8/(DT7/100) + CQ8/(DV7/100)</f>
        <v>19.849640892233314</v>
      </c>
      <c r="ED7" t="s">
        <v>52</v>
      </c>
      <c r="EE7">
        <f>EB15</f>
        <v>0.45129912899145314</v>
      </c>
      <c r="EL7" s="25">
        <f t="shared" si="26"/>
        <v>92.327498013054495</v>
      </c>
      <c r="EM7" s="27" t="s">
        <v>47</v>
      </c>
      <c r="EN7" s="32">
        <f t="shared" si="27"/>
        <v>121.45062407660365</v>
      </c>
      <c r="EO7" s="25"/>
      <c r="EP7" s="4">
        <f t="shared" si="28"/>
        <v>19.849640892233314</v>
      </c>
      <c r="EQ7" s="4"/>
      <c r="ER7" s="4"/>
      <c r="ET7" s="41"/>
      <c r="EU7" s="9" t="s">
        <v>52</v>
      </c>
      <c r="EV7" s="4">
        <f>DK7</f>
        <v>24.063966941815448</v>
      </c>
      <c r="EW7" s="4">
        <f>EE7</f>
        <v>0.45129912899145314</v>
      </c>
    </row>
    <row r="8" spans="1:153" x14ac:dyDescent="0.3">
      <c r="A8">
        <f>N8*'Energy Calibration (2)'!$T$4+'Energy Calibration (2)'!$U$4</f>
        <v>186.2509561604173</v>
      </c>
      <c r="B8">
        <f t="shared" si="1"/>
        <v>0.18625095616041731</v>
      </c>
      <c r="D8" s="6">
        <v>0.14360000000000001</v>
      </c>
      <c r="E8" s="11">
        <f t="shared" si="2"/>
        <v>0.15794307955788697</v>
      </c>
      <c r="F8" s="11"/>
      <c r="G8" s="6">
        <v>0.1293</v>
      </c>
      <c r="H8" s="11">
        <f t="shared" si="3"/>
        <v>5.1309523809523812E-2</v>
      </c>
      <c r="I8" s="11"/>
      <c r="J8" s="6">
        <v>0.14349999999999999</v>
      </c>
      <c r="K8" s="11">
        <f t="shared" si="4"/>
        <v>0.1551351351351351</v>
      </c>
      <c r="N8">
        <v>187</v>
      </c>
      <c r="O8" s="21" t="s">
        <v>100</v>
      </c>
      <c r="P8" s="21"/>
      <c r="S8" s="2">
        <v>1.2952827565285501E-2</v>
      </c>
      <c r="T8" s="2">
        <v>2.8611499720441802E-4</v>
      </c>
      <c r="U8" s="2">
        <v>1.4529434612266899E-2</v>
      </c>
      <c r="V8" s="2">
        <v>2.4767081192015201E-4</v>
      </c>
      <c r="W8" s="2">
        <v>5.53795555125628E-3</v>
      </c>
      <c r="X8" s="2">
        <v>2.58771668871764E-4</v>
      </c>
      <c r="Y8" s="2">
        <v>6.0017185537708899E-3</v>
      </c>
      <c r="Z8" s="2">
        <v>2.8167460840323202E-4</v>
      </c>
      <c r="AA8" s="2">
        <v>6.4196998307071099E-3</v>
      </c>
      <c r="AB8" s="2">
        <v>1.6163300159717601E-4</v>
      </c>
      <c r="AD8">
        <f>'Energy Efficiency Calibrati (2)'!$AP$4/(N8^'Energy Efficiency Calibrati (2)'!$AP$7)-'Energy Efficiency Calibrati (2)'!$AP$6/(N8^'Energy Efficiency Calibrati (2)'!$AP$5)</f>
        <v>3.5285073165166957E-2</v>
      </c>
      <c r="AE8">
        <f>'Energy Efficiency Calibrati (2)'!$AR$4/(N8^'Energy Efficiency Calibrati (2)'!$AP$7)-'Energy Efficiency Calibrati (2)'!$AR$6/(N8^'Energy Efficiency Calibrati (2)'!$AR$5)</f>
        <v>3.4410201720979861E-2</v>
      </c>
      <c r="AF8">
        <f>'Energy Efficiency Calibrati (2)'!$AS$4/(N8^'Energy Efficiency Calibrati (2)'!$AP$7)-'Energy Efficiency Calibrati (2)'!$AS$6/(N8^'Energy Efficiency Calibrati (2)'!$AS$5)</f>
        <v>3.6057314629932738E-2</v>
      </c>
      <c r="AG8">
        <f t="shared" si="5"/>
        <v>8.2355645447643872E-4</v>
      </c>
      <c r="AI8">
        <f>S8/$AD8</f>
        <v>0.36709085183568196</v>
      </c>
      <c r="AJ8">
        <f t="shared" si="6"/>
        <v>1.1796607458269113E-2</v>
      </c>
      <c r="AK8">
        <f>U8/$AD8</f>
        <v>0.41177283505281775</v>
      </c>
      <c r="AL8">
        <f t="shared" si="6"/>
        <v>1.1901092202584021E-2</v>
      </c>
      <c r="AM8">
        <f>W8/$AD8</f>
        <v>0.15694896040978851</v>
      </c>
      <c r="AN8">
        <f t="shared" si="6"/>
        <v>8.19773354404193E-3</v>
      </c>
      <c r="AO8">
        <f>Y8/$AD8</f>
        <v>0.17009228025905646</v>
      </c>
      <c r="AP8">
        <f t="shared" si="6"/>
        <v>8.9155009555814783E-3</v>
      </c>
      <c r="AQ8">
        <f>AA8/$AD8</f>
        <v>0.18193811872394156</v>
      </c>
      <c r="AR8">
        <f t="shared" si="6"/>
        <v>6.2462665396504809E-3</v>
      </c>
      <c r="AT8">
        <f t="shared" si="29"/>
        <v>1</v>
      </c>
      <c r="AU8">
        <f t="shared" si="29"/>
        <v>0.2</v>
      </c>
      <c r="AV8">
        <f t="shared" si="30"/>
        <v>6</v>
      </c>
      <c r="AW8">
        <f t="shared" si="30"/>
        <v>0.4</v>
      </c>
      <c r="AX8">
        <f t="shared" si="31"/>
        <v>0.4</v>
      </c>
      <c r="AY8">
        <f t="shared" si="31"/>
        <v>0.1</v>
      </c>
      <c r="BA8">
        <f>AQ8/EXP(AT8*H8)/EXP(AV8*E8)/6+5*AQ8/6</f>
        <v>0.16278183262249346</v>
      </c>
      <c r="BB8">
        <f t="shared" si="7"/>
        <v>0.91896815052380143</v>
      </c>
      <c r="BC8">
        <f>AQ8/EXP(AT8*H8)/6+5*AQ8/6</f>
        <v>0.18042150021953968</v>
      </c>
      <c r="BD8">
        <f t="shared" si="8"/>
        <v>0.91350520895794218</v>
      </c>
      <c r="BE8">
        <f>AQ8/EXP(AV8*E8)/EXP(AX8*K8)/6+5*AQ8/6</f>
        <v>0.16266249358371707</v>
      </c>
      <c r="BF8">
        <f t="shared" si="9"/>
        <v>0.91903522518384129</v>
      </c>
      <c r="BG8">
        <f>AQ8/EXP(AX8*K8)/6+5*AQ8/6</f>
        <v>0.18011364580692313</v>
      </c>
      <c r="BH8">
        <f t="shared" si="9"/>
        <v>0.91903522518384129</v>
      </c>
      <c r="BJ8">
        <f t="shared" si="10"/>
        <v>0.2043090192131885</v>
      </c>
      <c r="BK8">
        <f t="shared" si="11"/>
        <v>0.91904386273162209</v>
      </c>
      <c r="BL8">
        <f t="shared" si="12"/>
        <v>0.23135133483327808</v>
      </c>
      <c r="BM8">
        <f t="shared" si="11"/>
        <v>0.9135827290338342</v>
      </c>
      <c r="BN8">
        <f t="shared" si="13"/>
        <v>-5.7135331739285589E-3</v>
      </c>
      <c r="BO8">
        <f t="shared" si="11"/>
        <v>0.91907178607765616</v>
      </c>
      <c r="BP8">
        <f t="shared" si="14"/>
        <v>-1.0021365547866673E-2</v>
      </c>
      <c r="BQ8">
        <f t="shared" si="11"/>
        <v>0.9190784685139799</v>
      </c>
      <c r="BS8">
        <v>5.6824392093087797</v>
      </c>
      <c r="BT8">
        <v>6.5112907402478299</v>
      </c>
      <c r="BU8">
        <f t="shared" si="32"/>
        <v>0.01</v>
      </c>
      <c r="BW8">
        <f t="shared" si="15"/>
        <v>1.3146398961825434</v>
      </c>
      <c r="BX8">
        <f t="shared" si="16"/>
        <v>0</v>
      </c>
      <c r="BY8">
        <f t="shared" si="17"/>
        <v>5.1913788359123272</v>
      </c>
      <c r="CB8">
        <v>7.2671213796061798</v>
      </c>
      <c r="CC8">
        <v>8.6363830027735293</v>
      </c>
      <c r="CD8">
        <f t="shared" si="33"/>
        <v>0.01</v>
      </c>
      <c r="CF8">
        <f>BJ8-(BW8/CB8)</f>
        <v>2.3406592033172635E-2</v>
      </c>
      <c r="CG8">
        <f t="shared" si="18"/>
        <v>2.3406592033172635E-2</v>
      </c>
      <c r="CH8">
        <f t="shared" si="19"/>
        <v>0.32740426333677591</v>
      </c>
      <c r="CI8">
        <f>BN8-(BX8/CC8)</f>
        <v>-5.7135331739285589E-3</v>
      </c>
      <c r="CJ8">
        <f t="shared" si="20"/>
        <v>0</v>
      </c>
      <c r="CK8">
        <f t="shared" si="21"/>
        <v>5.7135331739285589E-3</v>
      </c>
      <c r="CM8">
        <v>9.1795528317574799</v>
      </c>
      <c r="CN8">
        <v>10.7309497412616</v>
      </c>
      <c r="CO8">
        <v>0.01</v>
      </c>
      <c r="CQ8">
        <f t="shared" si="22"/>
        <v>0.21486204817990193</v>
      </c>
      <c r="CR8">
        <f t="shared" si="23"/>
        <v>0</v>
      </c>
      <c r="CS8">
        <f t="shared" si="24"/>
        <v>3.0054247417572335</v>
      </c>
      <c r="CV8">
        <v>187</v>
      </c>
      <c r="CW8" s="21" t="s">
        <v>100</v>
      </c>
      <c r="CX8" s="21"/>
      <c r="CZ8">
        <v>3.5550000000000002</v>
      </c>
      <c r="DA8">
        <v>1.9E-2</v>
      </c>
      <c r="DG8">
        <f t="shared" ref="DG5:DG25" si="34">DH8*SQRT((BY8/BW8)^2 + (DA8/CZ8)^2)</f>
        <v>146.03048075030429</v>
      </c>
      <c r="DH8">
        <f>BW8/(CZ8/100)</f>
        <v>36.980025209072956</v>
      </c>
      <c r="DJ8" t="s">
        <v>89</v>
      </c>
      <c r="DK8">
        <f>DH4</f>
        <v>3.0786942712661141</v>
      </c>
      <c r="DP8">
        <v>187</v>
      </c>
      <c r="DQ8" s="21" t="s">
        <v>100</v>
      </c>
      <c r="DR8" s="21"/>
      <c r="DT8">
        <v>3.5550000000000002</v>
      </c>
      <c r="DU8">
        <v>1.9E-2</v>
      </c>
      <c r="EA8">
        <f t="shared" ref="EA5:EA25" si="35">EB8*SQRT((CS8/CQ8)^2 + (DU8/DT8)^2)</f>
        <v>84.540786530086223</v>
      </c>
      <c r="EB8">
        <f>CQ8/(DT8/100)</f>
        <v>6.043939470602024</v>
      </c>
      <c r="ED8" t="s">
        <v>89</v>
      </c>
      <c r="EE8">
        <f>EB4</f>
        <v>3.744206184063307</v>
      </c>
      <c r="EL8" s="25">
        <f t="shared" si="26"/>
        <v>186.2509561604173</v>
      </c>
      <c r="EM8" s="27" t="s">
        <v>100</v>
      </c>
      <c r="EN8" s="32">
        <f t="shared" si="27"/>
        <v>36.980025209072956</v>
      </c>
      <c r="EO8" s="25">
        <f t="shared" ref="EO8:EO25" si="36">DG8</f>
        <v>146.03048075030429</v>
      </c>
      <c r="EP8" s="4">
        <f t="shared" si="28"/>
        <v>6.043939470602024</v>
      </c>
      <c r="EQ8" s="4">
        <f t="shared" ref="EQ8:EQ25" si="37">EA8</f>
        <v>84.540786530086223</v>
      </c>
      <c r="ER8" s="4"/>
      <c r="ET8" s="42"/>
      <c r="EU8" s="14" t="s">
        <v>89</v>
      </c>
      <c r="EV8" s="38">
        <f>DK8</f>
        <v>3.0786942712661141</v>
      </c>
      <c r="EW8" s="38">
        <f>EE8</f>
        <v>3.744206184063307</v>
      </c>
    </row>
    <row r="9" spans="1:153" x14ac:dyDescent="0.3">
      <c r="A9">
        <f>N9*'Energy Calibration (2)'!$T$4+'Energy Calibration (2)'!$U$4</f>
        <v>239.20779958393038</v>
      </c>
      <c r="B9">
        <f t="shared" si="1"/>
        <v>0.23920779958393038</v>
      </c>
      <c r="D9" s="6">
        <v>0.13189999999999999</v>
      </c>
      <c r="E9" s="11">
        <f t="shared" si="2"/>
        <v>0.14507445817329589</v>
      </c>
      <c r="F9" s="11"/>
      <c r="G9" s="6">
        <v>0.1173</v>
      </c>
      <c r="H9" s="11">
        <f t="shared" si="3"/>
        <v>4.6547619047619046E-2</v>
      </c>
      <c r="I9" s="11"/>
      <c r="J9" s="6">
        <v>0.13200000000000001</v>
      </c>
      <c r="K9" s="11">
        <f t="shared" si="4"/>
        <v>0.14270270270270272</v>
      </c>
      <c r="N9">
        <v>240</v>
      </c>
      <c r="O9" s="21" t="s">
        <v>74</v>
      </c>
      <c r="P9" s="21" t="s">
        <v>214</v>
      </c>
      <c r="S9" s="2">
        <v>3.4586166797279799E-2</v>
      </c>
      <c r="T9" s="2">
        <v>4.6753006782218701E-4</v>
      </c>
      <c r="U9" s="2">
        <v>3.8737418940826697E-2</v>
      </c>
      <c r="V9" s="2">
        <v>4.0440434277280398E-4</v>
      </c>
      <c r="W9" s="2">
        <v>3.88745133128585E-3</v>
      </c>
      <c r="X9" s="2">
        <v>2.1680758720516E-4</v>
      </c>
      <c r="Y9" s="2"/>
      <c r="Z9" s="2"/>
      <c r="AA9" s="2">
        <v>3.3817879932282698E-3</v>
      </c>
      <c r="AB9" s="2">
        <v>1.1731292571786301E-4</v>
      </c>
      <c r="AD9">
        <f>'Energy Efficiency Calibrati (2)'!$AP$4/(N9^'Energy Efficiency Calibrati (2)'!$AP$7)-'Energy Efficiency Calibrati (2)'!$AP$6/(N9^'Energy Efficiency Calibrati (2)'!$AP$5)</f>
        <v>2.7665769127872719E-2</v>
      </c>
      <c r="AE9">
        <f>'Energy Efficiency Calibrati (2)'!$AR$4/(N9^'Energy Efficiency Calibrati (2)'!$AP$7)-'Energy Efficiency Calibrati (2)'!$AR$6/(N9^'Energy Efficiency Calibrati (2)'!$AR$5)</f>
        <v>2.6926211194201074E-2</v>
      </c>
      <c r="AF9">
        <f>'Energy Efficiency Calibrati (2)'!$AS$4/(N9^'Energy Efficiency Calibrati (2)'!$AP$7)-'Energy Efficiency Calibrati (2)'!$AS$6/(N9^'Energy Efficiency Calibrati (2)'!$AS$5)</f>
        <v>2.8352141203703704E-2</v>
      </c>
      <c r="AG9">
        <f t="shared" si="5"/>
        <v>7.1296500475131509E-4</v>
      </c>
      <c r="AI9">
        <f>S9/$AD9</f>
        <v>1.250142970449172</v>
      </c>
      <c r="AJ9">
        <f t="shared" si="6"/>
        <v>3.638020274434136E-2</v>
      </c>
      <c r="AK9">
        <f>U9/$AD9</f>
        <v>1.400193096449992</v>
      </c>
      <c r="AL9">
        <f t="shared" si="6"/>
        <v>3.8932231699626757E-2</v>
      </c>
      <c r="AM9">
        <f>W9/$AD9</f>
        <v>0.14051484754744517</v>
      </c>
      <c r="AN9">
        <f t="shared" si="6"/>
        <v>8.6328582856769077E-3</v>
      </c>
      <c r="AO9">
        <f>Y9/$AD9</f>
        <v>0</v>
      </c>
      <c r="AQ9">
        <f>AA9/$AD9</f>
        <v>0.12223726647892774</v>
      </c>
      <c r="AR9">
        <f t="shared" si="6"/>
        <v>5.2824267478871834E-3</v>
      </c>
      <c r="AT9">
        <f t="shared" si="29"/>
        <v>1</v>
      </c>
      <c r="AU9">
        <f t="shared" si="29"/>
        <v>0.2</v>
      </c>
      <c r="AV9">
        <f t="shared" si="30"/>
        <v>6</v>
      </c>
      <c r="AW9">
        <f t="shared" si="30"/>
        <v>0.4</v>
      </c>
      <c r="AX9">
        <f t="shared" si="31"/>
        <v>0.4</v>
      </c>
      <c r="AY9">
        <f t="shared" si="31"/>
        <v>0.1</v>
      </c>
      <c r="BA9">
        <f>AQ9/EXP(AT9*H9)/EXP(AV9*E9)/6+5*AQ9/6</f>
        <v>0.1100078078100801</v>
      </c>
      <c r="BB9">
        <f t="shared" si="7"/>
        <v>0.91732143296191693</v>
      </c>
      <c r="BC9">
        <f>AQ9/EXP(AT9*H9)/6+5*AQ9/6</f>
        <v>0.12131068978967742</v>
      </c>
      <c r="BD9">
        <f t="shared" si="8"/>
        <v>0.91329930719942998</v>
      </c>
      <c r="BE9">
        <f>AQ9/EXP(AV9*E9)/EXP(AX9*K9)/6+5*AQ9/6</f>
        <v>0.10992247960406849</v>
      </c>
      <c r="BF9">
        <f t="shared" si="9"/>
        <v>0.91734593456298874</v>
      </c>
      <c r="BG9">
        <f>AQ9/EXP(AX9*K9)/6+5*AQ9/6</f>
        <v>0.12110692795856504</v>
      </c>
      <c r="BH9">
        <f t="shared" si="9"/>
        <v>0.91734593456298874</v>
      </c>
      <c r="BJ9">
        <f t="shared" si="10"/>
        <v>1.1401351626390919</v>
      </c>
      <c r="BK9">
        <f t="shared" si="11"/>
        <v>0.91804255376481536</v>
      </c>
      <c r="BL9">
        <f t="shared" si="12"/>
        <v>1.2788824066603146</v>
      </c>
      <c r="BM9">
        <f t="shared" si="11"/>
        <v>0.91412873447675425</v>
      </c>
      <c r="BN9">
        <f t="shared" si="13"/>
        <v>3.0592367943376678E-2</v>
      </c>
      <c r="BO9">
        <f t="shared" si="11"/>
        <v>0.91738655424059046</v>
      </c>
      <c r="BP9">
        <f t="shared" si="14"/>
        <v>-0.12110692795856504</v>
      </c>
      <c r="BQ9">
        <f t="shared" si="11"/>
        <v>0.91734593456298874</v>
      </c>
      <c r="BS9">
        <v>5.6727197851046096</v>
      </c>
      <c r="BT9">
        <v>6.4997635376572802</v>
      </c>
      <c r="BU9">
        <f t="shared" si="32"/>
        <v>0.01</v>
      </c>
      <c r="BW9">
        <f t="shared" si="15"/>
        <v>7.2547415310841661</v>
      </c>
      <c r="BX9">
        <f t="shared" si="16"/>
        <v>0</v>
      </c>
      <c r="BY9">
        <f t="shared" si="17"/>
        <v>5.1856119282056223</v>
      </c>
      <c r="CB9">
        <v>7.15928172304241</v>
      </c>
      <c r="CC9">
        <v>8.4883804190334704</v>
      </c>
      <c r="CD9">
        <f t="shared" si="33"/>
        <v>0.01</v>
      </c>
      <c r="CF9">
        <f>BJ9-(BW9/CB9)</f>
        <v>0.12680144960269679</v>
      </c>
      <c r="CG9">
        <f t="shared" si="18"/>
        <v>0.12680144960269679</v>
      </c>
      <c r="CH9">
        <f t="shared" si="19"/>
        <v>1.8312833251679879</v>
      </c>
      <c r="CI9">
        <f>BN9-(BX9/CC9)</f>
        <v>3.0592367943376678E-2</v>
      </c>
      <c r="CJ9">
        <f t="shared" si="20"/>
        <v>3.0592367943376678E-2</v>
      </c>
      <c r="CK9">
        <f t="shared" si="21"/>
        <v>3.0592367943376678E-2</v>
      </c>
      <c r="CM9">
        <v>8.7620978131732503</v>
      </c>
      <c r="CN9">
        <v>10.1630126352195</v>
      </c>
      <c r="CO9">
        <v>0.01</v>
      </c>
      <c r="CQ9">
        <f t="shared" si="22"/>
        <v>1.1110467042709877</v>
      </c>
      <c r="CR9">
        <f t="shared" si="23"/>
        <v>0.31091062194982116</v>
      </c>
      <c r="CS9">
        <f t="shared" si="24"/>
        <v>16.045883668857034</v>
      </c>
      <c r="CT9">
        <f t="shared" si="25"/>
        <v>0.31091077245814797</v>
      </c>
      <c r="CV9">
        <v>240</v>
      </c>
      <c r="CW9" s="21" t="s">
        <v>74</v>
      </c>
      <c r="CX9" s="21" t="s">
        <v>214</v>
      </c>
      <c r="CY9" t="s">
        <v>73</v>
      </c>
      <c r="CZ9">
        <v>43.6</v>
      </c>
      <c r="DA9">
        <v>0.5</v>
      </c>
      <c r="DB9">
        <v>4.12</v>
      </c>
      <c r="DC9">
        <v>0.04</v>
      </c>
      <c r="DD9">
        <v>7.2679999999999998</v>
      </c>
      <c r="DE9">
        <v>2.1999999999999999E-2</v>
      </c>
      <c r="DH9">
        <f>BW9/(CZ9/100) + BW9/(DB9/100) +BW9/(DD9/100)</f>
        <v>292.54285240836839</v>
      </c>
      <c r="DP9">
        <v>240</v>
      </c>
      <c r="DQ9" s="21" t="s">
        <v>74</v>
      </c>
      <c r="DR9" s="21" t="s">
        <v>214</v>
      </c>
      <c r="DS9" t="s">
        <v>73</v>
      </c>
      <c r="DT9">
        <v>43.6</v>
      </c>
      <c r="DU9">
        <v>0.5</v>
      </c>
      <c r="DV9">
        <v>4.12</v>
      </c>
      <c r="DW9">
        <v>0.04</v>
      </c>
      <c r="DX9">
        <v>7.2679999999999998</v>
      </c>
      <c r="DY9">
        <v>2.1999999999999999E-2</v>
      </c>
      <c r="EB9">
        <f>CQ9/(DT9/100) + CQ9/(DV9/100) +CQ9/(DX9/100)</f>
        <v>44.80225389611897</v>
      </c>
      <c r="EL9" s="25">
        <f t="shared" si="26"/>
        <v>239.20779958393038</v>
      </c>
      <c r="EM9" s="27" t="s">
        <v>297</v>
      </c>
      <c r="EN9" s="32">
        <f t="shared" si="27"/>
        <v>292.54285240836839</v>
      </c>
      <c r="EO9" s="25"/>
      <c r="EP9" s="4">
        <f t="shared" si="28"/>
        <v>44.80225389611897</v>
      </c>
      <c r="EQ9" s="4"/>
      <c r="ER9" s="4"/>
      <c r="ET9" s="43" t="s">
        <v>75</v>
      </c>
      <c r="EU9" s="15" t="s">
        <v>275</v>
      </c>
      <c r="EV9" s="39">
        <f>DK10</f>
        <v>178.42958445784157</v>
      </c>
      <c r="EW9" s="39">
        <f>EE10</f>
        <v>17.586228843543008</v>
      </c>
    </row>
    <row r="10" spans="1:153" x14ac:dyDescent="0.3">
      <c r="A10">
        <f>N10*'Energy Calibration (2)'!$T$4+'Energy Calibration (2)'!$U$4</f>
        <v>296.16138590733124</v>
      </c>
      <c r="B10">
        <f t="shared" si="1"/>
        <v>0.29616138590733121</v>
      </c>
      <c r="D10" s="6">
        <v>0.1221</v>
      </c>
      <c r="E10" s="11">
        <f t="shared" si="2"/>
        <v>0.13429561291098885</v>
      </c>
      <c r="F10" s="11"/>
      <c r="G10" s="6">
        <v>0.1079</v>
      </c>
      <c r="H10" s="11">
        <f t="shared" si="3"/>
        <v>4.2817460317460317E-2</v>
      </c>
      <c r="I10" s="11"/>
      <c r="J10" s="6">
        <v>0.12230000000000001</v>
      </c>
      <c r="K10" s="11">
        <f t="shared" si="4"/>
        <v>0.13221621621621621</v>
      </c>
      <c r="N10">
        <v>297</v>
      </c>
      <c r="O10" t="s">
        <v>73</v>
      </c>
      <c r="S10" s="2">
        <v>1.49910256086153E-2</v>
      </c>
      <c r="T10" s="2">
        <v>3.0780381884080901E-4</v>
      </c>
      <c r="U10" s="2">
        <v>1.59416373952985E-2</v>
      </c>
      <c r="V10" s="2">
        <v>2.5942805146813701E-4</v>
      </c>
      <c r="W10" s="2"/>
      <c r="X10" s="2"/>
      <c r="Y10" s="2"/>
      <c r="Z10" s="2"/>
      <c r="AA10" s="2"/>
      <c r="AB10" s="2"/>
      <c r="AD10">
        <f>'Energy Efficiency Calibrati (2)'!$AP$4/(N10^'Energy Efficiency Calibrati (2)'!$AP$7)-'Energy Efficiency Calibrati (2)'!$AP$6/(N10^'Energy Efficiency Calibrati (2)'!$AP$5)</f>
        <v>2.2429322184122975E-2</v>
      </c>
      <c r="AE10">
        <f>'Energy Efficiency Calibrati (2)'!$AR$4/(N10^'Energy Efficiency Calibrati (2)'!$AP$7)-'Energy Efficiency Calibrati (2)'!$AR$6/(N10^'Energy Efficiency Calibrati (2)'!$AR$5)</f>
        <v>2.1806072101888042E-2</v>
      </c>
      <c r="AF10">
        <f>'Energy Efficiency Calibrati (2)'!$AS$4/(N10^'Energy Efficiency Calibrati (2)'!$AP$7)-'Energy Efficiency Calibrati (2)'!$AS$6/(N10^'Energy Efficiency Calibrati (2)'!$AS$5)</f>
        <v>2.3022384127260046E-2</v>
      </c>
      <c r="AG10">
        <f t="shared" si="5"/>
        <v>6.0815601268600188E-4</v>
      </c>
      <c r="AI10">
        <f>S10/$AD10</f>
        <v>0.66836730443985437</v>
      </c>
      <c r="AJ10">
        <f t="shared" si="6"/>
        <v>2.2732074796662626E-2</v>
      </c>
      <c r="AK10">
        <f>U10/$AD10</f>
        <v>0.7107498507727128</v>
      </c>
      <c r="AL10">
        <f t="shared" si="6"/>
        <v>2.247607845414382E-2</v>
      </c>
      <c r="AM10">
        <f>W10/$AD10</f>
        <v>0</v>
      </c>
      <c r="AO10">
        <f>Y10/$AD10</f>
        <v>0</v>
      </c>
      <c r="AQ10">
        <f>AA10/$AD10</f>
        <v>0</v>
      </c>
      <c r="AT10">
        <f t="shared" si="29"/>
        <v>1</v>
      </c>
      <c r="AU10">
        <f t="shared" si="29"/>
        <v>0.2</v>
      </c>
      <c r="AV10">
        <f t="shared" si="30"/>
        <v>6</v>
      </c>
      <c r="AW10">
        <f t="shared" si="30"/>
        <v>0.4</v>
      </c>
      <c r="AX10">
        <f t="shared" si="31"/>
        <v>0.4</v>
      </c>
      <c r="AY10">
        <f t="shared" si="31"/>
        <v>0.1</v>
      </c>
      <c r="BA10">
        <f>AQ10/EXP(AT10*H10)/EXP(AV10*E10)/6+5*AQ10/6</f>
        <v>0</v>
      </c>
      <c r="BB10">
        <f t="shared" si="7"/>
        <v>0.9128709291752769</v>
      </c>
      <c r="BC10">
        <f>AQ10/EXP(AT10*H10)/6+5*AQ10/6</f>
        <v>0</v>
      </c>
      <c r="BD10">
        <f t="shared" si="8"/>
        <v>0.9128709291752769</v>
      </c>
      <c r="BE10">
        <f>AQ10/EXP(AV10*E10)/EXP(AX10*K10)/6+5*AQ10/6</f>
        <v>0</v>
      </c>
      <c r="BF10">
        <f t="shared" si="9"/>
        <v>0.9128709291752769</v>
      </c>
      <c r="BG10">
        <f>AQ10/EXP(AX10*K10)/6+5*AQ10/6</f>
        <v>0</v>
      </c>
      <c r="BH10">
        <f t="shared" si="9"/>
        <v>0.9128709291752769</v>
      </c>
      <c r="BJ10">
        <f t="shared" si="10"/>
        <v>0.66836730443985437</v>
      </c>
      <c r="BK10">
        <f t="shared" si="11"/>
        <v>0.91315391942316848</v>
      </c>
      <c r="BL10">
        <f t="shared" si="12"/>
        <v>0.7107498507727128</v>
      </c>
      <c r="BM10">
        <f t="shared" si="11"/>
        <v>0.91314758250570327</v>
      </c>
      <c r="BN10">
        <f t="shared" si="13"/>
        <v>0</v>
      </c>
      <c r="BO10">
        <f t="shared" si="11"/>
        <v>0.9128709291752769</v>
      </c>
      <c r="BP10">
        <f t="shared" si="14"/>
        <v>0</v>
      </c>
      <c r="BQ10">
        <f t="shared" si="11"/>
        <v>0.9128709291752769</v>
      </c>
      <c r="BS10">
        <v>5.6651133190376299</v>
      </c>
      <c r="BT10">
        <v>6.4900500735490398</v>
      </c>
      <c r="BU10">
        <f t="shared" si="32"/>
        <v>0.01</v>
      </c>
      <c r="BW10">
        <f t="shared" si="15"/>
        <v>4.0264784461165029</v>
      </c>
      <c r="BX10">
        <f t="shared" si="16"/>
        <v>0</v>
      </c>
      <c r="BY10">
        <f t="shared" si="17"/>
        <v>5.1730894145296604</v>
      </c>
      <c r="CB10">
        <v>7.0663882809331504</v>
      </c>
      <c r="CC10">
        <v>8.3602741445829007</v>
      </c>
      <c r="CD10">
        <f t="shared" si="33"/>
        <v>0.01</v>
      </c>
      <c r="CF10">
        <f>BJ10-(BW10/CB10)</f>
        <v>9.8560171568182198E-2</v>
      </c>
      <c r="CG10">
        <f t="shared" si="18"/>
        <v>9.8560171568182198E-2</v>
      </c>
      <c r="CH10">
        <f t="shared" si="19"/>
        <v>1.0469360968975461</v>
      </c>
      <c r="CI10">
        <f>BN10-(BX10/CC10)</f>
        <v>0</v>
      </c>
      <c r="CJ10">
        <f t="shared" si="20"/>
        <v>0</v>
      </c>
      <c r="CK10">
        <f t="shared" si="21"/>
        <v>0</v>
      </c>
      <c r="CM10">
        <v>8.4193878100519708</v>
      </c>
      <c r="CN10">
        <v>9.7003844233459091</v>
      </c>
      <c r="CO10">
        <v>0.01</v>
      </c>
      <c r="CQ10">
        <f t="shared" si="22"/>
        <v>0.82981630705778398</v>
      </c>
      <c r="CR10">
        <f t="shared" si="23"/>
        <v>0</v>
      </c>
      <c r="CS10">
        <f t="shared" si="24"/>
        <v>8.8145610672252026</v>
      </c>
      <c r="CV10">
        <v>297</v>
      </c>
      <c r="CW10" t="s">
        <v>73</v>
      </c>
      <c r="CZ10">
        <v>18.414000000000001</v>
      </c>
      <c r="DA10">
        <v>3.5999999999999997E-2</v>
      </c>
      <c r="DG10">
        <f t="shared" si="34"/>
        <v>28.09327361721267</v>
      </c>
      <c r="DH10">
        <f>BW10/(CZ10/100)</f>
        <v>21.866397556839917</v>
      </c>
      <c r="DJ10" t="s">
        <v>275</v>
      </c>
      <c r="DK10">
        <f>DH22</f>
        <v>178.42958445784157</v>
      </c>
      <c r="DP10">
        <v>297</v>
      </c>
      <c r="DQ10" t="s">
        <v>73</v>
      </c>
      <c r="DT10">
        <v>18.414000000000001</v>
      </c>
      <c r="DU10">
        <v>3.5999999999999997E-2</v>
      </c>
      <c r="EA10">
        <f t="shared" si="35"/>
        <v>47.868802088188701</v>
      </c>
      <c r="EB10">
        <f>CQ10/(DT10/100)</f>
        <v>4.5064424191255776</v>
      </c>
      <c r="ED10" t="s">
        <v>275</v>
      </c>
      <c r="EE10">
        <f>EB22</f>
        <v>17.586228843543008</v>
      </c>
      <c r="EL10" s="25">
        <f t="shared" si="26"/>
        <v>296.16138590733124</v>
      </c>
      <c r="EM10" s="28" t="s">
        <v>73</v>
      </c>
      <c r="EN10" s="32">
        <f t="shared" si="27"/>
        <v>21.866397556839917</v>
      </c>
      <c r="EO10" s="25">
        <f t="shared" si="36"/>
        <v>28.09327361721267</v>
      </c>
      <c r="EP10" s="4">
        <f t="shared" si="28"/>
        <v>4.5064424191255776</v>
      </c>
      <c r="EQ10" s="4">
        <f t="shared" si="37"/>
        <v>47.868802088188701</v>
      </c>
      <c r="ER10" s="4"/>
      <c r="ET10" s="40" t="s">
        <v>213</v>
      </c>
      <c r="EU10" s="9" t="s">
        <v>279</v>
      </c>
      <c r="EV10" s="4">
        <f>DK12</f>
        <v>1175.7311997187935</v>
      </c>
      <c r="EW10" s="4">
        <f>EE12</f>
        <v>119.95132307161958</v>
      </c>
    </row>
    <row r="11" spans="1:153" x14ac:dyDescent="0.3">
      <c r="A11">
        <f>N11*'Energy Calibration (2)'!$T$4+'Energy Calibration (2)'!$U$4</f>
        <v>339.12637208112483</v>
      </c>
      <c r="B11">
        <f t="shared" si="1"/>
        <v>0.33912637208112484</v>
      </c>
      <c r="D11" s="6">
        <v>0.11600000000000001</v>
      </c>
      <c r="E11" s="11">
        <f t="shared" si="2"/>
        <v>0.12758633167628752</v>
      </c>
      <c r="F11" s="11"/>
      <c r="G11" s="6">
        <v>0.1022</v>
      </c>
      <c r="H11" s="11">
        <f t="shared" si="3"/>
        <v>4.0555555555555553E-2</v>
      </c>
      <c r="I11" s="11"/>
      <c r="J11" s="6">
        <v>0.1162</v>
      </c>
      <c r="K11" s="11">
        <f t="shared" si="4"/>
        <v>0.1256216216216216</v>
      </c>
      <c r="N11">
        <v>340</v>
      </c>
      <c r="O11" t="s">
        <v>78</v>
      </c>
      <c r="S11" s="2">
        <v>4.2817958894759301E-3</v>
      </c>
      <c r="T11" s="2">
        <v>1.6450204875016199E-4</v>
      </c>
      <c r="U11" s="2">
        <v>3.1790394487976599E-3</v>
      </c>
      <c r="V11" s="2">
        <v>1.15850637783811E-4</v>
      </c>
      <c r="W11" s="2"/>
      <c r="X11" s="2"/>
      <c r="Y11" s="2"/>
      <c r="Z11" s="2"/>
      <c r="AA11" s="2"/>
      <c r="AB11" s="2"/>
      <c r="AD11">
        <f>'Energy Efficiency Calibrati (2)'!$AP$4/(N11^'Energy Efficiency Calibrati (2)'!$AP$7)-'Energy Efficiency Calibrati (2)'!$AP$6/(N11^'Energy Efficiency Calibrati (2)'!$AP$5)</f>
        <v>1.9620657431897087E-2</v>
      </c>
      <c r="AE11">
        <f>'Energy Efficiency Calibrati (2)'!$AR$4/(N11^'Energy Efficiency Calibrati (2)'!$AP$7)-'Energy Efficiency Calibrati (2)'!$AR$6/(N11^'Energy Efficiency Calibrati (2)'!$AR$5)</f>
        <v>1.9066102737927165E-2</v>
      </c>
      <c r="AF11">
        <f>'Energy Efficiency Calibrati (2)'!$AS$4/(N11^'Energy Efficiency Calibrati (2)'!$AP$7)-'Energy Efficiency Calibrati (2)'!$AS$6/(N11^'Energy Efficiency Calibrati (2)'!$AS$5)</f>
        <v>2.0154182780378588E-2</v>
      </c>
      <c r="AG11">
        <f t="shared" si="5"/>
        <v>5.4404002122571127E-4</v>
      </c>
      <c r="AI11">
        <f>S11/$AD11</f>
        <v>0.21822897139598704</v>
      </c>
      <c r="AJ11">
        <f t="shared" si="6"/>
        <v>1.0339660826957761E-2</v>
      </c>
      <c r="AK11">
        <f>U11/$AD11</f>
        <v>0.16202512376723577</v>
      </c>
      <c r="AL11">
        <f t="shared" si="6"/>
        <v>7.4193687280646806E-3</v>
      </c>
      <c r="AM11">
        <f>W11/$AD11</f>
        <v>0</v>
      </c>
      <c r="AO11">
        <f>Y11/$AD11</f>
        <v>0</v>
      </c>
      <c r="AQ11">
        <f>AA11/$AD11</f>
        <v>0</v>
      </c>
      <c r="AT11">
        <f t="shared" si="29"/>
        <v>1</v>
      </c>
      <c r="AU11">
        <f t="shared" si="29"/>
        <v>0.2</v>
      </c>
      <c r="AV11">
        <f t="shared" si="30"/>
        <v>6</v>
      </c>
      <c r="AW11">
        <f t="shared" si="30"/>
        <v>0.4</v>
      </c>
      <c r="AX11">
        <f t="shared" si="31"/>
        <v>0.4</v>
      </c>
      <c r="AY11">
        <f t="shared" si="31"/>
        <v>0.1</v>
      </c>
      <c r="BA11">
        <f>AQ11/EXP(AT11*H11)/EXP(AV11*E11)/6+5*AQ11/6</f>
        <v>0</v>
      </c>
      <c r="BB11">
        <f t="shared" si="7"/>
        <v>0.9128709291752769</v>
      </c>
      <c r="BC11">
        <f>AQ11/EXP(AT11*H11)/6+5*AQ11/6</f>
        <v>0</v>
      </c>
      <c r="BD11">
        <f t="shared" si="8"/>
        <v>0.9128709291752769</v>
      </c>
      <c r="BE11">
        <f>AQ11/EXP(AV11*E11)/EXP(AX11*K11)/6+5*AQ11/6</f>
        <v>0</v>
      </c>
      <c r="BF11">
        <f t="shared" si="9"/>
        <v>0.9128709291752769</v>
      </c>
      <c r="BG11">
        <f>AQ11/EXP(AX11*K11)/6+5*AQ11/6</f>
        <v>0</v>
      </c>
      <c r="BH11">
        <f t="shared" si="9"/>
        <v>0.9128709291752769</v>
      </c>
      <c r="BJ11">
        <f t="shared" si="10"/>
        <v>0.21822897139598704</v>
      </c>
      <c r="BK11">
        <f t="shared" si="11"/>
        <v>0.91292948354149994</v>
      </c>
      <c r="BL11">
        <f t="shared" si="12"/>
        <v>0.16202512376723577</v>
      </c>
      <c r="BM11">
        <f t="shared" si="11"/>
        <v>0.91290107917871166</v>
      </c>
      <c r="BN11">
        <f t="shared" si="13"/>
        <v>0</v>
      </c>
      <c r="BO11">
        <f t="shared" si="11"/>
        <v>0.9128709291752769</v>
      </c>
      <c r="BP11">
        <f t="shared" si="14"/>
        <v>0</v>
      </c>
      <c r="BQ11">
        <f t="shared" si="11"/>
        <v>0.9128709291752769</v>
      </c>
      <c r="BS11">
        <v>5.6605039226075098</v>
      </c>
      <c r="BT11">
        <v>6.4839460557733197</v>
      </c>
      <c r="BU11">
        <f t="shared" si="32"/>
        <v>0.01</v>
      </c>
      <c r="BW11">
        <f t="shared" si="15"/>
        <v>0.91714384864540532</v>
      </c>
      <c r="BX11">
        <f t="shared" si="16"/>
        <v>0</v>
      </c>
      <c r="BY11">
        <f t="shared" si="17"/>
        <v>5.1674803936567013</v>
      </c>
      <c r="CB11">
        <v>7.0071585034046597</v>
      </c>
      <c r="CC11">
        <v>8.27850677840682</v>
      </c>
      <c r="CD11">
        <f t="shared" si="33"/>
        <v>0.01</v>
      </c>
      <c r="CF11">
        <f>BJ11-(BW11/CB11)</f>
        <v>8.7342272001392135E-2</v>
      </c>
      <c r="CG11">
        <f t="shared" si="18"/>
        <v>8.7342272001392135E-2</v>
      </c>
      <c r="CH11">
        <f t="shared" si="19"/>
        <v>0.28615824313371202</v>
      </c>
      <c r="CI11">
        <f>BN11-(BX11/CC11)</f>
        <v>0</v>
      </c>
      <c r="CJ11">
        <f t="shared" si="20"/>
        <v>0</v>
      </c>
      <c r="CK11">
        <f t="shared" si="21"/>
        <v>0</v>
      </c>
      <c r="CM11">
        <v>8.2090070072865693</v>
      </c>
      <c r="CN11">
        <v>9.4183815962311002</v>
      </c>
      <c r="CO11">
        <v>0.01</v>
      </c>
      <c r="CQ11">
        <f t="shared" si="22"/>
        <v>0.71699332289175755</v>
      </c>
      <c r="CR11">
        <f t="shared" si="23"/>
        <v>0</v>
      </c>
      <c r="CS11">
        <f t="shared" si="24"/>
        <v>2.3490751854535428</v>
      </c>
      <c r="CV11">
        <v>340</v>
      </c>
      <c r="CW11" t="s">
        <v>78</v>
      </c>
      <c r="CZ11">
        <v>11.4</v>
      </c>
      <c r="DA11">
        <v>0.4</v>
      </c>
      <c r="DG11">
        <f t="shared" si="34"/>
        <v>45.329654339287202</v>
      </c>
      <c r="DH11">
        <f>BW11/(CZ11/100)</f>
        <v>8.04512147934566</v>
      </c>
      <c r="DI11" t="s">
        <v>274</v>
      </c>
      <c r="DP11">
        <v>340</v>
      </c>
      <c r="DQ11" t="s">
        <v>78</v>
      </c>
      <c r="DT11">
        <v>11.4</v>
      </c>
      <c r="DU11">
        <v>0.4</v>
      </c>
      <c r="EA11">
        <f t="shared" si="35"/>
        <v>20.607104349623881</v>
      </c>
      <c r="EB11">
        <f>CQ11/(DT11/100)</f>
        <v>6.2894151130855924</v>
      </c>
      <c r="EC11" t="s">
        <v>274</v>
      </c>
      <c r="EL11" s="25">
        <f t="shared" si="26"/>
        <v>339.12637208112483</v>
      </c>
      <c r="EM11" s="28" t="s">
        <v>78</v>
      </c>
      <c r="EN11" s="35">
        <f t="shared" si="27"/>
        <v>8.04512147934566</v>
      </c>
      <c r="EO11" s="36">
        <f t="shared" si="36"/>
        <v>45.329654339287202</v>
      </c>
      <c r="EP11" s="37">
        <f t="shared" si="28"/>
        <v>6.2894151130855924</v>
      </c>
      <c r="EQ11" s="37">
        <f t="shared" si="37"/>
        <v>20.607104349623881</v>
      </c>
      <c r="ER11" s="37"/>
      <c r="ET11" s="41"/>
      <c r="EU11" s="9" t="s">
        <v>93</v>
      </c>
      <c r="EV11" s="4"/>
      <c r="EW11" s="4"/>
    </row>
    <row r="12" spans="1:153" x14ac:dyDescent="0.3">
      <c r="A12">
        <f>N12*'Energy Calibration (2)'!$T$4+'Energy Calibration (2)'!$U$4</f>
        <v>353.11497223073206</v>
      </c>
      <c r="B12">
        <f t="shared" si="1"/>
        <v>0.35311497223073207</v>
      </c>
      <c r="D12" s="6">
        <v>0.1142</v>
      </c>
      <c r="E12" s="11">
        <f t="shared" si="2"/>
        <v>0.12560654377096581</v>
      </c>
      <c r="F12" s="11"/>
      <c r="G12" s="6">
        <v>0.10059999999999999</v>
      </c>
      <c r="H12" s="11">
        <f t="shared" si="3"/>
        <v>3.9920634920634919E-2</v>
      </c>
      <c r="I12" s="11"/>
      <c r="J12" s="6">
        <v>0.1144</v>
      </c>
      <c r="K12" s="11">
        <f t="shared" si="4"/>
        <v>0.12367567567567567</v>
      </c>
      <c r="N12">
        <v>354</v>
      </c>
      <c r="O12" t="s">
        <v>73</v>
      </c>
      <c r="S12" s="2">
        <v>2.0299820512172301E-2</v>
      </c>
      <c r="T12" s="2">
        <v>3.5818255467565103E-4</v>
      </c>
      <c r="U12" s="2">
        <v>2.34332781680626E-2</v>
      </c>
      <c r="V12" s="2">
        <v>3.1453356286077798E-4</v>
      </c>
      <c r="W12" s="2"/>
      <c r="X12" s="2"/>
      <c r="Y12" s="2"/>
      <c r="Z12" s="2"/>
      <c r="AA12" s="2"/>
      <c r="AB12" s="2"/>
      <c r="AD12">
        <f>'Energy Efficiency Calibrati (2)'!$AP$4/(N12^'Energy Efficiency Calibrati (2)'!$AP$7)-'Energy Efficiency Calibrati (2)'!$AP$6/(N12^'Energy Efficiency Calibrati (2)'!$AP$5)</f>
        <v>1.8851349638141481E-2</v>
      </c>
      <c r="AE12">
        <f>'Energy Efficiency Calibrati (2)'!$AR$4/(N12^'Energy Efficiency Calibrati (2)'!$AP$7)-'Energy Efficiency Calibrati (2)'!$AR$6/(N12^'Energy Efficiency Calibrati (2)'!$AR$5)</f>
        <v>1.8316281428973593E-2</v>
      </c>
      <c r="AF12">
        <f>'Energy Efficiency Calibrati (2)'!$AS$4/(N12^'Energy Efficiency Calibrati (2)'!$AP$7)-'Energy Efficiency Calibrati (2)'!$AS$6/(N12^'Energy Efficiency Calibrati (2)'!$AS$5)</f>
        <v>1.9367545060775627E-2</v>
      </c>
      <c r="AG12">
        <f t="shared" si="5"/>
        <v>5.2563181590101725E-4</v>
      </c>
      <c r="AI12">
        <f>S12/$AD12</f>
        <v>1.0768364547809439</v>
      </c>
      <c r="AJ12">
        <f t="shared" si="6"/>
        <v>3.5532227279032769E-2</v>
      </c>
      <c r="AK12">
        <f>U12/$AD12</f>
        <v>1.2430557290524502</v>
      </c>
      <c r="AL12">
        <f t="shared" si="6"/>
        <v>3.8466992814261067E-2</v>
      </c>
      <c r="AM12">
        <f>W12/$AD12</f>
        <v>0</v>
      </c>
      <c r="AO12">
        <f>Y12/$AD12</f>
        <v>0</v>
      </c>
      <c r="AQ12">
        <f>AA12/$AD12</f>
        <v>0</v>
      </c>
      <c r="AT12">
        <f t="shared" si="29"/>
        <v>1</v>
      </c>
      <c r="AU12">
        <f t="shared" si="29"/>
        <v>0.2</v>
      </c>
      <c r="AV12">
        <f t="shared" si="30"/>
        <v>6</v>
      </c>
      <c r="AW12">
        <f t="shared" si="30"/>
        <v>0.4</v>
      </c>
      <c r="AX12">
        <f t="shared" si="31"/>
        <v>0.4</v>
      </c>
      <c r="AY12">
        <f t="shared" si="31"/>
        <v>0.1</v>
      </c>
      <c r="BA12">
        <f>AQ12/EXP(AT12*H12)/EXP(AV12*E12)/6+5*AQ12/6</f>
        <v>0</v>
      </c>
      <c r="BB12">
        <f t="shared" si="7"/>
        <v>0.9128709291752769</v>
      </c>
      <c r="BC12">
        <f>AQ12/EXP(AT12*H12)/6+5*AQ12/6</f>
        <v>0</v>
      </c>
      <c r="BD12">
        <f t="shared" si="8"/>
        <v>0.9128709291752769</v>
      </c>
      <c r="BE12">
        <f>AQ12/EXP(AV12*E12)/EXP(AX12*K12)/6+5*AQ12/6</f>
        <v>0</v>
      </c>
      <c r="BF12">
        <f t="shared" si="9"/>
        <v>0.9128709291752769</v>
      </c>
      <c r="BG12">
        <f>AQ12/EXP(AX12*K12)/6+5*AQ12/6</f>
        <v>0</v>
      </c>
      <c r="BH12">
        <f t="shared" si="9"/>
        <v>0.9128709291752769</v>
      </c>
      <c r="BJ12">
        <f t="shared" si="10"/>
        <v>1.0768364547809439</v>
      </c>
      <c r="BK12">
        <f t="shared" si="11"/>
        <v>0.91356218863783012</v>
      </c>
      <c r="BL12">
        <f t="shared" si="12"/>
        <v>1.2430557290524502</v>
      </c>
      <c r="BM12">
        <f t="shared" si="11"/>
        <v>0.91368104000767458</v>
      </c>
      <c r="BN12">
        <f t="shared" si="13"/>
        <v>0</v>
      </c>
      <c r="BO12">
        <f t="shared" si="11"/>
        <v>0.9128709291752769</v>
      </c>
      <c r="BP12">
        <f t="shared" si="14"/>
        <v>0</v>
      </c>
      <c r="BQ12">
        <f t="shared" si="11"/>
        <v>0.9128709291752769</v>
      </c>
      <c r="BS12">
        <v>5.6592104676018398</v>
      </c>
      <c r="BT12">
        <v>6.4821455267657502</v>
      </c>
      <c r="BU12">
        <f t="shared" si="32"/>
        <v>0.01</v>
      </c>
      <c r="BW12">
        <f t="shared" si="15"/>
        <v>7.0347139936660623</v>
      </c>
      <c r="BX12">
        <f t="shared" si="16"/>
        <v>0</v>
      </c>
      <c r="BY12">
        <f t="shared" si="17"/>
        <v>5.1707282473643739</v>
      </c>
      <c r="CB12">
        <v>6.9895196727019897</v>
      </c>
      <c r="CC12">
        <v>8.2540832811400993</v>
      </c>
      <c r="CD12">
        <f t="shared" si="33"/>
        <v>0.01</v>
      </c>
      <c r="CF12">
        <f>BJ12-(BW12/CB12)</f>
        <v>7.0370442368019148E-2</v>
      </c>
      <c r="CG12">
        <f t="shared" si="18"/>
        <v>7.0370442368019148E-2</v>
      </c>
      <c r="CH12">
        <f t="shared" si="19"/>
        <v>1.7848037479313907</v>
      </c>
      <c r="CI12">
        <f>BN12-(BX12/CC12)</f>
        <v>0</v>
      </c>
      <c r="CJ12">
        <f t="shared" si="20"/>
        <v>0</v>
      </c>
      <c r="CK12">
        <f t="shared" si="21"/>
        <v>0</v>
      </c>
      <c r="CM12">
        <v>8.1474559290029305</v>
      </c>
      <c r="CN12">
        <v>9.3360606505530406</v>
      </c>
      <c r="CO12">
        <v>0.01</v>
      </c>
      <c r="CQ12">
        <f t="shared" si="22"/>
        <v>0.57334007789787667</v>
      </c>
      <c r="CR12">
        <f t="shared" si="23"/>
        <v>0</v>
      </c>
      <c r="CS12">
        <f t="shared" si="24"/>
        <v>14.54160989521726</v>
      </c>
      <c r="CV12">
        <v>354</v>
      </c>
      <c r="CW12" t="s">
        <v>73</v>
      </c>
      <c r="CZ12">
        <v>35.6</v>
      </c>
      <c r="DA12">
        <v>0.7</v>
      </c>
      <c r="DG12">
        <f t="shared" si="34"/>
        <v>14.529713673777906</v>
      </c>
      <c r="DH12">
        <f>BW12/(CZ12/100)</f>
        <v>19.7604325664777</v>
      </c>
      <c r="DJ12" t="s">
        <v>279</v>
      </c>
      <c r="DK12">
        <f>DH5-DK4</f>
        <v>1175.7311997187935</v>
      </c>
      <c r="DP12">
        <v>354</v>
      </c>
      <c r="DQ12" t="s">
        <v>73</v>
      </c>
      <c r="DT12">
        <v>35.6</v>
      </c>
      <c r="DU12">
        <v>0.7</v>
      </c>
      <c r="EA12">
        <f t="shared" si="35"/>
        <v>40.84723108197764</v>
      </c>
      <c r="EB12">
        <f>CQ12/(DT12/100)</f>
        <v>1.6105058367917882</v>
      </c>
      <c r="ED12" t="s">
        <v>279</v>
      </c>
      <c r="EE12">
        <f>EB5-EE4</f>
        <v>119.95132307161958</v>
      </c>
      <c r="EL12" s="25">
        <f t="shared" si="26"/>
        <v>353.11497223073206</v>
      </c>
      <c r="EM12" s="28" t="s">
        <v>73</v>
      </c>
      <c r="EN12" s="32">
        <f t="shared" si="27"/>
        <v>19.7604325664777</v>
      </c>
      <c r="EO12" s="25">
        <f t="shared" si="36"/>
        <v>14.529713673777906</v>
      </c>
      <c r="EP12" s="4">
        <f t="shared" si="28"/>
        <v>1.6105058367917882</v>
      </c>
      <c r="EQ12" s="4">
        <f t="shared" si="37"/>
        <v>40.84723108197764</v>
      </c>
      <c r="ER12" s="4"/>
      <c r="ET12" s="41"/>
      <c r="EU12" s="9" t="s">
        <v>94</v>
      </c>
      <c r="EV12" s="4">
        <f>DK14</f>
        <v>266.65642706644087</v>
      </c>
      <c r="EW12" s="4">
        <f>EE14</f>
        <v>41.154845409365663</v>
      </c>
    </row>
    <row r="13" spans="1:153" x14ac:dyDescent="0.3">
      <c r="A13">
        <f>N13*'Energy Calibration (2)'!$T$4+'Energy Calibration (2)'!$U$4</f>
        <v>511.9855025012713</v>
      </c>
      <c r="B13">
        <f t="shared" si="1"/>
        <v>0.51198550250127128</v>
      </c>
      <c r="D13" s="6">
        <v>9.8280000000000006E-2</v>
      </c>
      <c r="E13" s="11">
        <f t="shared" si="2"/>
        <v>0.10809641963056499</v>
      </c>
      <c r="F13" s="11"/>
      <c r="G13" s="6">
        <v>8.6199999999999999E-2</v>
      </c>
      <c r="H13" s="11">
        <f t="shared" si="3"/>
        <v>3.4206349206349206E-2</v>
      </c>
      <c r="I13" s="11"/>
      <c r="J13" s="6">
        <v>9.8479999999999998E-2</v>
      </c>
      <c r="K13" s="11">
        <f t="shared" si="4"/>
        <v>0.10646486486486485</v>
      </c>
      <c r="N13">
        <v>513</v>
      </c>
      <c r="O13" t="s">
        <v>77</v>
      </c>
      <c r="S13" s="2">
        <v>1.6078064565058E-2</v>
      </c>
      <c r="T13" s="2">
        <v>3.1876836496494898E-4</v>
      </c>
      <c r="U13" s="2">
        <v>1.6142174412320898E-2</v>
      </c>
      <c r="V13" s="2">
        <v>2.6105468291458299E-4</v>
      </c>
      <c r="W13" s="2">
        <v>1.39416217261976E-2</v>
      </c>
      <c r="X13" s="2">
        <v>4.1058080448718598E-4</v>
      </c>
      <c r="Y13" s="2">
        <v>1.45680481195056E-2</v>
      </c>
      <c r="Z13" s="2">
        <v>4.3884440935151902E-4</v>
      </c>
      <c r="AA13" s="2">
        <v>1.3901549680948E-2</v>
      </c>
      <c r="AB13" s="20">
        <v>2.37850618508309E-4</v>
      </c>
      <c r="AD13">
        <f>'Energy Efficiency Calibrati (2)'!$AP$4/(N13^'Energy Efficiency Calibrati (2)'!$AP$7)-'Energy Efficiency Calibrati (2)'!$AP$6/(N13^'Energy Efficiency Calibrati (2)'!$AP$5)</f>
        <v>1.3036617313497327E-2</v>
      </c>
      <c r="AE13">
        <f>'Energy Efficiency Calibrati (2)'!$AR$4/(N13^'Energy Efficiency Calibrati (2)'!$AP$7)-'Energy Efficiency Calibrati (2)'!$AR$6/(N13^'Energy Efficiency Calibrati (2)'!$AR$5)</f>
        <v>1.2656744355566739E-2</v>
      </c>
      <c r="AF13">
        <f>'Energy Efficiency Calibrati (2)'!$AS$4/(N13^'Energy Efficiency Calibrati (2)'!$AP$7)-'Energy Efficiency Calibrati (2)'!$AS$6/(N13^'Energy Efficiency Calibrati (2)'!$AS$5)</f>
        <v>1.3409553376106789E-2</v>
      </c>
      <c r="AG13">
        <f t="shared" si="5"/>
        <v>3.7640451027002534E-4</v>
      </c>
      <c r="AI13">
        <f>S13/$AD13</f>
        <v>1.2333003399901707</v>
      </c>
      <c r="AJ13">
        <f t="shared" si="6"/>
        <v>4.3195878750738374E-2</v>
      </c>
      <c r="AK13">
        <f>U13/$AD13</f>
        <v>1.2382180150067199</v>
      </c>
      <c r="AL13">
        <f t="shared" si="6"/>
        <v>4.0977026743610888E-2</v>
      </c>
      <c r="AM13">
        <f>W13/$AD13</f>
        <v>1.0694201870728601</v>
      </c>
      <c r="AN13">
        <f t="shared" si="6"/>
        <v>4.4105578890508416E-2</v>
      </c>
      <c r="AO13">
        <f>Y13/$AD13</f>
        <v>1.1174714858295887</v>
      </c>
      <c r="AP13">
        <f t="shared" si="6"/>
        <v>4.6627941353499444E-2</v>
      </c>
      <c r="AQ13">
        <f>AA13/$AD13</f>
        <v>1.066346380096252</v>
      </c>
      <c r="AR13">
        <f t="shared" si="6"/>
        <v>3.5788313985506692E-2</v>
      </c>
      <c r="AT13">
        <f t="shared" si="29"/>
        <v>1</v>
      </c>
      <c r="AU13">
        <f t="shared" si="29"/>
        <v>0.2</v>
      </c>
      <c r="AV13">
        <f t="shared" si="30"/>
        <v>6</v>
      </c>
      <c r="AW13">
        <f t="shared" si="30"/>
        <v>0.4</v>
      </c>
      <c r="AX13">
        <f t="shared" si="31"/>
        <v>0.4</v>
      </c>
      <c r="AY13">
        <f t="shared" si="31"/>
        <v>0.1</v>
      </c>
      <c r="BA13">
        <f>AQ13/EXP(AT13*H13)/EXP(AV13*E13)/6+5*AQ13/6</f>
        <v>0.97840978714286375</v>
      </c>
      <c r="BB13">
        <f t="shared" si="7"/>
        <v>0.96084805377243476</v>
      </c>
      <c r="BC13">
        <f>AQ13/EXP(AT13*H13)/6+5*AQ13/6</f>
        <v>1.0603698772275978</v>
      </c>
      <c r="BD13">
        <f t="shared" si="8"/>
        <v>0.91673853298624886</v>
      </c>
      <c r="BE13">
        <f>AQ13/EXP(AV13*E13)/EXP(AX13*K13)/6+5*AQ13/6</f>
        <v>0.97766054511267697</v>
      </c>
      <c r="BF13">
        <f t="shared" si="9"/>
        <v>0.96055394433429742</v>
      </c>
      <c r="BG13">
        <f>AQ13/EXP(AX13*K13)/6+5*AQ13/6</f>
        <v>1.05893671219519</v>
      </c>
      <c r="BH13">
        <f t="shared" si="9"/>
        <v>0.96055394433429742</v>
      </c>
      <c r="BJ13">
        <f t="shared" si="10"/>
        <v>0.25489055284730699</v>
      </c>
      <c r="BK13">
        <f t="shared" si="11"/>
        <v>0.96181852050130756</v>
      </c>
      <c r="BL13">
        <f t="shared" si="12"/>
        <v>0.17784813777912212</v>
      </c>
      <c r="BM13">
        <f t="shared" si="11"/>
        <v>0.9176538860499236</v>
      </c>
      <c r="BN13">
        <f t="shared" si="13"/>
        <v>9.1759641960183158E-2</v>
      </c>
      <c r="BO13">
        <f t="shared" si="11"/>
        <v>0.96156600504876599</v>
      </c>
      <c r="BP13">
        <f t="shared" si="14"/>
        <v>5.8534773634398629E-2</v>
      </c>
      <c r="BQ13">
        <f t="shared" si="11"/>
        <v>0.96168500294589276</v>
      </c>
      <c r="BS13">
        <v>5.6475775081616399</v>
      </c>
      <c r="BT13">
        <v>6.4662338895285396</v>
      </c>
      <c r="BU13">
        <f t="shared" si="32"/>
        <v>0.01</v>
      </c>
      <c r="BW13">
        <f t="shared" si="15"/>
        <v>1.0044111427898026</v>
      </c>
      <c r="BX13">
        <f t="shared" si="16"/>
        <v>0.37849953699063005</v>
      </c>
      <c r="BY13">
        <f t="shared" si="17"/>
        <v>5.1825217522926179</v>
      </c>
      <c r="BZ13">
        <f t="shared" ref="BZ13:BZ25" si="38">BX13*SQRT(($BU13/BT13)^2+(BQ13/BP13)^2)</f>
        <v>6.2184801846495796</v>
      </c>
      <c r="CB13">
        <v>6.8283596001091702</v>
      </c>
      <c r="CC13">
        <v>8.0319714457766107</v>
      </c>
      <c r="CD13">
        <f t="shared" si="33"/>
        <v>0.01</v>
      </c>
      <c r="CF13">
        <f>BJ13-(BW13/CB13)</f>
        <v>0.10779649195840121</v>
      </c>
      <c r="CG13">
        <f t="shared" si="18"/>
        <v>0.10779649195840121</v>
      </c>
      <c r="CH13">
        <f t="shared" si="19"/>
        <v>0.3290023091535742</v>
      </c>
      <c r="CI13">
        <f>BN13-(BX13/CC13)</f>
        <v>4.4635528092764776E-2</v>
      </c>
      <c r="CJ13">
        <f t="shared" si="20"/>
        <v>4.4635528092764776E-2</v>
      </c>
      <c r="CK13">
        <f t="shared" si="21"/>
        <v>0.11340721365168897</v>
      </c>
      <c r="CM13">
        <v>7.6105647101948701</v>
      </c>
      <c r="CN13">
        <v>8.6256683619814893</v>
      </c>
      <c r="CO13">
        <v>0.01</v>
      </c>
      <c r="CQ13">
        <f t="shared" si="22"/>
        <v>0.82039217758141336</v>
      </c>
      <c r="CR13">
        <f t="shared" si="23"/>
        <v>0.38501126249009709</v>
      </c>
      <c r="CS13">
        <f t="shared" si="24"/>
        <v>2.5038935956571104</v>
      </c>
      <c r="CT13">
        <f t="shared" si="25"/>
        <v>0.97821311665104393</v>
      </c>
      <c r="CV13">
        <v>513</v>
      </c>
      <c r="CW13" t="s">
        <v>77</v>
      </c>
      <c r="CX13" t="s">
        <v>49</v>
      </c>
      <c r="CZ13" t="s">
        <v>280</v>
      </c>
      <c r="DB13">
        <v>22.5</v>
      </c>
      <c r="DC13">
        <v>0.2</v>
      </c>
      <c r="DH13">
        <f>BW13-DK17*DB13/100</f>
        <v>-7.3986901648597225E-3</v>
      </c>
      <c r="DJ13" t="s">
        <v>93</v>
      </c>
      <c r="DP13">
        <v>513</v>
      </c>
      <c r="DQ13" t="s">
        <v>77</v>
      </c>
      <c r="DR13" t="s">
        <v>49</v>
      </c>
      <c r="DT13" t="s">
        <v>283</v>
      </c>
      <c r="DV13">
        <v>22.5</v>
      </c>
      <c r="DW13">
        <v>0.2</v>
      </c>
      <c r="EB13">
        <f>CQ13-EE17*DV13/100</f>
        <v>0.77542634310067271</v>
      </c>
      <c r="ED13" t="s">
        <v>93</v>
      </c>
      <c r="EL13" s="25">
        <f t="shared" si="26"/>
        <v>511.9855025012713</v>
      </c>
      <c r="EM13" s="28" t="s">
        <v>298</v>
      </c>
      <c r="EN13" s="33" t="s">
        <v>304</v>
      </c>
      <c r="EO13" s="34"/>
      <c r="EP13" s="34"/>
      <c r="EQ13" s="34"/>
      <c r="ER13" s="45"/>
      <c r="ET13" s="41"/>
      <c r="EU13" s="9" t="s">
        <v>50</v>
      </c>
      <c r="EV13" s="4">
        <f>DK15</f>
        <v>5.0730102802687114</v>
      </c>
      <c r="EW13" s="4">
        <f>EE15</f>
        <v>0.58893435879462608</v>
      </c>
    </row>
    <row r="14" spans="1:153" x14ac:dyDescent="0.3">
      <c r="A14">
        <f>N14*'Energy Calibration (2)'!$T$4+'Energy Calibration (2)'!$U$4</f>
        <v>584.92606042422324</v>
      </c>
      <c r="B14">
        <f t="shared" si="1"/>
        <v>0.58492606042422324</v>
      </c>
      <c r="D14" s="6">
        <v>9.2810000000000004E-2</v>
      </c>
      <c r="E14" s="11">
        <f t="shared" si="2"/>
        <v>0.10208006416272626</v>
      </c>
      <c r="F14" s="11"/>
      <c r="G14" s="6">
        <v>8.1350000000000006E-2</v>
      </c>
      <c r="H14" s="11">
        <f t="shared" si="3"/>
        <v>3.2281746031746036E-2</v>
      </c>
      <c r="I14" s="11"/>
      <c r="J14" s="6">
        <v>9.3009999999999995E-2</v>
      </c>
      <c r="K14" s="11">
        <f t="shared" si="4"/>
        <v>0.10055135135135135</v>
      </c>
      <c r="N14">
        <v>586</v>
      </c>
      <c r="O14" t="s">
        <v>49</v>
      </c>
      <c r="S14" s="2">
        <v>6.5253937356220199E-3</v>
      </c>
      <c r="T14" s="2">
        <v>2.03077445370726E-4</v>
      </c>
      <c r="U14" s="2">
        <v>7.5275263442312898E-3</v>
      </c>
      <c r="V14" s="2">
        <v>1.7826932189541101E-4</v>
      </c>
      <c r="W14" s="2"/>
      <c r="X14" s="2"/>
      <c r="Y14" s="2"/>
      <c r="Z14" s="2"/>
      <c r="AA14" s="2"/>
      <c r="AB14" s="2"/>
      <c r="AD14">
        <f>'Energy Efficiency Calibrati (2)'!$AP$4/(N14^'Energy Efficiency Calibrati (2)'!$AP$7)-'Energy Efficiency Calibrati (2)'!$AP$6/(N14^'Energy Efficiency Calibrati (2)'!$AP$5)</f>
        <v>1.1417683018592858E-2</v>
      </c>
      <c r="AE14">
        <f>'Energy Efficiency Calibrati (2)'!$AR$4/(N14^'Energy Efficiency Calibrati (2)'!$AP$7)-'Energy Efficiency Calibrati (2)'!$AR$6/(N14^'Energy Efficiency Calibrati (2)'!$AR$5)</f>
        <v>1.1083121142948568E-2</v>
      </c>
      <c r="AF14">
        <f>'Energy Efficiency Calibrati (2)'!$AS$4/(N14^'Energy Efficiency Calibrati (2)'!$AP$7)-'Energy Efficiency Calibrati (2)'!$AS$6/(N14^'Energy Efficiency Calibrati (2)'!$AS$5)</f>
        <v>1.174741212614879E-2</v>
      </c>
      <c r="AG14">
        <f t="shared" si="5"/>
        <v>3.3214549160011115E-4</v>
      </c>
      <c r="AI14">
        <f>S14/$AD14</f>
        <v>0.5715164560967313</v>
      </c>
      <c r="AJ14">
        <f t="shared" si="6"/>
        <v>2.4346715416205256E-2</v>
      </c>
      <c r="AK14">
        <f>U14/$AD14</f>
        <v>0.659286681192083</v>
      </c>
      <c r="AL14">
        <f t="shared" si="6"/>
        <v>2.4730778855137227E-2</v>
      </c>
      <c r="AM14">
        <f>W14/$AD14</f>
        <v>0</v>
      </c>
      <c r="AO14">
        <f>Y14/$AD14</f>
        <v>0</v>
      </c>
      <c r="AQ14">
        <f>AA14/$AD14</f>
        <v>0</v>
      </c>
      <c r="AT14">
        <f t="shared" si="29"/>
        <v>1</v>
      </c>
      <c r="AU14">
        <f t="shared" si="29"/>
        <v>0.2</v>
      </c>
      <c r="AV14">
        <f t="shared" si="30"/>
        <v>6</v>
      </c>
      <c r="AW14">
        <f t="shared" si="30"/>
        <v>0.4</v>
      </c>
      <c r="AX14">
        <f t="shared" si="31"/>
        <v>0.4</v>
      </c>
      <c r="AY14">
        <f t="shared" si="31"/>
        <v>0.1</v>
      </c>
      <c r="BA14">
        <f>AQ14/EXP(AT14*H14)/EXP(AV14*E14)/6+5*AQ14/6</f>
        <v>0</v>
      </c>
      <c r="BB14">
        <f t="shared" si="7"/>
        <v>0.9128709291752769</v>
      </c>
      <c r="BC14">
        <f>AQ14/EXP(AT14*H14)/6+5*AQ14/6</f>
        <v>0</v>
      </c>
      <c r="BD14">
        <f t="shared" si="8"/>
        <v>0.9128709291752769</v>
      </c>
      <c r="BE14">
        <f>AQ14/EXP(AV14*E14)/EXP(AX14*K14)/6+5*AQ14/6</f>
        <v>0</v>
      </c>
      <c r="BF14">
        <f t="shared" si="9"/>
        <v>0.9128709291752769</v>
      </c>
      <c r="BG14">
        <f>AQ14/EXP(AX14*K14)/6+5*AQ14/6</f>
        <v>0</v>
      </c>
      <c r="BH14">
        <f t="shared" si="9"/>
        <v>0.9128709291752769</v>
      </c>
      <c r="BJ14">
        <f t="shared" si="10"/>
        <v>0.5715164560967313</v>
      </c>
      <c r="BK14">
        <f t="shared" si="11"/>
        <v>0.91319554088097199</v>
      </c>
      <c r="BL14">
        <f t="shared" si="12"/>
        <v>0.659286681192083</v>
      </c>
      <c r="BM14">
        <f t="shared" si="11"/>
        <v>0.91320586110477575</v>
      </c>
      <c r="BN14">
        <f t="shared" si="13"/>
        <v>0</v>
      </c>
      <c r="BO14">
        <f t="shared" si="11"/>
        <v>0.9128709291752769</v>
      </c>
      <c r="BP14">
        <f t="shared" si="14"/>
        <v>0</v>
      </c>
      <c r="BQ14">
        <f t="shared" si="11"/>
        <v>0.9128709291752769</v>
      </c>
      <c r="BS14">
        <v>5.6436627597307201</v>
      </c>
      <c r="BT14">
        <v>6.4607721762117603</v>
      </c>
      <c r="BU14">
        <f t="shared" si="32"/>
        <v>0.01</v>
      </c>
      <c r="BW14">
        <f t="shared" si="15"/>
        <v>3.7207916906302185</v>
      </c>
      <c r="BX14">
        <f t="shared" si="16"/>
        <v>0</v>
      </c>
      <c r="BY14">
        <f t="shared" si="17"/>
        <v>5.153830127140032</v>
      </c>
      <c r="CB14">
        <v>6.77092192431122</v>
      </c>
      <c r="CC14">
        <v>7.95302596884006</v>
      </c>
      <c r="CD14">
        <f t="shared" si="33"/>
        <v>0.01</v>
      </c>
      <c r="CF14">
        <f>BJ14-(BW14/CB14)</f>
        <v>2.1991334965059006E-2</v>
      </c>
      <c r="CG14">
        <f t="shared" si="18"/>
        <v>2.1991334965059006E-2</v>
      </c>
      <c r="CH14">
        <f t="shared" si="19"/>
        <v>0.96466925788009084</v>
      </c>
      <c r="CI14">
        <f>BN14-(BX14/CC14)</f>
        <v>0</v>
      </c>
      <c r="CJ14">
        <f t="shared" si="20"/>
        <v>0</v>
      </c>
      <c r="CK14">
        <f t="shared" si="21"/>
        <v>0</v>
      </c>
      <c r="CM14">
        <v>7.4295545954022204</v>
      </c>
      <c r="CN14">
        <v>8.3889084979673108</v>
      </c>
      <c r="CO14">
        <v>0.01</v>
      </c>
      <c r="CQ14">
        <f t="shared" si="22"/>
        <v>0.16338582374868366</v>
      </c>
      <c r="CR14">
        <f t="shared" si="23"/>
        <v>0</v>
      </c>
      <c r="CS14">
        <f t="shared" si="24"/>
        <v>7.1670629213001762</v>
      </c>
      <c r="CV14">
        <v>586</v>
      </c>
      <c r="CW14" t="s">
        <v>49</v>
      </c>
      <c r="CZ14">
        <v>85</v>
      </c>
      <c r="DA14">
        <v>0.3</v>
      </c>
      <c r="DG14">
        <f t="shared" si="34"/>
        <v>6.0633492445384842</v>
      </c>
      <c r="DH14">
        <f>BW14/(CZ14/100)</f>
        <v>4.3774019889767279</v>
      </c>
      <c r="DJ14" t="s">
        <v>94</v>
      </c>
      <c r="DK14">
        <f>AVERAGE(DH9-DH6,DH9-DK6-DK15)</f>
        <v>266.65642706644087</v>
      </c>
      <c r="DP14">
        <v>586</v>
      </c>
      <c r="DQ14" t="s">
        <v>49</v>
      </c>
      <c r="DT14">
        <v>85</v>
      </c>
      <c r="DU14">
        <v>0.3</v>
      </c>
      <c r="EA14">
        <f t="shared" si="35"/>
        <v>8.4318387582338801</v>
      </c>
      <c r="EB14">
        <f>CQ14/(DT14/100)</f>
        <v>0.19221861617492195</v>
      </c>
      <c r="ED14" t="s">
        <v>94</v>
      </c>
      <c r="EE14">
        <f>AVERAGE(EB9-EB6,EB9-EE6-EE15)</f>
        <v>41.154845409365663</v>
      </c>
      <c r="EL14" s="25">
        <f t="shared" si="26"/>
        <v>584.92606042422324</v>
      </c>
      <c r="EM14" s="28" t="s">
        <v>49</v>
      </c>
      <c r="EN14" s="32">
        <f t="shared" si="27"/>
        <v>4.3774019889767279</v>
      </c>
      <c r="EO14" s="25">
        <f t="shared" si="36"/>
        <v>6.0633492445384842</v>
      </c>
      <c r="EP14" s="4">
        <f t="shared" si="28"/>
        <v>0.19221861617492195</v>
      </c>
      <c r="EQ14" s="4">
        <f t="shared" si="37"/>
        <v>8.4318387582338801</v>
      </c>
      <c r="ER14" s="4"/>
      <c r="ET14" s="41"/>
      <c r="EU14" s="9" t="s">
        <v>97</v>
      </c>
      <c r="EV14" s="4">
        <f>DK16</f>
        <v>15.923912952449504</v>
      </c>
      <c r="EW14" s="4">
        <f>EE16</f>
        <v>3.214714773142795</v>
      </c>
    </row>
    <row r="15" spans="1:153" x14ac:dyDescent="0.3">
      <c r="A15">
        <f>N15*'Energy Calibration (2)'!$T$4+'Energy Calibration (2)'!$U$4</f>
        <v>610.90488927349384</v>
      </c>
      <c r="B15">
        <f t="shared" si="1"/>
        <v>0.61090488927349385</v>
      </c>
      <c r="D15" s="6">
        <v>9.1060000000000002E-2</v>
      </c>
      <c r="E15" s="11">
        <f t="shared" si="2"/>
        <v>0.10015527036588572</v>
      </c>
      <c r="F15" s="11"/>
      <c r="G15" s="6">
        <v>7.9799999999999996E-2</v>
      </c>
      <c r="H15" s="11">
        <f t="shared" si="3"/>
        <v>3.1666666666666662E-2</v>
      </c>
      <c r="I15" s="11"/>
      <c r="J15" s="6">
        <v>9.1259999999999994E-2</v>
      </c>
      <c r="K15" s="11">
        <f t="shared" si="4"/>
        <v>9.8659459459459448E-2</v>
      </c>
      <c r="N15">
        <v>612</v>
      </c>
      <c r="O15" t="s">
        <v>48</v>
      </c>
      <c r="S15" s="2">
        <v>1.5354425259751701E-2</v>
      </c>
      <c r="T15" s="2">
        <v>3.1151223809563398E-4</v>
      </c>
      <c r="U15" s="2">
        <v>1.80103350445825E-2</v>
      </c>
      <c r="V15" s="2">
        <v>2.7574736207794999E-4</v>
      </c>
      <c r="W15" s="2"/>
      <c r="X15" s="2"/>
      <c r="Y15" s="2"/>
      <c r="Z15" s="2"/>
      <c r="AA15" s="2"/>
      <c r="AB15" s="2"/>
      <c r="AD15">
        <f>'Energy Efficiency Calibrati (2)'!$AP$4/(N15^'Energy Efficiency Calibrati (2)'!$AP$7)-'Energy Efficiency Calibrati (2)'!$AP$6/(N15^'Energy Efficiency Calibrati (2)'!$AP$5)</f>
        <v>1.0933933286898324E-2</v>
      </c>
      <c r="AE15">
        <f>'Energy Efficiency Calibrati (2)'!$AR$4/(N15^'Energy Efficiency Calibrati (2)'!$AP$7)-'Energy Efficiency Calibrati (2)'!$AR$6/(N15^'Energy Efficiency Calibrati (2)'!$AR$5)</f>
        <v>1.0613057090917736E-2</v>
      </c>
      <c r="AF15">
        <f>'Energy Efficiency Calibrati (2)'!$AS$4/(N15^'Energy Efficiency Calibrati (2)'!$AP$7)-'Energy Efficiency Calibrati (2)'!$AS$6/(N15^'Energy Efficiency Calibrati (2)'!$AS$5)</f>
        <v>1.1250515485217825E-2</v>
      </c>
      <c r="AG15">
        <f t="shared" si="5"/>
        <v>3.1872919715004479E-4</v>
      </c>
      <c r="AI15">
        <f>S15/$AD15</f>
        <v>1.4042911052100773</v>
      </c>
      <c r="AJ15">
        <f t="shared" si="6"/>
        <v>4.9874218770016715E-2</v>
      </c>
      <c r="AK15">
        <f>U15/$AD15</f>
        <v>1.6471963539564973</v>
      </c>
      <c r="AL15">
        <f t="shared" si="6"/>
        <v>5.4236576035168002E-2</v>
      </c>
      <c r="AM15">
        <f>W15/$AD15</f>
        <v>0</v>
      </c>
      <c r="AO15">
        <f>Y15/$AD15</f>
        <v>0</v>
      </c>
      <c r="AQ15">
        <f>AA15/$AD15</f>
        <v>0</v>
      </c>
      <c r="AT15">
        <f t="shared" si="29"/>
        <v>1</v>
      </c>
      <c r="AU15">
        <f t="shared" si="29"/>
        <v>0.2</v>
      </c>
      <c r="AV15">
        <f t="shared" si="30"/>
        <v>6</v>
      </c>
      <c r="AW15">
        <f t="shared" si="30"/>
        <v>0.4</v>
      </c>
      <c r="AX15">
        <f t="shared" si="31"/>
        <v>0.4</v>
      </c>
      <c r="AY15">
        <f t="shared" si="31"/>
        <v>0.1</v>
      </c>
      <c r="BA15">
        <f>AQ15/EXP(AT15*H15)/EXP(AV15*E15)/6+5*AQ15/6</f>
        <v>0</v>
      </c>
      <c r="BB15">
        <f t="shared" si="7"/>
        <v>0.9128709291752769</v>
      </c>
      <c r="BC15">
        <f>AQ15/EXP(AT15*H15)/6+5*AQ15/6</f>
        <v>0</v>
      </c>
      <c r="BD15">
        <f t="shared" si="8"/>
        <v>0.9128709291752769</v>
      </c>
      <c r="BE15">
        <f>AQ15/EXP(AV15*E15)/EXP(AX15*K15)/6+5*AQ15/6</f>
        <v>0</v>
      </c>
      <c r="BF15">
        <f t="shared" si="9"/>
        <v>0.9128709291752769</v>
      </c>
      <c r="BG15">
        <f>AQ15/EXP(AX15*K15)/6+5*AQ15/6</f>
        <v>0</v>
      </c>
      <c r="BH15">
        <f t="shared" si="9"/>
        <v>0.9128709291752769</v>
      </c>
      <c r="BJ15">
        <f t="shared" si="10"/>
        <v>1.4042911052100773</v>
      </c>
      <c r="BK15">
        <f t="shared" si="11"/>
        <v>0.9142323397426132</v>
      </c>
      <c r="BL15">
        <f t="shared" si="12"/>
        <v>1.6471963539564973</v>
      </c>
      <c r="BM15">
        <f t="shared" si="11"/>
        <v>0.91448069389864761</v>
      </c>
      <c r="BN15">
        <f t="shared" si="13"/>
        <v>0</v>
      </c>
      <c r="BO15">
        <f t="shared" si="11"/>
        <v>0.9128709291752769</v>
      </c>
      <c r="BP15">
        <f t="shared" si="14"/>
        <v>0</v>
      </c>
      <c r="BQ15">
        <f t="shared" si="11"/>
        <v>0.9128709291752769</v>
      </c>
      <c r="BS15">
        <v>5.6424120056678504</v>
      </c>
      <c r="BT15">
        <v>6.4590254125143103</v>
      </c>
      <c r="BU15">
        <f t="shared" si="32"/>
        <v>0.01</v>
      </c>
      <c r="BW15">
        <f t="shared" si="15"/>
        <v>9.2941604832564497</v>
      </c>
      <c r="BX15">
        <f t="shared" si="16"/>
        <v>0</v>
      </c>
      <c r="BY15">
        <f t="shared" si="17"/>
        <v>5.1599031380043687</v>
      </c>
      <c r="CB15">
        <v>6.7523028795119204</v>
      </c>
      <c r="CC15">
        <v>7.92747425185767</v>
      </c>
      <c r="CD15">
        <f t="shared" si="33"/>
        <v>0.01</v>
      </c>
      <c r="CF15">
        <f>BJ15-(BW15/CB15)</f>
        <v>2.7848038436943501E-2</v>
      </c>
      <c r="CG15">
        <f t="shared" si="18"/>
        <v>2.7848038436943501E-2</v>
      </c>
      <c r="CH15">
        <f t="shared" si="19"/>
        <v>2.4002550990067286</v>
      </c>
      <c r="CI15">
        <f>BN15-(BX15/CC15)</f>
        <v>0</v>
      </c>
      <c r="CJ15">
        <f t="shared" si="20"/>
        <v>0</v>
      </c>
      <c r="CK15">
        <f t="shared" si="21"/>
        <v>0</v>
      </c>
      <c r="CM15">
        <v>7.3720084178663097</v>
      </c>
      <c r="CN15">
        <v>8.3139524524875306</v>
      </c>
      <c r="CO15">
        <v>0.01</v>
      </c>
      <c r="CQ15">
        <f t="shared" si="22"/>
        <v>0.20529597377821204</v>
      </c>
      <c r="CR15">
        <f t="shared" si="23"/>
        <v>0</v>
      </c>
      <c r="CS15">
        <f t="shared" si="24"/>
        <v>17.694700797095507</v>
      </c>
      <c r="CV15">
        <v>612</v>
      </c>
      <c r="CW15" t="s">
        <v>48</v>
      </c>
      <c r="CZ15">
        <v>45.49</v>
      </c>
      <c r="DA15">
        <v>0.19</v>
      </c>
      <c r="DG15">
        <f t="shared" si="34"/>
        <v>11.343260408654409</v>
      </c>
      <c r="DH15">
        <f>BW15/(CZ15/100)</f>
        <v>20.431216714127171</v>
      </c>
      <c r="DJ15" t="s">
        <v>50</v>
      </c>
      <c r="DK15">
        <f>DH6-DK6</f>
        <v>5.0730102802687114</v>
      </c>
      <c r="DP15">
        <v>612</v>
      </c>
      <c r="DQ15" t="s">
        <v>48</v>
      </c>
      <c r="DT15">
        <v>45.49</v>
      </c>
      <c r="DU15">
        <v>0.19</v>
      </c>
      <c r="EA15">
        <f t="shared" si="35"/>
        <v>38.898001358257979</v>
      </c>
      <c r="EB15">
        <f>CQ15/(DT15/100)</f>
        <v>0.45129912899145314</v>
      </c>
      <c r="ED15" t="s">
        <v>50</v>
      </c>
      <c r="EE15">
        <f>EB6-EE6</f>
        <v>0.58893435879462608</v>
      </c>
      <c r="EL15" s="25">
        <f t="shared" si="26"/>
        <v>610.90488927349384</v>
      </c>
      <c r="EM15" s="28" t="s">
        <v>48</v>
      </c>
      <c r="EN15" s="32">
        <f t="shared" si="27"/>
        <v>20.431216714127171</v>
      </c>
      <c r="EO15" s="25">
        <f t="shared" si="36"/>
        <v>11.343260408654409</v>
      </c>
      <c r="EP15" s="4">
        <f t="shared" si="28"/>
        <v>0.45129912899145314</v>
      </c>
      <c r="EQ15" s="4">
        <f t="shared" si="37"/>
        <v>38.898001358257979</v>
      </c>
      <c r="ER15" s="4"/>
      <c r="ET15" s="42"/>
      <c r="EU15" s="14" t="s">
        <v>99</v>
      </c>
      <c r="EV15" s="38">
        <f>DK17</f>
        <v>4.4969325909096103</v>
      </c>
      <c r="EW15" s="38">
        <f>EE17</f>
        <v>0.19984815324773619</v>
      </c>
    </row>
    <row r="16" spans="1:153" x14ac:dyDescent="0.3">
      <c r="A16">
        <f>N16*'Energy Calibration (2)'!$T$4+'Energy Calibration (2)'!$U$4</f>
        <v>728.80880482018335</v>
      </c>
      <c r="B16">
        <f t="shared" si="1"/>
        <v>0.7288088048201834</v>
      </c>
      <c r="D16" s="6">
        <v>8.4150000000000003E-2</v>
      </c>
      <c r="E16" s="11">
        <f t="shared" si="2"/>
        <v>9.2555084573789623E-2</v>
      </c>
      <c r="F16" s="11"/>
      <c r="G16" s="6">
        <v>7.3679999999999995E-2</v>
      </c>
      <c r="H16" s="11">
        <f t="shared" si="3"/>
        <v>2.9238095238095237E-2</v>
      </c>
      <c r="I16" s="11"/>
      <c r="J16" s="6">
        <v>8.4339999999999998E-2</v>
      </c>
      <c r="K16" s="11">
        <f t="shared" si="4"/>
        <v>9.1178378378378375E-2</v>
      </c>
      <c r="N16">
        <v>730</v>
      </c>
      <c r="O16" t="s">
        <v>210</v>
      </c>
      <c r="S16" s="2">
        <v>1.72851834062239E-3</v>
      </c>
      <c r="T16" s="2">
        <v>1.04519019443721E-4</v>
      </c>
      <c r="U16" s="2">
        <v>1.72250743042421E-3</v>
      </c>
      <c r="V16" s="2">
        <v>8.5276824999679901E-5</v>
      </c>
      <c r="W16" s="2"/>
      <c r="X16" s="2"/>
      <c r="Y16" s="2"/>
      <c r="Z16" s="2"/>
      <c r="AA16" s="2"/>
      <c r="AB16" s="2"/>
      <c r="AD16">
        <f>'Energy Efficiency Calibrati (2)'!$AP$4/(N16^'Energy Efficiency Calibrati (2)'!$AP$7)-'Energy Efficiency Calibrati (2)'!$AP$6/(N16^'Energy Efficiency Calibrati (2)'!$AP$5)</f>
        <v>9.170104993554664E-3</v>
      </c>
      <c r="AE16">
        <f>'Energy Efficiency Calibrati (2)'!$AR$4/(N16^'Energy Efficiency Calibrati (2)'!$AP$7)-'Energy Efficiency Calibrati (2)'!$AR$6/(N16^'Energy Efficiency Calibrati (2)'!$AR$5)</f>
        <v>8.8996398702132808E-3</v>
      </c>
      <c r="AF16">
        <f>'Energy Efficiency Calibrati (2)'!$AS$4/(N16^'Energy Efficiency Calibrati (2)'!$AP$7)-'Energy Efficiency Calibrati (2)'!$AS$6/(N16^'Energy Efficiency Calibrati (2)'!$AS$5)</f>
        <v>9.4379165949045937E-3</v>
      </c>
      <c r="AG16">
        <f t="shared" si="5"/>
        <v>2.6913836234565645E-4</v>
      </c>
      <c r="AI16">
        <f>S16/$AD16</f>
        <v>0.1884949345549809</v>
      </c>
      <c r="AJ16">
        <f t="shared" si="6"/>
        <v>1.2669471645117661E-2</v>
      </c>
      <c r="AK16">
        <f>U16/$AD16</f>
        <v>0.18783944476479805</v>
      </c>
      <c r="AL16">
        <f t="shared" si="6"/>
        <v>1.0810769379839796E-2</v>
      </c>
      <c r="AM16">
        <f>W16/$AD16</f>
        <v>0</v>
      </c>
      <c r="AO16">
        <f>Y16/$AD16</f>
        <v>0</v>
      </c>
      <c r="AQ16">
        <f>AA16/$AD16</f>
        <v>0</v>
      </c>
      <c r="AT16">
        <f t="shared" si="29"/>
        <v>1</v>
      </c>
      <c r="AU16">
        <f t="shared" si="29"/>
        <v>0.2</v>
      </c>
      <c r="AV16">
        <f t="shared" si="30"/>
        <v>6</v>
      </c>
      <c r="AW16">
        <f t="shared" si="30"/>
        <v>0.4</v>
      </c>
      <c r="AX16">
        <f t="shared" si="31"/>
        <v>0.4</v>
      </c>
      <c r="AY16">
        <f t="shared" si="31"/>
        <v>0.1</v>
      </c>
      <c r="BA16">
        <f>AQ16/EXP(AT16*H16)/EXP(AV16*E16)/6+5*AQ16/6</f>
        <v>0</v>
      </c>
      <c r="BB16">
        <f t="shared" si="7"/>
        <v>0.9128709291752769</v>
      </c>
      <c r="BC16">
        <f>AQ16/EXP(AT16*H16)/6+5*AQ16/6</f>
        <v>0</v>
      </c>
      <c r="BD16">
        <f t="shared" si="8"/>
        <v>0.9128709291752769</v>
      </c>
      <c r="BE16">
        <f>AQ16/EXP(AV16*E16)/EXP(AX16*K16)/6+5*AQ16/6</f>
        <v>0</v>
      </c>
      <c r="BF16">
        <f t="shared" si="9"/>
        <v>0.9128709291752769</v>
      </c>
      <c r="BG16">
        <f>AQ16/EXP(AX16*K16)/6+5*AQ16/6</f>
        <v>0</v>
      </c>
      <c r="BH16">
        <f t="shared" si="9"/>
        <v>0.9128709291752769</v>
      </c>
      <c r="BJ16">
        <f t="shared" si="10"/>
        <v>0.1884949345549809</v>
      </c>
      <c r="BK16">
        <f t="shared" si="11"/>
        <v>0.91295884290864926</v>
      </c>
      <c r="BL16">
        <f t="shared" si="12"/>
        <v>0.18783944476479805</v>
      </c>
      <c r="BM16">
        <f t="shared" si="11"/>
        <v>0.91293494076408177</v>
      </c>
      <c r="BN16">
        <f t="shared" si="13"/>
        <v>0</v>
      </c>
      <c r="BO16">
        <f t="shared" si="11"/>
        <v>0.9128709291752769</v>
      </c>
      <c r="BP16">
        <f t="shared" si="14"/>
        <v>0</v>
      </c>
      <c r="BQ16">
        <f t="shared" si="11"/>
        <v>0.9128709291752769</v>
      </c>
      <c r="BS16">
        <v>5.6374751994387404</v>
      </c>
      <c r="BT16">
        <v>6.4521209901526602</v>
      </c>
      <c r="BU16">
        <f t="shared" si="32"/>
        <v>0.01</v>
      </c>
      <c r="BW16">
        <f t="shared" si="15"/>
        <v>1.0589402113378921</v>
      </c>
      <c r="BX16">
        <f t="shared" si="16"/>
        <v>0</v>
      </c>
      <c r="BY16">
        <f t="shared" si="17"/>
        <v>5.1466484300414548</v>
      </c>
      <c r="CB16">
        <v>6.6775884558638197</v>
      </c>
      <c r="CC16">
        <v>7.8251409779528602</v>
      </c>
      <c r="CD16">
        <f t="shared" si="33"/>
        <v>0.01</v>
      </c>
      <c r="CF16">
        <f>BJ16-(BW16/CB16)</f>
        <v>2.9913701474047261E-2</v>
      </c>
      <c r="CG16">
        <f t="shared" si="18"/>
        <v>2.9913701474047261E-2</v>
      </c>
      <c r="CH16">
        <f t="shared" si="19"/>
        <v>0.29296135465932249</v>
      </c>
      <c r="CI16">
        <f>BN16-(BX16/CC16)</f>
        <v>0</v>
      </c>
      <c r="CJ16">
        <f t="shared" si="20"/>
        <v>0</v>
      </c>
      <c r="CK16">
        <f t="shared" si="21"/>
        <v>0</v>
      </c>
      <c r="CM16">
        <v>7.1465088531242902</v>
      </c>
      <c r="CN16">
        <v>8.0217023213279699</v>
      </c>
      <c r="CO16">
        <v>0.01</v>
      </c>
      <c r="CQ16">
        <f t="shared" si="22"/>
        <v>0.21377853241399589</v>
      </c>
      <c r="CR16">
        <f t="shared" si="23"/>
        <v>0</v>
      </c>
      <c r="CS16">
        <f t="shared" si="24"/>
        <v>2.0936509360662079</v>
      </c>
      <c r="CV16">
        <v>730</v>
      </c>
      <c r="CW16" t="s">
        <v>210</v>
      </c>
      <c r="CZ16">
        <v>6.65</v>
      </c>
      <c r="DA16">
        <v>0.04</v>
      </c>
      <c r="DG16">
        <f t="shared" si="34"/>
        <v>77.39326874544517</v>
      </c>
      <c r="DH16">
        <f>BW16/(CZ16/100)</f>
        <v>15.923912952449504</v>
      </c>
      <c r="DJ16" t="s">
        <v>97</v>
      </c>
      <c r="DK16">
        <f>DH16</f>
        <v>15.923912952449504</v>
      </c>
      <c r="DL16" t="s">
        <v>277</v>
      </c>
      <c r="DM16" t="s">
        <v>278</v>
      </c>
      <c r="DP16">
        <v>730</v>
      </c>
      <c r="DQ16" t="s">
        <v>210</v>
      </c>
      <c r="DT16">
        <v>6.65</v>
      </c>
      <c r="DU16">
        <v>0.04</v>
      </c>
      <c r="EA16">
        <f t="shared" si="35"/>
        <v>31.483478660919392</v>
      </c>
      <c r="EB16">
        <f>CQ16/(DT16/100)</f>
        <v>3.214714773142795</v>
      </c>
      <c r="ED16" t="s">
        <v>97</v>
      </c>
      <c r="EE16">
        <f>EB16</f>
        <v>3.214714773142795</v>
      </c>
      <c r="EF16" t="s">
        <v>277</v>
      </c>
      <c r="EG16" t="s">
        <v>278</v>
      </c>
      <c r="EL16" s="25">
        <f t="shared" si="26"/>
        <v>728.80880482018335</v>
      </c>
      <c r="EM16" s="28" t="s">
        <v>210</v>
      </c>
      <c r="EN16" s="32">
        <f t="shared" si="27"/>
        <v>15.923912952449504</v>
      </c>
      <c r="EO16" s="25">
        <f t="shared" si="36"/>
        <v>77.39326874544517</v>
      </c>
      <c r="EP16" s="4">
        <f t="shared" si="28"/>
        <v>3.214714773142795</v>
      </c>
      <c r="EQ16" s="4">
        <f t="shared" si="37"/>
        <v>31.483478660919392</v>
      </c>
      <c r="ER16" s="4"/>
      <c r="EU16" s="9" t="s">
        <v>77</v>
      </c>
      <c r="EV16" s="4">
        <f>DK19</f>
        <v>-7.3986901648597225E-3</v>
      </c>
      <c r="EW16" s="4">
        <f>EE19</f>
        <v>0.77542634310067271</v>
      </c>
    </row>
    <row r="17" spans="1:148" x14ac:dyDescent="0.3">
      <c r="A17">
        <f>N17*'Energy Calibration (2)'!$T$4+'Energy Calibration (2)'!$U$4</f>
        <v>768.77623381906108</v>
      </c>
      <c r="B17">
        <f t="shared" si="1"/>
        <v>0.76877623381906113</v>
      </c>
      <c r="D17" s="6">
        <v>8.2110000000000002E-2</v>
      </c>
      <c r="E17" s="11">
        <f t="shared" si="2"/>
        <v>9.0311324947758356E-2</v>
      </c>
      <c r="F17" s="11"/>
      <c r="G17" s="6">
        <v>7.1889999999999996E-2</v>
      </c>
      <c r="H17" s="11">
        <f t="shared" si="3"/>
        <v>2.8527777777777777E-2</v>
      </c>
      <c r="I17" s="11"/>
      <c r="J17" s="6">
        <v>8.2290000000000002E-2</v>
      </c>
      <c r="K17" s="11">
        <f t="shared" si="4"/>
        <v>8.8962162162162156E-2</v>
      </c>
      <c r="N17">
        <v>770</v>
      </c>
      <c r="O17" t="s">
        <v>48</v>
      </c>
      <c r="S17" s="2">
        <v>1.9181181586065601E-3</v>
      </c>
      <c r="T17" s="2">
        <v>1.1010220308785E-4</v>
      </c>
      <c r="U17" s="2">
        <v>2.4528843555795699E-3</v>
      </c>
      <c r="V17" s="2">
        <v>1.01762790404569E-4</v>
      </c>
      <c r="W17" s="2"/>
      <c r="X17" s="2"/>
      <c r="Y17" s="2"/>
      <c r="Z17" s="2"/>
      <c r="AA17" s="2"/>
      <c r="AB17" s="2"/>
      <c r="AD17">
        <f>'Energy Efficiency Calibrati (2)'!$AP$4/(N17^'Energy Efficiency Calibrati (2)'!$AP$7)-'Energy Efficiency Calibrati (2)'!$AP$6/(N17^'Energy Efficiency Calibrati (2)'!$AP$5)</f>
        <v>8.6945374044705061E-3</v>
      </c>
      <c r="AE17">
        <f>'Energy Efficiency Calibrati (2)'!$AR$4/(N17^'Energy Efficiency Calibrati (2)'!$AP$7)-'Energy Efficiency Calibrati (2)'!$AR$6/(N17^'Energy Efficiency Calibrati (2)'!$AR$5)</f>
        <v>8.4377901626798684E-3</v>
      </c>
      <c r="AF17">
        <f>'Energy Efficiency Calibrati (2)'!$AS$4/(N17^'Energy Efficiency Calibrati (2)'!$AP$7)-'Energy Efficiency Calibrati (2)'!$AS$6/(N17^'Energy Efficiency Calibrati (2)'!$AS$5)</f>
        <v>8.9489916391586148E-3</v>
      </c>
      <c r="AG17">
        <f t="shared" si="5"/>
        <v>2.556007382393732E-4</v>
      </c>
      <c r="AI17">
        <f>S17/$AD17</f>
        <v>0.22061187034750271</v>
      </c>
      <c r="AJ17">
        <f t="shared" si="6"/>
        <v>1.4227544501081487E-2</v>
      </c>
      <c r="AK17">
        <f>U17/$AD17</f>
        <v>0.28211786797516797</v>
      </c>
      <c r="AL17">
        <f t="shared" si="6"/>
        <v>1.4344810576366733E-2</v>
      </c>
      <c r="AM17">
        <f>W17/$AD17</f>
        <v>0</v>
      </c>
      <c r="AO17">
        <f>Y17/$AD17</f>
        <v>0</v>
      </c>
      <c r="AQ17">
        <f>AA17/$AD17</f>
        <v>0</v>
      </c>
      <c r="AT17">
        <f t="shared" si="29"/>
        <v>1</v>
      </c>
      <c r="AU17">
        <f t="shared" si="29"/>
        <v>0.2</v>
      </c>
      <c r="AV17">
        <f t="shared" si="30"/>
        <v>6</v>
      </c>
      <c r="AW17">
        <f t="shared" si="30"/>
        <v>0.4</v>
      </c>
      <c r="AX17">
        <f t="shared" si="31"/>
        <v>0.4</v>
      </c>
      <c r="AY17">
        <f t="shared" si="31"/>
        <v>0.1</v>
      </c>
      <c r="BA17">
        <f>AQ17/EXP(AT17*H17)/EXP(AV17*E17)/6+5*AQ17/6</f>
        <v>0</v>
      </c>
      <c r="BB17">
        <f t="shared" si="7"/>
        <v>0.9128709291752769</v>
      </c>
      <c r="BC17">
        <f>AQ17/EXP(AT17*H17)/6+5*AQ17/6</f>
        <v>0</v>
      </c>
      <c r="BD17">
        <f t="shared" si="8"/>
        <v>0.9128709291752769</v>
      </c>
      <c r="BE17">
        <f>AQ17/EXP(AV17*E17)/EXP(AX17*K17)/6+5*AQ17/6</f>
        <v>0</v>
      </c>
      <c r="BF17">
        <f t="shared" si="9"/>
        <v>0.9128709291752769</v>
      </c>
      <c r="BG17">
        <f>AQ17/EXP(AX17*K17)/6+5*AQ17/6</f>
        <v>0</v>
      </c>
      <c r="BH17">
        <f t="shared" si="9"/>
        <v>0.9128709291752769</v>
      </c>
      <c r="BJ17">
        <f t="shared" si="10"/>
        <v>0.22061187034750271</v>
      </c>
      <c r="BK17">
        <f t="shared" si="11"/>
        <v>0.91298179409879998</v>
      </c>
      <c r="BL17">
        <f t="shared" si="12"/>
        <v>0.28211786797516797</v>
      </c>
      <c r="BM17">
        <f t="shared" si="11"/>
        <v>0.91298362905574881</v>
      </c>
      <c r="BN17">
        <f t="shared" si="13"/>
        <v>0</v>
      </c>
      <c r="BO17">
        <f t="shared" si="11"/>
        <v>0.9128709291752769</v>
      </c>
      <c r="BP17">
        <f t="shared" si="14"/>
        <v>0</v>
      </c>
      <c r="BQ17">
        <f t="shared" si="11"/>
        <v>0.9128709291752769</v>
      </c>
      <c r="BS17">
        <v>5.6360317661393404</v>
      </c>
      <c r="BT17">
        <v>6.4500764574567704</v>
      </c>
      <c r="BU17">
        <f t="shared" si="32"/>
        <v>0.01</v>
      </c>
      <c r="BW17">
        <f t="shared" si="15"/>
        <v>1.5900252657035512</v>
      </c>
      <c r="BX17">
        <f t="shared" si="16"/>
        <v>0</v>
      </c>
      <c r="BY17">
        <f t="shared" si="17"/>
        <v>5.1456055087065797</v>
      </c>
      <c r="CB17">
        <v>6.6551719750781304</v>
      </c>
      <c r="CC17">
        <v>7.7944781860325802</v>
      </c>
      <c r="CD17">
        <f t="shared" si="33"/>
        <v>0.01</v>
      </c>
      <c r="CF17">
        <f>BJ17-(BW17/CB17)</f>
        <v>-1.8303858901535158E-2</v>
      </c>
      <c r="CG17">
        <f t="shared" si="18"/>
        <v>0</v>
      </c>
      <c r="CH17">
        <f t="shared" si="19"/>
        <v>0.40352329387957575</v>
      </c>
      <c r="CI17">
        <f>BN17-(BX17/CC17)</f>
        <v>0</v>
      </c>
      <c r="CJ17">
        <f t="shared" si="20"/>
        <v>0</v>
      </c>
      <c r="CK17">
        <f t="shared" si="21"/>
        <v>0</v>
      </c>
      <c r="CM17">
        <v>7.0804890829032701</v>
      </c>
      <c r="CN17">
        <v>7.9365501487342396</v>
      </c>
      <c r="CO17">
        <v>0.01</v>
      </c>
      <c r="CQ17">
        <f t="shared" si="22"/>
        <v>0</v>
      </c>
      <c r="CR17">
        <f t="shared" si="23"/>
        <v>0</v>
      </c>
      <c r="CV17">
        <v>770</v>
      </c>
      <c r="CW17" t="s">
        <v>48</v>
      </c>
      <c r="CZ17">
        <v>4.8920000000000003</v>
      </c>
      <c r="DA17">
        <v>1.6E-2</v>
      </c>
      <c r="DG17">
        <f t="shared" si="34"/>
        <v>105.18414015954016</v>
      </c>
      <c r="DH17">
        <f>BW17/(CZ17/100)</f>
        <v>32.502560623539473</v>
      </c>
      <c r="DJ17" t="s">
        <v>99</v>
      </c>
      <c r="DK17">
        <f>AVERAGE(DH25,DH14)</f>
        <v>4.4969325909096103</v>
      </c>
      <c r="DL17" t="s">
        <v>276</v>
      </c>
      <c r="DM17">
        <f>DK16*0.3593</f>
        <v>5.7214619238151068</v>
      </c>
      <c r="DP17">
        <v>770</v>
      </c>
      <c r="DQ17" t="s">
        <v>48</v>
      </c>
      <c r="DT17">
        <v>4.8920000000000003</v>
      </c>
      <c r="DU17">
        <v>1.6E-2</v>
      </c>
      <c r="EB17">
        <f>CQ17/(DT17/100)</f>
        <v>0</v>
      </c>
      <c r="ED17" t="s">
        <v>99</v>
      </c>
      <c r="EE17">
        <f>AVERAGE(EB25,EB14)</f>
        <v>0.19984815324773619</v>
      </c>
      <c r="EF17" t="s">
        <v>276</v>
      </c>
      <c r="EG17">
        <f>EE16*0.3593</f>
        <v>1.1550470179902061</v>
      </c>
      <c r="EL17" s="25">
        <f t="shared" si="26"/>
        <v>768.77623381906108</v>
      </c>
      <c r="EM17" s="28" t="s">
        <v>48</v>
      </c>
      <c r="EN17" s="32">
        <f t="shared" si="27"/>
        <v>32.502560623539473</v>
      </c>
      <c r="EO17" s="25">
        <f t="shared" si="36"/>
        <v>105.18414015954016</v>
      </c>
      <c r="EP17" s="4"/>
      <c r="EQ17" s="4"/>
      <c r="ER17" s="4"/>
    </row>
    <row r="18" spans="1:148" x14ac:dyDescent="0.3">
      <c r="A18">
        <f>N18*'Energy Calibration (2)'!$T$4+'Energy Calibration (2)'!$U$4</f>
        <v>913.65816393999307</v>
      </c>
      <c r="B18">
        <f t="shared" si="1"/>
        <v>0.91365816393999311</v>
      </c>
      <c r="D18" s="6">
        <v>7.571E-2</v>
      </c>
      <c r="E18" s="11">
        <f t="shared" si="2"/>
        <v>8.3272079062170073E-2</v>
      </c>
      <c r="F18" s="11"/>
      <c r="G18" s="6">
        <v>6.6250000000000003E-2</v>
      </c>
      <c r="H18" s="11">
        <f t="shared" si="3"/>
        <v>2.628968253968254E-2</v>
      </c>
      <c r="I18" s="11"/>
      <c r="J18" s="6">
        <v>7.5829999999999995E-2</v>
      </c>
      <c r="K18" s="11">
        <f t="shared" si="4"/>
        <v>8.1978378378378375E-2</v>
      </c>
      <c r="N18">
        <v>915</v>
      </c>
      <c r="O18" t="s">
        <v>78</v>
      </c>
      <c r="S18" s="2">
        <v>4.4840356953257301E-3</v>
      </c>
      <c r="T18" s="2">
        <v>1.6834214679913999E-4</v>
      </c>
      <c r="U18" s="2">
        <v>4.6609024587949098E-3</v>
      </c>
      <c r="V18" s="2">
        <v>1.40276679662896E-4</v>
      </c>
      <c r="W18" s="2"/>
      <c r="X18" s="2"/>
      <c r="Y18" s="2"/>
      <c r="Z18" s="2"/>
      <c r="AA18" s="2"/>
      <c r="AB18" s="2"/>
      <c r="AD18">
        <f>'Energy Efficiency Calibrati (2)'!$AP$4/(N18^'Energy Efficiency Calibrati (2)'!$AP$7)-'Energy Efficiency Calibrati (2)'!$AP$6/(N18^'Energy Efficiency Calibrati (2)'!$AP$5)</f>
        <v>7.3184439095106699E-3</v>
      </c>
      <c r="AE18">
        <f>'Energy Efficiency Calibrati (2)'!$AR$4/(N18^'Energy Efficiency Calibrati (2)'!$AP$7)-'Energy Efficiency Calibrati (2)'!$AR$6/(N18^'Energy Efficiency Calibrati (2)'!$AR$5)</f>
        <v>7.1016556056341393E-3</v>
      </c>
      <c r="AF18">
        <f>'Energy Efficiency Calibrati (2)'!$AS$4/(N18^'Energy Efficiency Calibrati (2)'!$AP$7)-'Energy Efficiency Calibrati (2)'!$AS$6/(N18^'Energy Efficiency Calibrati (2)'!$AS$5)</f>
        <v>7.5338040204703059E-3</v>
      </c>
      <c r="AG18">
        <f t="shared" si="5"/>
        <v>2.1607420741808327E-4</v>
      </c>
      <c r="AI18">
        <f>S18/$AD18</f>
        <v>0.61270343132622906</v>
      </c>
      <c r="AJ18">
        <f t="shared" si="6"/>
        <v>2.9263538883343123E-2</v>
      </c>
      <c r="AK18">
        <f>U18/$AD18</f>
        <v>0.63687069497626991</v>
      </c>
      <c r="AL18">
        <f t="shared" si="6"/>
        <v>2.685072635092588E-2</v>
      </c>
      <c r="AM18">
        <f>W18/$AD18</f>
        <v>0</v>
      </c>
      <c r="AO18">
        <f>Y18/$AD18</f>
        <v>0</v>
      </c>
      <c r="AQ18">
        <f>AA18/$AD18</f>
        <v>0</v>
      </c>
      <c r="AT18">
        <f t="shared" si="29"/>
        <v>1</v>
      </c>
      <c r="AU18">
        <f t="shared" si="29"/>
        <v>0.2</v>
      </c>
      <c r="AV18">
        <f t="shared" si="30"/>
        <v>6</v>
      </c>
      <c r="AW18">
        <f t="shared" si="30"/>
        <v>0.4</v>
      </c>
      <c r="AX18">
        <f t="shared" si="31"/>
        <v>0.4</v>
      </c>
      <c r="AY18">
        <f t="shared" si="31"/>
        <v>0.1</v>
      </c>
      <c r="BA18">
        <f>AQ18/EXP(AT18*H18)/EXP(AV18*E18)/6+5*AQ18/6</f>
        <v>0</v>
      </c>
      <c r="BB18">
        <f t="shared" si="7"/>
        <v>0.9128709291752769</v>
      </c>
      <c r="BC18">
        <f>AQ18/EXP(AT18*H18)/6+5*AQ18/6</f>
        <v>0</v>
      </c>
      <c r="BD18">
        <f t="shared" si="8"/>
        <v>0.9128709291752769</v>
      </c>
      <c r="BE18">
        <f>AQ18/EXP(AV18*E18)/EXP(AX18*K18)/6+5*AQ18/6</f>
        <v>0</v>
      </c>
      <c r="BF18">
        <f t="shared" si="9"/>
        <v>0.9128709291752769</v>
      </c>
      <c r="BG18">
        <f>AQ18/EXP(AX18*K18)/6+5*AQ18/6</f>
        <v>0</v>
      </c>
      <c r="BH18">
        <f t="shared" si="9"/>
        <v>0.9128709291752769</v>
      </c>
      <c r="BJ18">
        <f t="shared" si="10"/>
        <v>0.61270343132622906</v>
      </c>
      <c r="BK18">
        <f t="shared" si="11"/>
        <v>0.91333985352732217</v>
      </c>
      <c r="BL18">
        <f t="shared" si="12"/>
        <v>0.63687069497626991</v>
      </c>
      <c r="BM18">
        <f t="shared" si="11"/>
        <v>0.91326573068242611</v>
      </c>
      <c r="BN18">
        <f t="shared" si="13"/>
        <v>0</v>
      </c>
      <c r="BO18">
        <f t="shared" si="11"/>
        <v>0.9128709291752769</v>
      </c>
      <c r="BP18">
        <f t="shared" si="14"/>
        <v>0</v>
      </c>
      <c r="BQ18">
        <f t="shared" si="11"/>
        <v>0.9128709291752769</v>
      </c>
      <c r="BS18">
        <v>5.6314852213598598</v>
      </c>
      <c r="BT18">
        <v>6.4436362350148704</v>
      </c>
      <c r="BU18">
        <f t="shared" si="32"/>
        <v>0.01</v>
      </c>
      <c r="BW18">
        <f t="shared" si="15"/>
        <v>3.5865279066760474</v>
      </c>
      <c r="BX18">
        <f t="shared" si="16"/>
        <v>0</v>
      </c>
      <c r="BY18">
        <f t="shared" si="17"/>
        <v>5.1430464087438565</v>
      </c>
      <c r="CB18">
        <v>6.5836791826619896</v>
      </c>
      <c r="CC18">
        <v>7.6969045751979497</v>
      </c>
      <c r="CD18">
        <f t="shared" si="33"/>
        <v>0.01</v>
      </c>
      <c r="CF18">
        <f>BJ18-(BW18/CB18)</f>
        <v>6.7943000696329969E-2</v>
      </c>
      <c r="CG18">
        <f t="shared" si="18"/>
        <v>6.7943000696329969E-2</v>
      </c>
      <c r="CH18">
        <f t="shared" si="19"/>
        <v>0.98434412088409462</v>
      </c>
      <c r="CI18">
        <f>BN18-(BX18/CC18)</f>
        <v>0</v>
      </c>
      <c r="CJ18">
        <f t="shared" si="20"/>
        <v>0</v>
      </c>
      <c r="CK18">
        <f t="shared" si="21"/>
        <v>0</v>
      </c>
      <c r="CM18">
        <v>6.8749133884502998</v>
      </c>
      <c r="CN18">
        <v>7.6727265316865099</v>
      </c>
      <c r="CO18">
        <v>0.01</v>
      </c>
      <c r="CQ18">
        <f t="shared" si="22"/>
        <v>0.46710224513868692</v>
      </c>
      <c r="CR18">
        <f t="shared" si="23"/>
        <v>0</v>
      </c>
      <c r="CS18">
        <f t="shared" si="24"/>
        <v>6.7672806096155398</v>
      </c>
      <c r="CV18">
        <v>915</v>
      </c>
      <c r="CW18" t="s">
        <v>78</v>
      </c>
      <c r="CZ18">
        <v>26.2</v>
      </c>
      <c r="DA18">
        <v>0.8</v>
      </c>
      <c r="DG18">
        <f t="shared" si="34"/>
        <v>19.634397764925726</v>
      </c>
      <c r="DH18">
        <f>BW18/(CZ18/100)</f>
        <v>13.689037811740638</v>
      </c>
      <c r="DI18" t="s">
        <v>274</v>
      </c>
      <c r="DP18">
        <v>915</v>
      </c>
      <c r="DQ18" t="s">
        <v>78</v>
      </c>
      <c r="DT18">
        <v>26.2</v>
      </c>
      <c r="DU18">
        <v>0.8</v>
      </c>
      <c r="EA18">
        <f t="shared" si="35"/>
        <v>25.829372669978849</v>
      </c>
      <c r="EB18">
        <f>CQ18/(DT18/100)</f>
        <v>1.7828329967125454</v>
      </c>
      <c r="EC18" t="s">
        <v>274</v>
      </c>
      <c r="EL18" s="25">
        <f t="shared" si="26"/>
        <v>913.65816393999307</v>
      </c>
      <c r="EM18" s="28" t="s">
        <v>78</v>
      </c>
      <c r="EN18" s="35">
        <f t="shared" si="27"/>
        <v>13.689037811740638</v>
      </c>
      <c r="EO18" s="36">
        <f t="shared" si="36"/>
        <v>19.634397764925726</v>
      </c>
      <c r="EP18" s="37">
        <f t="shared" si="28"/>
        <v>1.7828329967125454</v>
      </c>
      <c r="EQ18" s="37">
        <f t="shared" si="37"/>
        <v>25.829372669978849</v>
      </c>
      <c r="ER18" s="37"/>
    </row>
    <row r="19" spans="1:148" x14ac:dyDescent="0.3">
      <c r="A19">
        <f>N19*'Energy Calibration (2)'!$T$4+'Energy Calibration (2)'!$U$4</f>
        <v>971.6109359883659</v>
      </c>
      <c r="B19">
        <f t="shared" si="1"/>
        <v>0.9716109359883659</v>
      </c>
      <c r="D19" s="6">
        <v>7.3499999999999996E-2</v>
      </c>
      <c r="E19" s="11">
        <f t="shared" si="2"/>
        <v>8.0841339467302861E-2</v>
      </c>
      <c r="F19" s="11"/>
      <c r="G19" s="6">
        <v>6.4310000000000006E-2</v>
      </c>
      <c r="H19" s="11">
        <f t="shared" si="3"/>
        <v>2.5519841269841272E-2</v>
      </c>
      <c r="I19" s="11"/>
      <c r="J19" s="6">
        <v>7.3630000000000001E-2</v>
      </c>
      <c r="K19" s="11">
        <f t="shared" si="4"/>
        <v>7.9600000000000004E-2</v>
      </c>
      <c r="N19">
        <v>973</v>
      </c>
      <c r="O19" t="s">
        <v>78</v>
      </c>
      <c r="S19" s="2">
        <v>3.46335667517758E-3</v>
      </c>
      <c r="T19" s="2">
        <v>1.47947264842121E-4</v>
      </c>
      <c r="U19" s="2">
        <v>3.9094163739529803E-3</v>
      </c>
      <c r="V19" s="2">
        <v>1.2847139332868501E-4</v>
      </c>
      <c r="W19" s="2"/>
      <c r="X19" s="2"/>
      <c r="Y19" s="2"/>
      <c r="Z19" s="2"/>
      <c r="AA19" s="2"/>
      <c r="AB19" s="2"/>
      <c r="AD19">
        <f>'Energy Efficiency Calibrati (2)'!$AP$4/(N19^'Energy Efficiency Calibrati (2)'!$AP$7)-'Energy Efficiency Calibrati (2)'!$AP$6/(N19^'Energy Efficiency Calibrati (2)'!$AP$5)</f>
        <v>6.8826464177157631E-3</v>
      </c>
      <c r="AE19">
        <f>'Energy Efficiency Calibrati (2)'!$AR$4/(N19^'Energy Efficiency Calibrati (2)'!$AP$7)-'Energy Efficiency Calibrati (2)'!$AR$6/(N19^'Energy Efficiency Calibrati (2)'!$AR$5)</f>
        <v>6.6785878068410685E-3</v>
      </c>
      <c r="AF19">
        <f>'Energy Efficiency Calibrati (2)'!$AS$4/(N19^'Energy Efficiency Calibrati (2)'!$AP$7)-'Energy Efficiency Calibrati (2)'!$AS$6/(N19^'Energy Efficiency Calibrati (2)'!$AS$5)</f>
        <v>7.0854989962697516E-3</v>
      </c>
      <c r="AG19">
        <f t="shared" si="5"/>
        <v>2.0345559471434153E-4</v>
      </c>
      <c r="AI19">
        <f>S19/$AD19</f>
        <v>0.50320130731443424</v>
      </c>
      <c r="AJ19">
        <f t="shared" si="6"/>
        <v>2.6140570995861825E-2</v>
      </c>
      <c r="AK19">
        <f>U19/$AD19</f>
        <v>0.56801063670657825</v>
      </c>
      <c r="AL19">
        <f t="shared" si="6"/>
        <v>2.5106754015485046E-2</v>
      </c>
      <c r="AM19">
        <f>W19/$AD19</f>
        <v>0</v>
      </c>
      <c r="AO19">
        <f>Y19/$AD19</f>
        <v>0</v>
      </c>
      <c r="AQ19">
        <f>AA19/$AD19</f>
        <v>0</v>
      </c>
      <c r="AT19">
        <f t="shared" si="29"/>
        <v>1</v>
      </c>
      <c r="AU19">
        <f t="shared" si="29"/>
        <v>0.2</v>
      </c>
      <c r="AV19">
        <f t="shared" si="30"/>
        <v>6</v>
      </c>
      <c r="AW19">
        <f t="shared" si="30"/>
        <v>0.4</v>
      </c>
      <c r="AX19">
        <f t="shared" si="31"/>
        <v>0.4</v>
      </c>
      <c r="AY19">
        <f t="shared" si="31"/>
        <v>0.1</v>
      </c>
      <c r="BA19">
        <f>AQ19/EXP(AT19*H19)/EXP(AV19*E19)/6+5*AQ19/6</f>
        <v>0</v>
      </c>
      <c r="BB19">
        <f t="shared" si="7"/>
        <v>0.9128709291752769</v>
      </c>
      <c r="BC19">
        <f>AQ19/EXP(AT19*H19)/6+5*AQ19/6</f>
        <v>0</v>
      </c>
      <c r="BD19">
        <f t="shared" si="8"/>
        <v>0.9128709291752769</v>
      </c>
      <c r="BE19">
        <f>AQ19/EXP(AV19*E19)/EXP(AX19*K19)/6+5*AQ19/6</f>
        <v>0</v>
      </c>
      <c r="BF19">
        <f t="shared" si="9"/>
        <v>0.9128709291752769</v>
      </c>
      <c r="BG19">
        <f>AQ19/EXP(AX19*K19)/6+5*AQ19/6</f>
        <v>0</v>
      </c>
      <c r="BH19">
        <f t="shared" si="9"/>
        <v>0.9128709291752769</v>
      </c>
      <c r="BJ19">
        <f t="shared" si="10"/>
        <v>0.50320130731443424</v>
      </c>
      <c r="BK19">
        <f t="shared" si="11"/>
        <v>0.91324512743585062</v>
      </c>
      <c r="BL19">
        <f t="shared" si="12"/>
        <v>0.56801063670657825</v>
      </c>
      <c r="BM19">
        <f t="shared" si="11"/>
        <v>0.91321612032997279</v>
      </c>
      <c r="BN19">
        <f t="shared" si="13"/>
        <v>0</v>
      </c>
      <c r="BO19">
        <f t="shared" si="11"/>
        <v>0.9128709291752769</v>
      </c>
      <c r="BP19">
        <f t="shared" si="14"/>
        <v>0</v>
      </c>
      <c r="BQ19">
        <f t="shared" si="11"/>
        <v>0.9128709291752769</v>
      </c>
      <c r="BS19">
        <v>5.6299218575501397</v>
      </c>
      <c r="BT19">
        <v>6.4414438548027597</v>
      </c>
      <c r="BU19">
        <f t="shared" si="32"/>
        <v>0.01</v>
      </c>
      <c r="BW19">
        <f t="shared" si="15"/>
        <v>3.1978554989153367</v>
      </c>
      <c r="BX19">
        <f t="shared" si="16"/>
        <v>0</v>
      </c>
      <c r="BY19">
        <f t="shared" si="17"/>
        <v>5.141338534180016</v>
      </c>
      <c r="CB19">
        <v>6.5585853010969402</v>
      </c>
      <c r="CC19">
        <v>7.6627630431232001</v>
      </c>
      <c r="CD19">
        <f t="shared" si="33"/>
        <v>0.01</v>
      </c>
      <c r="CF19">
        <f>BJ19-(BW19/CB19)</f>
        <v>1.5618185024252662E-2</v>
      </c>
      <c r="CG19">
        <f t="shared" si="18"/>
        <v>1.5618185024252662E-2</v>
      </c>
      <c r="CH19">
        <f t="shared" si="19"/>
        <v>0.85363116037750164</v>
      </c>
      <c r="CI19">
        <f>BN19-(BX19/CC19)</f>
        <v>0</v>
      </c>
      <c r="CJ19">
        <f t="shared" si="20"/>
        <v>0</v>
      </c>
      <c r="CK19">
        <f t="shared" si="21"/>
        <v>0</v>
      </c>
      <c r="CM19">
        <v>6.8044957401955903</v>
      </c>
      <c r="CN19">
        <v>7.5828613500857998</v>
      </c>
      <c r="CO19">
        <v>0.01</v>
      </c>
      <c r="CQ19">
        <f t="shared" si="22"/>
        <v>0.1062738734671138</v>
      </c>
      <c r="CR19">
        <f t="shared" si="23"/>
        <v>0</v>
      </c>
      <c r="CS19">
        <f t="shared" si="24"/>
        <v>5.8085295965866655</v>
      </c>
      <c r="CV19">
        <v>973</v>
      </c>
      <c r="CW19" t="s">
        <v>78</v>
      </c>
      <c r="CZ19">
        <v>15.9</v>
      </c>
      <c r="DA19">
        <v>0.5</v>
      </c>
      <c r="DG19">
        <f t="shared" si="34"/>
        <v>32.341647178271863</v>
      </c>
      <c r="DH19">
        <f>BW19/(CZ19/100)</f>
        <v>20.112298735316582</v>
      </c>
      <c r="DI19" t="s">
        <v>274</v>
      </c>
      <c r="DJ19" t="s">
        <v>77</v>
      </c>
      <c r="DK19">
        <f>DH13</f>
        <v>-7.3986901648597225E-3</v>
      </c>
      <c r="DL19" t="s">
        <v>285</v>
      </c>
      <c r="DP19">
        <v>973</v>
      </c>
      <c r="DQ19" t="s">
        <v>78</v>
      </c>
      <c r="DT19">
        <v>15.9</v>
      </c>
      <c r="DU19">
        <v>0.5</v>
      </c>
      <c r="EA19">
        <f t="shared" si="35"/>
        <v>36.531638729453945</v>
      </c>
      <c r="EB19">
        <f>CQ19/(DT19/100)</f>
        <v>0.66838914130260252</v>
      </c>
      <c r="EC19" t="s">
        <v>274</v>
      </c>
      <c r="ED19" t="s">
        <v>77</v>
      </c>
      <c r="EE19">
        <f>EB13</f>
        <v>0.77542634310067271</v>
      </c>
      <c r="EF19" t="s">
        <v>284</v>
      </c>
      <c r="EL19" s="25">
        <f t="shared" si="26"/>
        <v>971.6109359883659</v>
      </c>
      <c r="EM19" s="28" t="s">
        <v>78</v>
      </c>
      <c r="EN19" s="35">
        <f t="shared" si="27"/>
        <v>20.112298735316582</v>
      </c>
      <c r="EO19" s="36">
        <f t="shared" si="36"/>
        <v>32.341647178271863</v>
      </c>
      <c r="EP19" s="37">
        <f t="shared" si="28"/>
        <v>0.66838914130260252</v>
      </c>
      <c r="EQ19" s="37">
        <f t="shared" si="37"/>
        <v>36.531638729453945</v>
      </c>
      <c r="ER19" s="37"/>
    </row>
    <row r="20" spans="1:148" x14ac:dyDescent="0.3">
      <c r="A20">
        <f>N20*'Energy Calibration (2)'!$T$4+'Energy Calibration (2)'!$U$4</f>
        <v>1122.4879804591296</v>
      </c>
      <c r="B20">
        <f t="shared" si="1"/>
        <v>1.1224879804591297</v>
      </c>
      <c r="D20" s="6">
        <v>6.8449999999999997E-2</v>
      </c>
      <c r="E20" s="11">
        <f t="shared" si="2"/>
        <v>7.5286934510705866E-2</v>
      </c>
      <c r="F20" s="11"/>
      <c r="G20" s="6">
        <v>5.987E-2</v>
      </c>
      <c r="H20" s="11">
        <f t="shared" si="3"/>
        <v>2.3757936507936509E-2</v>
      </c>
      <c r="I20" s="11"/>
      <c r="J20" s="6">
        <v>6.8629999999999997E-2</v>
      </c>
      <c r="K20" s="11">
        <f t="shared" si="4"/>
        <v>7.4194594594594585E-2</v>
      </c>
      <c r="N20">
        <v>1124</v>
      </c>
      <c r="O20" t="s">
        <v>48</v>
      </c>
      <c r="S20" s="2">
        <v>2.9419571757210998E-3</v>
      </c>
      <c r="T20" s="2">
        <v>1.3635670684323501E-4</v>
      </c>
      <c r="U20" s="2">
        <v>3.6138881383409802E-3</v>
      </c>
      <c r="V20" s="2">
        <v>1.2352015366056201E-4</v>
      </c>
      <c r="W20" s="2"/>
      <c r="X20" s="2"/>
      <c r="Y20" s="2"/>
      <c r="Z20" s="2"/>
      <c r="AA20" s="2"/>
      <c r="AB20" s="2"/>
      <c r="AD20">
        <f>'Energy Efficiency Calibrati (2)'!$AP$4/(N20^'Energy Efficiency Calibrati (2)'!$AP$7)-'Energy Efficiency Calibrati (2)'!$AP$6/(N20^'Energy Efficiency Calibrati (2)'!$AP$5)</f>
        <v>5.9587610614070989E-3</v>
      </c>
      <c r="AE20">
        <f>'Energy Efficiency Calibrati (2)'!$AR$4/(N20^'Energy Efficiency Calibrati (2)'!$AP$7)-'Energy Efficiency Calibrati (2)'!$AR$6/(N20^'Energy Efficiency Calibrati (2)'!$AR$5)</f>
        <v>5.7817949389506237E-3</v>
      </c>
      <c r="AF20">
        <f>'Energy Efficiency Calibrati (2)'!$AS$4/(N20^'Energy Efficiency Calibrati (2)'!$AP$7)-'Energy Efficiency Calibrati (2)'!$AS$6/(N20^'Energy Efficiency Calibrati (2)'!$AS$5)</f>
        <v>6.1349168905898456E-3</v>
      </c>
      <c r="AG20">
        <f t="shared" si="5"/>
        <v>1.7656097581961096E-4</v>
      </c>
      <c r="AI20">
        <f>S20/$AD20</f>
        <v>0.49371960805328674</v>
      </c>
      <c r="AJ20">
        <f t="shared" si="6"/>
        <v>2.7159933917203293E-2</v>
      </c>
      <c r="AK20">
        <f>U20/$AD20</f>
        <v>0.6064831432404505</v>
      </c>
      <c r="AL20">
        <f t="shared" si="6"/>
        <v>2.743416222574243E-2</v>
      </c>
      <c r="AM20">
        <f>W20/$AD20</f>
        <v>0</v>
      </c>
      <c r="AO20">
        <f>Y20/$AD20</f>
        <v>0</v>
      </c>
      <c r="AQ20">
        <f>AA20/$AD20</f>
        <v>0</v>
      </c>
      <c r="AT20">
        <f t="shared" si="29"/>
        <v>1</v>
      </c>
      <c r="AU20">
        <f t="shared" si="29"/>
        <v>0.2</v>
      </c>
      <c r="AV20">
        <f t="shared" si="30"/>
        <v>6</v>
      </c>
      <c r="AW20">
        <f t="shared" si="30"/>
        <v>0.4</v>
      </c>
      <c r="AX20">
        <f t="shared" si="31"/>
        <v>0.4</v>
      </c>
      <c r="AY20">
        <f t="shared" si="31"/>
        <v>0.1</v>
      </c>
      <c r="BA20">
        <f>AQ20/EXP(AT20*H20)/EXP(AV20*E20)/6+5*AQ20/6</f>
        <v>0</v>
      </c>
      <c r="BB20">
        <f t="shared" si="7"/>
        <v>0.9128709291752769</v>
      </c>
      <c r="BC20">
        <f>AQ20/EXP(AT20*H20)/6+5*AQ20/6</f>
        <v>0</v>
      </c>
      <c r="BD20">
        <f t="shared" si="8"/>
        <v>0.9128709291752769</v>
      </c>
      <c r="BE20">
        <f>AQ20/EXP(AV20*E20)/EXP(AX20*K20)/6+5*AQ20/6</f>
        <v>0</v>
      </c>
      <c r="BF20">
        <f t="shared" si="9"/>
        <v>0.9128709291752769</v>
      </c>
      <c r="BG20">
        <f>AQ20/EXP(AX20*K20)/6+5*AQ20/6</f>
        <v>0</v>
      </c>
      <c r="BH20">
        <f t="shared" si="9"/>
        <v>0.9128709291752769</v>
      </c>
      <c r="BJ20">
        <f t="shared" si="10"/>
        <v>0.49371960805328674</v>
      </c>
      <c r="BK20">
        <f t="shared" si="11"/>
        <v>0.91327487392554507</v>
      </c>
      <c r="BL20">
        <f t="shared" si="12"/>
        <v>0.6064831432404505</v>
      </c>
      <c r="BM20">
        <f t="shared" si="11"/>
        <v>0.91328307035133516</v>
      </c>
      <c r="BN20">
        <f t="shared" si="13"/>
        <v>0</v>
      </c>
      <c r="BO20">
        <f t="shared" si="11"/>
        <v>0.9128709291752769</v>
      </c>
      <c r="BP20">
        <f t="shared" si="14"/>
        <v>0</v>
      </c>
      <c r="BQ20">
        <f t="shared" si="11"/>
        <v>0.9128709291752769</v>
      </c>
      <c r="BS20">
        <v>5.6263448571710697</v>
      </c>
      <c r="BT20">
        <v>6.4364628432674102</v>
      </c>
      <c r="BU20">
        <f t="shared" si="32"/>
        <v>0.01</v>
      </c>
      <c r="BW20">
        <f t="shared" si="15"/>
        <v>3.4122833139318538</v>
      </c>
      <c r="BX20">
        <f t="shared" si="16"/>
        <v>0</v>
      </c>
      <c r="BY20">
        <f t="shared" si="17"/>
        <v>5.1384490851269309</v>
      </c>
      <c r="CB20">
        <v>6.5004168957486996</v>
      </c>
      <c r="CC20">
        <v>7.5838281194961299</v>
      </c>
      <c r="CD20">
        <f t="shared" si="33"/>
        <v>0.01</v>
      </c>
      <c r="CF20">
        <f>BJ20-(BW20/CB20)</f>
        <v>-3.1213387577116891E-2</v>
      </c>
      <c r="CG20">
        <f t="shared" si="18"/>
        <v>0</v>
      </c>
      <c r="CH20">
        <f t="shared" si="19"/>
        <v>0.89155389695705423</v>
      </c>
      <c r="CI20">
        <f>BN20-(BX20/CC20)</f>
        <v>0</v>
      </c>
      <c r="CJ20">
        <f t="shared" si="20"/>
        <v>0</v>
      </c>
      <c r="CK20">
        <f t="shared" si="21"/>
        <v>0</v>
      </c>
      <c r="CM20">
        <v>6.6446647766179598</v>
      </c>
      <c r="CN20">
        <v>7.3798347414006296</v>
      </c>
      <c r="CO20">
        <v>0.01</v>
      </c>
      <c r="CQ20">
        <f t="shared" si="22"/>
        <v>0</v>
      </c>
      <c r="CR20">
        <f t="shared" si="23"/>
        <v>0</v>
      </c>
      <c r="CV20">
        <v>1124</v>
      </c>
      <c r="CW20" t="s">
        <v>48</v>
      </c>
      <c r="CZ20">
        <v>14.91</v>
      </c>
      <c r="DA20">
        <v>0.03</v>
      </c>
      <c r="DG20">
        <f t="shared" si="34"/>
        <v>34.463136633020063</v>
      </c>
      <c r="DH20">
        <f>BW20/(CZ20/100)</f>
        <v>22.885870650113034</v>
      </c>
      <c r="DP20">
        <v>1124</v>
      </c>
      <c r="DQ20" t="s">
        <v>48</v>
      </c>
      <c r="DT20">
        <v>14.91</v>
      </c>
      <c r="DU20">
        <v>0.03</v>
      </c>
      <c r="EB20">
        <f>CQ20/(DT20/100)</f>
        <v>0</v>
      </c>
      <c r="EL20" s="25">
        <f t="shared" si="26"/>
        <v>1122.4879804591296</v>
      </c>
      <c r="EM20" s="28" t="s">
        <v>48</v>
      </c>
      <c r="EN20" s="32">
        <f t="shared" si="27"/>
        <v>22.885870650113034</v>
      </c>
      <c r="EO20" s="25">
        <f t="shared" si="36"/>
        <v>34.463136633020063</v>
      </c>
      <c r="EP20" s="4"/>
      <c r="EQ20" s="4"/>
      <c r="ER20" s="4"/>
    </row>
    <row r="21" spans="1:148" x14ac:dyDescent="0.3">
      <c r="A21">
        <f>N21*'Energy Calibration (2)'!$T$4+'Energy Calibration (2)'!$U$4</f>
        <v>1242.390267455763</v>
      </c>
      <c r="B21">
        <f t="shared" si="1"/>
        <v>1.242390267455763</v>
      </c>
      <c r="D21" s="6">
        <v>6.5009999999999998E-2</v>
      </c>
      <c r="E21" s="11">
        <f t="shared" si="2"/>
        <v>7.1503339847202169E-2</v>
      </c>
      <c r="F21" s="11"/>
      <c r="G21" s="6">
        <v>5.6869999999999997E-2</v>
      </c>
      <c r="H21" s="11">
        <f t="shared" si="3"/>
        <v>2.2567460317460316E-2</v>
      </c>
      <c r="I21" s="11"/>
      <c r="J21" s="6">
        <v>6.515E-2</v>
      </c>
      <c r="K21" s="11">
        <f t="shared" si="4"/>
        <v>7.0432432432432426E-2</v>
      </c>
      <c r="N21">
        <v>1244</v>
      </c>
      <c r="O21" t="s">
        <v>48</v>
      </c>
      <c r="S21" s="2"/>
      <c r="T21" s="2"/>
      <c r="U21" s="2">
        <v>2.1214705485003999E-3</v>
      </c>
      <c r="V21" s="2">
        <v>9.4638745319929903E-5</v>
      </c>
      <c r="W21" s="2"/>
      <c r="X21" s="2"/>
      <c r="Y21" s="2"/>
      <c r="Z21" s="2"/>
      <c r="AA21" s="2"/>
      <c r="AB21" s="2"/>
      <c r="AD21">
        <f>'Energy Efficiency Calibrati (2)'!$AP$4/(N21^'Energy Efficiency Calibrati (2)'!$AP$7)-'Energy Efficiency Calibrati (2)'!$AP$6/(N21^'Energy Efficiency Calibrati (2)'!$AP$5)</f>
        <v>5.3843237919388668E-3</v>
      </c>
      <c r="AE21">
        <f>'Energy Efficiency Calibrati (2)'!$AR$4/(N21^'Energy Efficiency Calibrati (2)'!$AP$7)-'Energy Efficiency Calibrati (2)'!$AR$6/(N21^'Energy Efficiency Calibrati (2)'!$AR$5)</f>
        <v>5.2242685127755432E-3</v>
      </c>
      <c r="AF21">
        <f>'Energy Efficiency Calibrati (2)'!$AS$4/(N21^'Energy Efficiency Calibrati (2)'!$AP$7)-'Energy Efficiency Calibrati (2)'!$AS$6/(N21^'Energy Efficiency Calibrati (2)'!$AS$5)</f>
        <v>5.543766851391534E-3</v>
      </c>
      <c r="AG21">
        <f t="shared" si="5"/>
        <v>1.597491693079954E-4</v>
      </c>
      <c r="AI21">
        <f>S21/$AD21</f>
        <v>0</v>
      </c>
      <c r="AK21">
        <f>U21/$AD21</f>
        <v>0.39400872430379402</v>
      </c>
      <c r="AL21">
        <f>AK21*SQRT((V21/U21)^2+($AG21/$AD21)^2)</f>
        <v>2.1109153663496551E-2</v>
      </c>
      <c r="AM21">
        <f>W21/$AD21</f>
        <v>0</v>
      </c>
      <c r="AO21">
        <f>Y21/$AD21</f>
        <v>0</v>
      </c>
      <c r="AQ21">
        <f>AA21/$AD21</f>
        <v>0</v>
      </c>
      <c r="AT21">
        <f t="shared" si="29"/>
        <v>1</v>
      </c>
      <c r="AU21">
        <f t="shared" si="29"/>
        <v>0.2</v>
      </c>
      <c r="AV21">
        <f t="shared" si="30"/>
        <v>6</v>
      </c>
      <c r="AW21">
        <f t="shared" si="30"/>
        <v>0.4</v>
      </c>
      <c r="AX21">
        <f t="shared" si="31"/>
        <v>0.4</v>
      </c>
      <c r="AY21">
        <f t="shared" si="31"/>
        <v>0.1</v>
      </c>
      <c r="BA21">
        <f>AQ21/EXP(AT21*H21)/EXP(AV21*E21)/6+5*AQ21/6</f>
        <v>0</v>
      </c>
      <c r="BB21">
        <f t="shared" si="7"/>
        <v>0.9128709291752769</v>
      </c>
      <c r="BC21">
        <f>AQ21/EXP(AT21*H21)/6+5*AQ21/6</f>
        <v>0</v>
      </c>
      <c r="BD21">
        <f t="shared" si="8"/>
        <v>0.9128709291752769</v>
      </c>
      <c r="BE21">
        <f>AQ21/EXP(AV21*E21)/EXP(AX21*K21)/6+5*AQ21/6</f>
        <v>0</v>
      </c>
      <c r="BF21">
        <f t="shared" si="9"/>
        <v>0.9128709291752769</v>
      </c>
      <c r="BG21">
        <f>AQ21/EXP(AX21*K21)/6+5*AQ21/6</f>
        <v>0</v>
      </c>
      <c r="BH21">
        <f t="shared" si="9"/>
        <v>0.9128709291752769</v>
      </c>
      <c r="BJ21">
        <f t="shared" si="10"/>
        <v>0</v>
      </c>
      <c r="BK21">
        <f t="shared" si="11"/>
        <v>0.9128709291752769</v>
      </c>
      <c r="BL21">
        <f t="shared" si="12"/>
        <v>0.39400872430379402</v>
      </c>
      <c r="BM21">
        <f t="shared" si="11"/>
        <v>0.91311495974040557</v>
      </c>
      <c r="BN21">
        <f t="shared" si="13"/>
        <v>0</v>
      </c>
      <c r="BO21">
        <f t="shared" si="11"/>
        <v>0.9128709291752769</v>
      </c>
      <c r="BP21">
        <f t="shared" si="14"/>
        <v>0</v>
      </c>
      <c r="BQ21">
        <f t="shared" si="11"/>
        <v>0.9128709291752769</v>
      </c>
      <c r="BS21">
        <v>5.6239287525268402</v>
      </c>
      <c r="BT21">
        <v>6.4329974286735903</v>
      </c>
      <c r="BU21">
        <f t="shared" si="32"/>
        <v>0.01</v>
      </c>
      <c r="BW21">
        <f t="shared" si="15"/>
        <v>2.2158769933585281</v>
      </c>
      <c r="BX21">
        <f t="shared" si="16"/>
        <v>0</v>
      </c>
      <c r="BY21">
        <f t="shared" si="17"/>
        <v>5.1352949879749845</v>
      </c>
      <c r="CB21">
        <v>6.4601445308245999</v>
      </c>
      <c r="CC21">
        <v>7.5292096054453896</v>
      </c>
      <c r="CD21">
        <f t="shared" si="33"/>
        <v>0.01</v>
      </c>
      <c r="CF21">
        <f>BJ21-(BW21/CB21)</f>
        <v>-0.3430073402824757</v>
      </c>
      <c r="CG21">
        <f t="shared" si="18"/>
        <v>0</v>
      </c>
      <c r="CH21">
        <f t="shared" si="19"/>
        <v>0.48508563262100035</v>
      </c>
      <c r="CI21">
        <f>BN21-(BX21/CC21)</f>
        <v>0</v>
      </c>
      <c r="CJ21">
        <f t="shared" si="20"/>
        <v>0</v>
      </c>
      <c r="CK21">
        <f t="shared" si="21"/>
        <v>0</v>
      </c>
      <c r="CM21">
        <v>6.5366937030924799</v>
      </c>
      <c r="CN21">
        <v>7.2432310115784704</v>
      </c>
      <c r="CO21">
        <v>0.01</v>
      </c>
      <c r="CQ21">
        <f t="shared" si="22"/>
        <v>0</v>
      </c>
      <c r="CR21">
        <f t="shared" si="23"/>
        <v>0</v>
      </c>
      <c r="CV21">
        <v>1244</v>
      </c>
      <c r="CW21" t="s">
        <v>48</v>
      </c>
      <c r="CZ21">
        <v>5.8310000000000004</v>
      </c>
      <c r="DA21">
        <v>1.4E-2</v>
      </c>
      <c r="DG21">
        <f t="shared" si="34"/>
        <v>88.068903170806408</v>
      </c>
      <c r="DH21">
        <f>BW21/(CZ21/100)</f>
        <v>38.001663408652512</v>
      </c>
      <c r="DI21" t="s">
        <v>274</v>
      </c>
      <c r="DP21">
        <v>1244</v>
      </c>
      <c r="DQ21" t="s">
        <v>48</v>
      </c>
      <c r="DT21">
        <v>5.8310000000000004</v>
      </c>
      <c r="DU21">
        <v>1.4E-2</v>
      </c>
      <c r="EB21">
        <f>CQ21/(DT21/100)</f>
        <v>0</v>
      </c>
      <c r="EL21" s="25">
        <f t="shared" si="26"/>
        <v>1242.390267455763</v>
      </c>
      <c r="EM21" s="28" t="s">
        <v>48</v>
      </c>
      <c r="EN21" s="35">
        <f t="shared" si="27"/>
        <v>38.001663408652512</v>
      </c>
      <c r="EO21" s="36">
        <f t="shared" si="36"/>
        <v>88.068903170806408</v>
      </c>
      <c r="EP21" s="4"/>
      <c r="EQ21" s="4"/>
      <c r="ER21" s="4"/>
    </row>
    <row r="22" spans="1:148" x14ac:dyDescent="0.3">
      <c r="A22">
        <f>N22*'Energy Calibration (2)'!$T$4+'Energy Calibration (2)'!$U$4</f>
        <v>1464.2094983995346</v>
      </c>
      <c r="B22">
        <f t="shared" si="1"/>
        <v>1.4642094983995346</v>
      </c>
      <c r="D22" s="6">
        <v>5.9720000000000002E-2</v>
      </c>
      <c r="E22" s="11">
        <f t="shared" si="2"/>
        <v>6.568496316989561E-2</v>
      </c>
      <c r="F22" s="11"/>
      <c r="G22" s="6">
        <v>5.228E-2</v>
      </c>
      <c r="H22" s="11">
        <f t="shared" si="3"/>
        <v>2.0746031746031745E-2</v>
      </c>
      <c r="I22" s="11"/>
      <c r="J22" s="6">
        <v>5.985E-2</v>
      </c>
      <c r="K22" s="11">
        <f t="shared" si="4"/>
        <v>6.4702702702702702E-2</v>
      </c>
      <c r="N22">
        <v>1466</v>
      </c>
      <c r="O22" t="s">
        <v>75</v>
      </c>
      <c r="S22" s="2">
        <v>1.89283818287534E-2</v>
      </c>
      <c r="T22" s="2">
        <v>3.4587173679783898E-4</v>
      </c>
      <c r="U22" s="2">
        <v>1.96906241556336E-2</v>
      </c>
      <c r="V22" s="2">
        <v>2.88323613195147E-4</v>
      </c>
      <c r="W22" s="2">
        <v>4.5041232376483997E-3</v>
      </c>
      <c r="X22" s="2">
        <v>2.33371128456612E-4</v>
      </c>
      <c r="Y22" s="2">
        <v>4.6004362482649202E-3</v>
      </c>
      <c r="Z22" s="2">
        <v>2.4660926837434901E-4</v>
      </c>
      <c r="AA22" s="2">
        <v>4.4012078395624403E-3</v>
      </c>
      <c r="AB22" s="2">
        <v>1.3383158331492799E-4</v>
      </c>
      <c r="AD22">
        <f>'Energy Efficiency Calibrati (2)'!$AP$4/(N22^'Energy Efficiency Calibrati (2)'!$AP$7)-'Energy Efficiency Calibrati (2)'!$AP$6/(N22^'Energy Efficiency Calibrati (2)'!$AP$5)</f>
        <v>4.5693405886341847E-3</v>
      </c>
      <c r="AE22">
        <f>'Energy Efficiency Calibrati (2)'!$AR$4/(N22^'Energy Efficiency Calibrati (2)'!$AP$7)-'Energy Efficiency Calibrati (2)'!$AR$6/(N22^'Energy Efficiency Calibrati (2)'!$AR$5)</f>
        <v>4.4333535127237681E-3</v>
      </c>
      <c r="AF22">
        <f>'Energy Efficiency Calibrati (2)'!$AS$4/(N22^'Energy Efficiency Calibrati (2)'!$AP$7)-'Energy Efficiency Calibrati (2)'!$AS$6/(N22^'Energy Efficiency Calibrati (2)'!$AS$5)</f>
        <v>4.7049391922593794E-3</v>
      </c>
      <c r="AG22">
        <f t="shared" si="5"/>
        <v>1.3579283976780567E-4</v>
      </c>
      <c r="AI22">
        <f>S22/$AD22</f>
        <v>4.1424755851721828</v>
      </c>
      <c r="AJ22">
        <f t="shared" si="6"/>
        <v>0.14451628196784636</v>
      </c>
      <c r="AK22">
        <f>U22/$AD22</f>
        <v>4.3092922870779695</v>
      </c>
      <c r="AL22">
        <f t="shared" si="6"/>
        <v>0.1427659531247068</v>
      </c>
      <c r="AM22">
        <f>W22/$AD22</f>
        <v>0.98572718541751803</v>
      </c>
      <c r="AN22">
        <f t="shared" si="6"/>
        <v>5.8878026753937177E-2</v>
      </c>
      <c r="AO22">
        <f>Y22/$AD22</f>
        <v>1.0068052838320005</v>
      </c>
      <c r="AP22">
        <f t="shared" si="6"/>
        <v>6.1709345810076623E-2</v>
      </c>
      <c r="AQ22">
        <f>AA22/$AD22</f>
        <v>0.96320415477673971</v>
      </c>
      <c r="AR22">
        <f t="shared" si="6"/>
        <v>4.0953924292335672E-2</v>
      </c>
      <c r="AT22">
        <f t="shared" si="29"/>
        <v>1</v>
      </c>
      <c r="AU22">
        <f t="shared" si="29"/>
        <v>0.2</v>
      </c>
      <c r="AV22">
        <f t="shared" si="30"/>
        <v>6</v>
      </c>
      <c r="AW22">
        <f t="shared" si="30"/>
        <v>0.4</v>
      </c>
      <c r="AX22">
        <f t="shared" si="31"/>
        <v>0.4</v>
      </c>
      <c r="AY22">
        <f t="shared" si="31"/>
        <v>0.1</v>
      </c>
      <c r="BA22">
        <f>AQ22/EXP(AT22*H22)/EXP(AV22*E22)/6+5*AQ22/6</f>
        <v>0.90869249881980851</v>
      </c>
      <c r="BB22">
        <f t="shared" si="7"/>
        <v>0.96929888039866174</v>
      </c>
      <c r="BC22">
        <f>AQ22/EXP(AT22*H22)/6+5*AQ22/6</f>
        <v>0.95990801986098484</v>
      </c>
      <c r="BD22">
        <f t="shared" si="8"/>
        <v>0.91645875343077188</v>
      </c>
      <c r="BE22">
        <f>AQ22/EXP(AV22*E22)/EXP(AX22*K22)/6+5*AQ22/6</f>
        <v>0.90814946416818954</v>
      </c>
      <c r="BF22">
        <f t="shared" si="9"/>
        <v>0.96830718209935218</v>
      </c>
      <c r="BG22">
        <f>AQ22/EXP(AX22*K22)/6+5*AQ22/6</f>
        <v>0.95910266507194331</v>
      </c>
      <c r="BH22">
        <f t="shared" si="9"/>
        <v>0.96830718209935218</v>
      </c>
      <c r="BJ22">
        <f t="shared" si="10"/>
        <v>3.2337830863523744</v>
      </c>
      <c r="BK22">
        <f t="shared" si="11"/>
        <v>0.98001289547429393</v>
      </c>
      <c r="BL22">
        <f t="shared" si="12"/>
        <v>3.3493842672169847</v>
      </c>
      <c r="BM22">
        <f t="shared" si="11"/>
        <v>0.9275121369079169</v>
      </c>
      <c r="BN22">
        <f t="shared" si="13"/>
        <v>7.7577721249328491E-2</v>
      </c>
      <c r="BO22">
        <f t="shared" si="11"/>
        <v>0.97009557309557148</v>
      </c>
      <c r="BP22">
        <f t="shared" si="14"/>
        <v>4.7702618760057214E-2</v>
      </c>
      <c r="BQ22">
        <f t="shared" si="11"/>
        <v>0.97027153017363932</v>
      </c>
      <c r="BS22">
        <v>5.62023334991762</v>
      </c>
      <c r="BT22">
        <v>6.4277218060694601</v>
      </c>
      <c r="BU22">
        <f t="shared" si="32"/>
        <v>0.01</v>
      </c>
      <c r="BW22">
        <f t="shared" si="15"/>
        <v>18.824321160302286</v>
      </c>
      <c r="BX22">
        <f t="shared" si="16"/>
        <v>0.30661916281063784</v>
      </c>
      <c r="BY22">
        <f t="shared" si="17"/>
        <v>5.2129422465959623</v>
      </c>
      <c r="BZ22">
        <f t="shared" si="38"/>
        <v>6.2366354905488119</v>
      </c>
      <c r="CB22">
        <v>6.3971410657191399</v>
      </c>
      <c r="CC22">
        <v>7.4440339466543799</v>
      </c>
      <c r="CD22">
        <f t="shared" si="33"/>
        <v>0.01</v>
      </c>
      <c r="CF22">
        <f>BJ22-(BW22/CB22)</f>
        <v>0.29116841412361127</v>
      </c>
      <c r="CG22">
        <f t="shared" si="18"/>
        <v>0.29116841412361127</v>
      </c>
      <c r="CH22">
        <f t="shared" si="19"/>
        <v>5.2702291475808396</v>
      </c>
      <c r="CI22">
        <f>BN22-(BX22/CC22)</f>
        <v>3.638780123983637E-2</v>
      </c>
      <c r="CJ22">
        <f t="shared" si="20"/>
        <v>3.638780123983637E-2</v>
      </c>
      <c r="CK22">
        <f t="shared" si="21"/>
        <v>9.7012998381738672E-2</v>
      </c>
      <c r="CM22">
        <v>6.3720755858021301</v>
      </c>
      <c r="CN22">
        <v>7.0361109370838202</v>
      </c>
      <c r="CO22">
        <v>0.01</v>
      </c>
      <c r="CQ22">
        <f t="shared" si="22"/>
        <v>1.8553471429937876</v>
      </c>
      <c r="CR22">
        <f t="shared" si="23"/>
        <v>0.25602860628004487</v>
      </c>
      <c r="CS22">
        <f t="shared" si="24"/>
        <v>33.582298609108435</v>
      </c>
      <c r="CT22">
        <f t="shared" si="25"/>
        <v>0.68259431594126774</v>
      </c>
      <c r="CV22">
        <v>1466</v>
      </c>
      <c r="CW22" t="s">
        <v>75</v>
      </c>
      <c r="CZ22">
        <v>10.55</v>
      </c>
      <c r="DA22">
        <v>0.11</v>
      </c>
      <c r="DG22">
        <f t="shared" si="34"/>
        <v>49.446785476981987</v>
      </c>
      <c r="DH22">
        <f>BW22/(CZ22/100)</f>
        <v>178.42958445784157</v>
      </c>
      <c r="DK22">
        <f>SUM(DK4:DK17)</f>
        <v>1852.6977926271209</v>
      </c>
      <c r="DP22">
        <v>1466</v>
      </c>
      <c r="DQ22" t="s">
        <v>75</v>
      </c>
      <c r="DT22">
        <v>10.55</v>
      </c>
      <c r="DU22">
        <v>0.11</v>
      </c>
      <c r="EA22">
        <f t="shared" si="35"/>
        <v>318.31567943926291</v>
      </c>
      <c r="EB22">
        <f>CQ22/(DT22/100)</f>
        <v>17.586228843543008</v>
      </c>
      <c r="EE22">
        <f>SUM(EE4:EE19)</f>
        <v>216.61888075666286</v>
      </c>
      <c r="EL22" s="25">
        <f t="shared" si="26"/>
        <v>1464.2094983995346</v>
      </c>
      <c r="EM22" s="28" t="s">
        <v>75</v>
      </c>
      <c r="EN22" s="32">
        <f t="shared" si="27"/>
        <v>178.42958445784157</v>
      </c>
      <c r="EO22" s="25">
        <f t="shared" si="36"/>
        <v>49.446785476981987</v>
      </c>
      <c r="EP22" s="4">
        <f t="shared" si="28"/>
        <v>17.586228843543008</v>
      </c>
      <c r="EQ22" s="4">
        <f t="shared" si="37"/>
        <v>318.31567943926291</v>
      </c>
      <c r="ER22" s="4"/>
    </row>
    <row r="23" spans="1:148" x14ac:dyDescent="0.3">
      <c r="A23">
        <f>N23*'Energy Calibration (2)'!$T$4+'Energy Calibration (2)'!$U$4</f>
        <v>1767.9619587910058</v>
      </c>
      <c r="B23">
        <f t="shared" si="1"/>
        <v>1.7679619587910058</v>
      </c>
      <c r="D23" s="6">
        <v>5.4100000000000002E-2</v>
      </c>
      <c r="E23" s="11">
        <f t="shared" si="2"/>
        <v>5.9503625376613412E-2</v>
      </c>
      <c r="F23" s="11"/>
      <c r="G23" s="6">
        <v>4.7460000000000002E-2</v>
      </c>
      <c r="H23" s="11">
        <f t="shared" si="3"/>
        <v>1.8833333333333334E-2</v>
      </c>
      <c r="I23" s="11"/>
      <c r="J23" s="6">
        <v>5.4140000000000001E-2</v>
      </c>
      <c r="K23" s="11">
        <f t="shared" si="4"/>
        <v>5.8529729729729731E-2</v>
      </c>
      <c r="N23">
        <v>1770</v>
      </c>
      <c r="O23" t="s">
        <v>48</v>
      </c>
      <c r="S23" s="2">
        <v>2.7902773213337598E-3</v>
      </c>
      <c r="T23" s="2">
        <v>1.32795089298042E-4</v>
      </c>
      <c r="U23" s="2">
        <v>3.3120271548230098E-3</v>
      </c>
      <c r="V23" s="2">
        <v>1.18248983164692E-4</v>
      </c>
      <c r="W23" s="2"/>
      <c r="X23" s="2"/>
      <c r="Y23" s="2"/>
      <c r="Z23" s="2"/>
      <c r="AA23" s="2">
        <v>6.3891782784216702E-4</v>
      </c>
      <c r="AB23" s="2">
        <v>5.09911938653375E-5</v>
      </c>
      <c r="AD23">
        <f>'Energy Efficiency Calibrati (2)'!$AP$4/(N23^'Energy Efficiency Calibrati (2)'!$AP$7)-'Energy Efficiency Calibrati (2)'!$AP$6/(N23^'Energy Efficiency Calibrati (2)'!$AP$5)</f>
        <v>3.7847985408902556E-3</v>
      </c>
      <c r="AE23">
        <f>'Energy Efficiency Calibrati (2)'!$AR$4/(N23^'Energy Efficiency Calibrati (2)'!$AP$7)-'Energy Efficiency Calibrati (2)'!$AR$6/(N23^'Energy Efficiency Calibrati (2)'!$AR$5)</f>
        <v>3.6720537211783451E-3</v>
      </c>
      <c r="AF23">
        <f>'Energy Efficiency Calibrati (2)'!$AS$4/(N23^'Energy Efficiency Calibrati (2)'!$AP$7)-'Energy Efficiency Calibrati (2)'!$AS$6/(N23^'Energy Efficiency Calibrati (2)'!$AS$5)</f>
        <v>3.8973132418421374E-3</v>
      </c>
      <c r="AG23">
        <f t="shared" si="5"/>
        <v>1.1262976033189613E-4</v>
      </c>
      <c r="AI23">
        <f>S23/$AD23</f>
        <v>0.73723271957229042</v>
      </c>
      <c r="AJ23">
        <f t="shared" si="6"/>
        <v>4.1380836153574525E-2</v>
      </c>
      <c r="AK23">
        <f>U23/$AD23</f>
        <v>0.87508677649298583</v>
      </c>
      <c r="AL23">
        <f t="shared" si="6"/>
        <v>4.0672833637497623E-2</v>
      </c>
      <c r="AM23">
        <f>W23/$AD23</f>
        <v>0</v>
      </c>
      <c r="AO23">
        <f>Y23/$AD23</f>
        <v>0</v>
      </c>
      <c r="AQ23">
        <f>AA23/$AD23</f>
        <v>0.1688115816309424</v>
      </c>
      <c r="AR23">
        <f t="shared" si="6"/>
        <v>1.4378736372915786E-2</v>
      </c>
      <c r="AT23">
        <f t="shared" si="29"/>
        <v>1</v>
      </c>
      <c r="AU23">
        <f t="shared" si="29"/>
        <v>0.2</v>
      </c>
      <c r="AV23">
        <f t="shared" si="30"/>
        <v>6</v>
      </c>
      <c r="AW23">
        <f t="shared" si="30"/>
        <v>0.4</v>
      </c>
      <c r="AX23">
        <f t="shared" si="31"/>
        <v>0.4</v>
      </c>
      <c r="AY23">
        <f t="shared" si="31"/>
        <v>0.1</v>
      </c>
      <c r="BA23">
        <f>AQ23/EXP(AT23*H23)/EXP(AV23*E23)/6+5*AQ23/6</f>
        <v>0.15999685527918739</v>
      </c>
      <c r="BB23">
        <f t="shared" si="7"/>
        <v>0.92340540011715777</v>
      </c>
      <c r="BC23">
        <f>AQ23/EXP(AT23*H23)/6+5*AQ23/6</f>
        <v>0.16828665936652767</v>
      </c>
      <c r="BD23">
        <f t="shared" si="8"/>
        <v>0.91349415001442202</v>
      </c>
      <c r="BE23">
        <f>AQ23/EXP(AV23*E23)/EXP(AX23*K23)/6+5*AQ23/6</f>
        <v>0.15990859726940371</v>
      </c>
      <c r="BF23">
        <f t="shared" si="9"/>
        <v>0.92320336366576394</v>
      </c>
      <c r="BG23">
        <f>AQ23/EXP(AX23*K23)/6+5*AQ23/6</f>
        <v>0.16816053276123605</v>
      </c>
      <c r="BH23">
        <f t="shared" si="9"/>
        <v>0.92320336366576394</v>
      </c>
      <c r="BJ23">
        <f t="shared" si="10"/>
        <v>0.57723586429310303</v>
      </c>
      <c r="BK23">
        <f t="shared" si="11"/>
        <v>0.92433214082725557</v>
      </c>
      <c r="BL23">
        <f t="shared" si="12"/>
        <v>0.70680011712645818</v>
      </c>
      <c r="BM23">
        <f t="shared" si="11"/>
        <v>0.91439916967737611</v>
      </c>
      <c r="BN23">
        <f t="shared" si="13"/>
        <v>-0.15990859726940371</v>
      </c>
      <c r="BO23">
        <f t="shared" si="11"/>
        <v>0.92320336366576394</v>
      </c>
      <c r="BP23">
        <f t="shared" si="14"/>
        <v>-0.16816053276123605</v>
      </c>
      <c r="BQ23">
        <f t="shared" si="11"/>
        <v>0.92320336366576394</v>
      </c>
      <c r="BS23">
        <v>5.6163543791609101</v>
      </c>
      <c r="BT23">
        <v>6.4220409911095402</v>
      </c>
      <c r="BU23">
        <f t="shared" si="32"/>
        <v>0.01</v>
      </c>
      <c r="BW23">
        <f t="shared" si="15"/>
        <v>3.9696399330146277</v>
      </c>
      <c r="BX23">
        <f t="shared" si="16"/>
        <v>0</v>
      </c>
      <c r="BY23">
        <f t="shared" si="17"/>
        <v>5.1355946446849199</v>
      </c>
      <c r="CB23">
        <v>6.3287565047830601</v>
      </c>
      <c r="CC23">
        <v>7.3517784233421297</v>
      </c>
      <c r="CD23">
        <f t="shared" si="33"/>
        <v>0.01</v>
      </c>
      <c r="CF23">
        <f>BJ23-(BW23/CB23)</f>
        <v>-5.0002666690749487E-2</v>
      </c>
      <c r="CG23">
        <f t="shared" si="18"/>
        <v>0</v>
      </c>
      <c r="CH23">
        <f t="shared" si="19"/>
        <v>1.0583277339878079</v>
      </c>
      <c r="CI23">
        <f>BN23-(BX23/CC23)</f>
        <v>-0.15990859726940371</v>
      </c>
      <c r="CJ23">
        <f t="shared" si="20"/>
        <v>0</v>
      </c>
      <c r="CK23">
        <f t="shared" si="21"/>
        <v>0.15990859726940371</v>
      </c>
      <c r="CM23">
        <v>6.1991177669457196</v>
      </c>
      <c r="CN23">
        <v>6.8197528063869797</v>
      </c>
      <c r="CO23">
        <v>0.01</v>
      </c>
      <c r="CQ23">
        <f t="shared" si="22"/>
        <v>0</v>
      </c>
      <c r="CR23">
        <f t="shared" si="23"/>
        <v>0</v>
      </c>
      <c r="CV23">
        <v>1770</v>
      </c>
      <c r="CW23" t="s">
        <v>48</v>
      </c>
      <c r="CZ23">
        <v>15.31</v>
      </c>
      <c r="DA23">
        <v>0.05</v>
      </c>
      <c r="DG23">
        <f t="shared" si="34"/>
        <v>33.544160731336611</v>
      </c>
      <c r="DH23">
        <f>BW23/(CZ23/100)</f>
        <v>25.928412364563208</v>
      </c>
      <c r="DP23">
        <v>1770</v>
      </c>
      <c r="DQ23" t="s">
        <v>48</v>
      </c>
      <c r="DT23">
        <v>15.31</v>
      </c>
      <c r="DU23">
        <v>0.05</v>
      </c>
      <c r="EB23">
        <f>CQ23/(DT23/100)</f>
        <v>0</v>
      </c>
      <c r="EL23" s="25">
        <f t="shared" si="26"/>
        <v>1767.9619587910058</v>
      </c>
      <c r="EM23" s="28" t="s">
        <v>48</v>
      </c>
      <c r="EN23" s="32">
        <f t="shared" si="27"/>
        <v>25.928412364563208</v>
      </c>
      <c r="EO23" s="25">
        <f t="shared" si="36"/>
        <v>33.544160731336611</v>
      </c>
      <c r="EP23" s="4"/>
      <c r="EQ23" s="4"/>
      <c r="ER23" s="4"/>
    </row>
    <row r="24" spans="1:148" x14ac:dyDescent="0.3">
      <c r="A24">
        <f>N24*'Energy Calibration (2)'!$T$4+'Energy Calibration (2)'!$U$4</f>
        <v>2207.6036777786617</v>
      </c>
      <c r="B24">
        <f t="shared" si="1"/>
        <v>2.2076036777786618</v>
      </c>
      <c r="D24" s="6">
        <v>4.793E-2</v>
      </c>
      <c r="E24" s="11">
        <f t="shared" si="2"/>
        <v>5.2717352390038462E-2</v>
      </c>
      <c r="F24" s="11"/>
      <c r="G24" s="6">
        <v>4.231E-2</v>
      </c>
      <c r="H24" s="11">
        <f t="shared" si="3"/>
        <v>1.6789682539682538E-2</v>
      </c>
      <c r="I24" s="11"/>
      <c r="J24" s="6">
        <v>4.7980000000000002E-2</v>
      </c>
      <c r="K24" s="11">
        <f t="shared" si="4"/>
        <v>5.1870270270270268E-2</v>
      </c>
      <c r="N24">
        <v>2210</v>
      </c>
      <c r="O24" t="s">
        <v>48</v>
      </c>
      <c r="S24" s="2"/>
      <c r="T24" s="2"/>
      <c r="U24" s="2">
        <v>7.6626249662252498E-4</v>
      </c>
      <c r="V24" s="2">
        <v>5.6877337144130699E-5</v>
      </c>
      <c r="W24" s="2"/>
      <c r="X24" s="2"/>
      <c r="Y24" s="2"/>
      <c r="Z24" s="2"/>
      <c r="AA24" s="2"/>
      <c r="AB24" s="2"/>
      <c r="AD24">
        <f>'Energy Efficiency Calibrati (2)'!$AP$4/(N24^'Energy Efficiency Calibrati (2)'!$AP$7)-'Energy Efficiency Calibrati (2)'!$AP$6/(N24^'Energy Efficiency Calibrati (2)'!$AP$5)</f>
        <v>3.0314168516090345E-3</v>
      </c>
      <c r="AE24">
        <f>'Energy Efficiency Calibrati (2)'!$AR$4/(N24^'Energy Efficiency Calibrati (2)'!$AP$7)-'Energy Efficiency Calibrati (2)'!$AR$6/(N24^'Energy Efficiency Calibrati (2)'!$AR$5)</f>
        <v>2.9410473908485623E-3</v>
      </c>
      <c r="AF24">
        <f>'Energy Efficiency Calibrati (2)'!$AS$4/(N24^'Energy Efficiency Calibrati (2)'!$AP$7)-'Energy Efficiency Calibrati (2)'!$AS$6/(N24^'Energy Efficiency Calibrati (2)'!$AS$5)</f>
        <v>3.1216623968012931E-3</v>
      </c>
      <c r="AG24">
        <f t="shared" si="5"/>
        <v>9.0307502976365393E-5</v>
      </c>
      <c r="AI24">
        <f>S24/$AD24</f>
        <v>0</v>
      </c>
      <c r="AK24">
        <f>U24/$AD24</f>
        <v>0.25277371411846689</v>
      </c>
      <c r="AL24">
        <f t="shared" si="6"/>
        <v>2.0217342457807253E-2</v>
      </c>
      <c r="AM24">
        <f>W24/$AD24</f>
        <v>0</v>
      </c>
      <c r="AO24">
        <f>Y24/$AD24</f>
        <v>0</v>
      </c>
      <c r="AQ24">
        <f>AA24/$AD24</f>
        <v>0</v>
      </c>
      <c r="AT24">
        <f t="shared" si="29"/>
        <v>1</v>
      </c>
      <c r="AU24">
        <f t="shared" si="29"/>
        <v>0.2</v>
      </c>
      <c r="AV24">
        <f t="shared" si="30"/>
        <v>6</v>
      </c>
      <c r="AW24">
        <f t="shared" si="30"/>
        <v>0.4</v>
      </c>
      <c r="AX24">
        <f t="shared" si="31"/>
        <v>0.4</v>
      </c>
      <c r="AY24">
        <f t="shared" si="31"/>
        <v>0.1</v>
      </c>
      <c r="BA24">
        <f>AQ24/EXP(AT24*H24)/EXP(AV24*E24)/6+5*AQ24/6</f>
        <v>0</v>
      </c>
      <c r="BB24">
        <f t="shared" si="7"/>
        <v>0.9128709291752769</v>
      </c>
      <c r="BC24">
        <f>AQ24/EXP(AT24*H24)/6+5*AQ24/6</f>
        <v>0</v>
      </c>
      <c r="BD24">
        <f t="shared" si="8"/>
        <v>0.9128709291752769</v>
      </c>
      <c r="BE24">
        <f>AQ24/EXP(AV24*E24)/EXP(AX24*K24)/6+5*AQ24/6</f>
        <v>0</v>
      </c>
      <c r="BF24">
        <f t="shared" si="9"/>
        <v>0.9128709291752769</v>
      </c>
      <c r="BG24">
        <f>AQ24/EXP(AX24*K24)/6+5*AQ24/6</f>
        <v>0</v>
      </c>
      <c r="BH24">
        <f t="shared" si="9"/>
        <v>0.9128709291752769</v>
      </c>
      <c r="BJ24">
        <f t="shared" si="10"/>
        <v>0</v>
      </c>
      <c r="BK24">
        <f t="shared" si="11"/>
        <v>0.9128709291752769</v>
      </c>
      <c r="BL24">
        <f t="shared" si="12"/>
        <v>0.25277371411846689</v>
      </c>
      <c r="BM24">
        <f t="shared" si="11"/>
        <v>0.91309477836059805</v>
      </c>
      <c r="BN24">
        <f t="shared" si="13"/>
        <v>0</v>
      </c>
      <c r="BO24">
        <f t="shared" si="11"/>
        <v>0.9128709291752769</v>
      </c>
      <c r="BP24">
        <f t="shared" si="14"/>
        <v>0</v>
      </c>
      <c r="BQ24">
        <f t="shared" si="11"/>
        <v>0.9128709291752769</v>
      </c>
      <c r="BS24">
        <v>5.6122116585437203</v>
      </c>
      <c r="BT24">
        <v>6.4159158770621501</v>
      </c>
      <c r="BU24">
        <f t="shared" si="32"/>
        <v>0.01</v>
      </c>
      <c r="BW24">
        <f t="shared" si="15"/>
        <v>1.4186195853490573</v>
      </c>
      <c r="BX24">
        <f t="shared" si="16"/>
        <v>0</v>
      </c>
      <c r="BY24">
        <f t="shared" si="17"/>
        <v>5.1244817838952876</v>
      </c>
      <c r="CB24">
        <v>6.2519520044702501</v>
      </c>
      <c r="CC24">
        <v>7.2485680708504097</v>
      </c>
      <c r="CD24">
        <f t="shared" si="33"/>
        <v>0.01</v>
      </c>
      <c r="CF24">
        <f>BJ24-(BW24/CB24)</f>
        <v>-0.22690826550407306</v>
      </c>
      <c r="CG24">
        <f t="shared" si="18"/>
        <v>0</v>
      </c>
      <c r="CH24">
        <f t="shared" si="19"/>
        <v>0.32089674649041527</v>
      </c>
      <c r="CI24">
        <f>BN24-(BX24/CC24)</f>
        <v>0</v>
      </c>
      <c r="CJ24">
        <f t="shared" si="20"/>
        <v>0</v>
      </c>
      <c r="CK24">
        <f t="shared" si="21"/>
        <v>0</v>
      </c>
      <c r="CM24">
        <v>6.0116306066904199</v>
      </c>
      <c r="CN24">
        <v>6.5868845818186701</v>
      </c>
      <c r="CO24">
        <v>0.01</v>
      </c>
      <c r="CQ24">
        <f t="shared" si="22"/>
        <v>0</v>
      </c>
      <c r="CR24">
        <f t="shared" si="23"/>
        <v>0</v>
      </c>
      <c r="CV24">
        <v>2210</v>
      </c>
      <c r="CW24" t="s">
        <v>48</v>
      </c>
      <c r="CZ24">
        <v>4.9130000000000003</v>
      </c>
      <c r="DA24">
        <v>2.3E-2</v>
      </c>
      <c r="DG24">
        <f t="shared" si="34"/>
        <v>104.30462217213679</v>
      </c>
      <c r="DH24">
        <f>BW24/(CZ24/100)</f>
        <v>28.874813461206134</v>
      </c>
      <c r="DP24">
        <v>2210</v>
      </c>
      <c r="DQ24" t="s">
        <v>48</v>
      </c>
      <c r="DT24">
        <v>4.9130000000000003</v>
      </c>
      <c r="DU24">
        <v>2.3E-2</v>
      </c>
      <c r="EB24">
        <f>CQ24/(DT24/100)</f>
        <v>0</v>
      </c>
      <c r="EL24" s="25">
        <f t="shared" si="26"/>
        <v>2207.6036777786617</v>
      </c>
      <c r="EM24" s="28" t="s">
        <v>48</v>
      </c>
      <c r="EN24" s="32">
        <f t="shared" si="27"/>
        <v>28.874813461206134</v>
      </c>
      <c r="EO24" s="25">
        <f t="shared" si="36"/>
        <v>104.30462217213679</v>
      </c>
      <c r="EP24" s="4"/>
      <c r="EQ24" s="4"/>
      <c r="ER24" s="4"/>
    </row>
    <row r="25" spans="1:148" x14ac:dyDescent="0.3">
      <c r="A25">
        <f>N25*'Energy Calibration (2)'!$T$4+'Energy Calibration (2)'!$U$4</f>
        <v>2621.2665679170468</v>
      </c>
      <c r="B25">
        <f t="shared" si="1"/>
        <v>2.6212665679170466</v>
      </c>
      <c r="D25" s="6">
        <v>4.3659999999999997E-2</v>
      </c>
      <c r="E25" s="11">
        <f t="shared" si="2"/>
        <v>4.8020855525747523E-2</v>
      </c>
      <c r="F25" s="11"/>
      <c r="G25" s="6">
        <v>3.8780000000000002E-2</v>
      </c>
      <c r="H25" s="11">
        <f t="shared" si="3"/>
        <v>1.5388888888888889E-2</v>
      </c>
      <c r="I25" s="11"/>
      <c r="J25" s="6">
        <v>4.3619999999999999E-2</v>
      </c>
      <c r="K25" s="11">
        <f t="shared" si="4"/>
        <v>4.7156756756756756E-2</v>
      </c>
      <c r="N25">
        <v>2624</v>
      </c>
      <c r="O25" t="s">
        <v>49</v>
      </c>
      <c r="S25" s="2">
        <v>3.9563162019364403E-3</v>
      </c>
      <c r="T25" s="2">
        <v>1.5812619767925699E-4</v>
      </c>
      <c r="U25" s="2">
        <v>4.1500607943798897E-3</v>
      </c>
      <c r="V25" s="2">
        <v>1.323663824523E-4</v>
      </c>
      <c r="W25" s="2">
        <v>1.9225653551304799E-3</v>
      </c>
      <c r="X25" s="2">
        <v>1.5246935035329899E-4</v>
      </c>
      <c r="Y25" s="2">
        <v>2.08209399167162E-3</v>
      </c>
      <c r="Z25" s="2">
        <v>1.65905220411277E-4</v>
      </c>
      <c r="AA25" s="2">
        <v>2.05918739419195E-3</v>
      </c>
      <c r="AB25" s="2">
        <v>9.1542045507243697E-5</v>
      </c>
      <c r="AD25">
        <f>'Energy Efficiency Calibrati (2)'!$AP$4/(N25^'Energy Efficiency Calibrati (2)'!$AP$7)-'Energy Efficiency Calibrati (2)'!$AP$6/(N25^'Energy Efficiency Calibrati (2)'!$AP$5)</f>
        <v>2.5532025241195386E-3</v>
      </c>
      <c r="AE25">
        <f>'Energy Efficiency Calibrati (2)'!$AR$4/(N25^'Energy Efficiency Calibrati (2)'!$AP$7)-'Energy Efficiency Calibrati (2)'!$AR$6/(N25^'Energy Efficiency Calibrati (2)'!$AR$5)</f>
        <v>2.4770596338477167E-3</v>
      </c>
      <c r="AF25">
        <f>'Energy Efficiency Calibrati (2)'!$AS$4/(N25^'Energy Efficiency Calibrati (2)'!$AP$7)-'Energy Efficiency Calibrati (2)'!$AS$6/(N25^'Energy Efficiency Calibrati (2)'!$AS$5)</f>
        <v>2.6292687521225619E-3</v>
      </c>
      <c r="AG25">
        <f t="shared" si="5"/>
        <v>7.6104559137422575E-5</v>
      </c>
      <c r="AI25">
        <f>S25/$AD25</f>
        <v>1.5495504820169954</v>
      </c>
      <c r="AJ25">
        <f t="shared" si="6"/>
        <v>7.7259203421541897E-2</v>
      </c>
      <c r="AK25">
        <f>U25/$AD25</f>
        <v>1.625433452761849</v>
      </c>
      <c r="AL25">
        <f t="shared" si="6"/>
        <v>7.0958696582125322E-2</v>
      </c>
      <c r="AM25">
        <f>W25/$AD25</f>
        <v>0.75300150966029167</v>
      </c>
      <c r="AN25">
        <f t="shared" si="6"/>
        <v>6.3795693300359002E-2</v>
      </c>
      <c r="AO25">
        <f>Y25/$AD25</f>
        <v>0.81548328892931099</v>
      </c>
      <c r="AP25">
        <f t="shared" si="6"/>
        <v>6.9376939794561651E-2</v>
      </c>
      <c r="AQ25">
        <f>AA25/$AD25</f>
        <v>0.8065115770250354</v>
      </c>
      <c r="AR25">
        <f t="shared" si="6"/>
        <v>4.316736761990278E-2</v>
      </c>
      <c r="AT25">
        <f t="shared" si="29"/>
        <v>1</v>
      </c>
      <c r="AU25">
        <f t="shared" si="29"/>
        <v>0.2</v>
      </c>
      <c r="AV25">
        <f t="shared" si="30"/>
        <v>6</v>
      </c>
      <c r="AW25">
        <f t="shared" si="30"/>
        <v>0.4</v>
      </c>
      <c r="AX25">
        <f t="shared" si="31"/>
        <v>0.4</v>
      </c>
      <c r="AY25">
        <f t="shared" si="31"/>
        <v>0.1</v>
      </c>
      <c r="BA25">
        <f>AQ25/EXP(AT25*H25)/EXP(AV25*E25)/6+5*AQ25/6</f>
        <v>0.77132341477944311</v>
      </c>
      <c r="BB25">
        <f t="shared" si="7"/>
        <v>0.96581211231823805</v>
      </c>
      <c r="BC25">
        <f>AQ25/EXP(AT25*H25)/6+5*AQ25/6</f>
        <v>0.80445885921696336</v>
      </c>
      <c r="BD25">
        <f t="shared" si="8"/>
        <v>0.91593329232757914</v>
      </c>
      <c r="BE25">
        <f>AQ25/EXP(AV25*E25)/EXP(AX25*K25)/6+5*AQ25/6</f>
        <v>0.77097930476043375</v>
      </c>
      <c r="BF25">
        <f t="shared" si="9"/>
        <v>0.96468298039436595</v>
      </c>
      <c r="BG25">
        <f>AQ25/EXP(AX25*K25)/6+5*AQ25/6</f>
        <v>0.80399984253107537</v>
      </c>
      <c r="BH25">
        <f t="shared" si="9"/>
        <v>0.96468298039436595</v>
      </c>
      <c r="BJ25">
        <f t="shared" si="10"/>
        <v>0.77822706723755231</v>
      </c>
      <c r="BK25">
        <f t="shared" si="11"/>
        <v>0.96889732212136281</v>
      </c>
      <c r="BL25">
        <f t="shared" si="12"/>
        <v>0.82097459354488567</v>
      </c>
      <c r="BM25">
        <f t="shared" si="11"/>
        <v>0.91867781763503609</v>
      </c>
      <c r="BN25">
        <f t="shared" si="13"/>
        <v>-1.797779510014208E-2</v>
      </c>
      <c r="BO25">
        <f t="shared" si="11"/>
        <v>0.96679012362882055</v>
      </c>
      <c r="BP25">
        <f t="shared" si="14"/>
        <v>1.1483446398235619E-2</v>
      </c>
      <c r="BQ25">
        <f t="shared" si="11"/>
        <v>0.96717444777962103</v>
      </c>
      <c r="BS25">
        <v>5.6093731696804898</v>
      </c>
      <c r="BT25">
        <v>6.4115827047902902</v>
      </c>
      <c r="BU25">
        <f t="shared" si="32"/>
        <v>0.01</v>
      </c>
      <c r="BW25">
        <f t="shared" si="15"/>
        <v>4.6051528580200269</v>
      </c>
      <c r="BX25">
        <f t="shared" si="16"/>
        <v>7.3627066318313852E-2</v>
      </c>
      <c r="BY25">
        <f t="shared" si="17"/>
        <v>5.1532132414288521</v>
      </c>
      <c r="BZ25">
        <f t="shared" si="38"/>
        <v>6.201118962962191</v>
      </c>
      <c r="CB25">
        <v>6.1976527753185797</v>
      </c>
      <c r="CC25">
        <v>7.1757576523474196</v>
      </c>
      <c r="CD25">
        <f t="shared" si="33"/>
        <v>0.01</v>
      </c>
      <c r="CF25">
        <f>BJ25-(BW25/CB25)</f>
        <v>3.5179170724294218E-2</v>
      </c>
      <c r="CG25">
        <f t="shared" si="18"/>
        <v>3.5179170724294218E-2</v>
      </c>
      <c r="CH25">
        <f t="shared" si="19"/>
        <v>1.3076229277611788</v>
      </c>
      <c r="CI25">
        <f>BN25-(BX25/CC25)</f>
        <v>-2.823832365829762E-2</v>
      </c>
      <c r="CJ25">
        <f t="shared" si="20"/>
        <v>0</v>
      </c>
      <c r="CK25">
        <f t="shared" si="21"/>
        <v>2.3103203441257738E-2</v>
      </c>
      <c r="CM25">
        <v>5.8832930315874403</v>
      </c>
      <c r="CN25">
        <v>6.4283437299755697</v>
      </c>
      <c r="CO25">
        <v>0.01</v>
      </c>
      <c r="CQ25">
        <f t="shared" si="22"/>
        <v>0.20696936997926504</v>
      </c>
      <c r="CR25">
        <f t="shared" si="23"/>
        <v>0</v>
      </c>
      <c r="CS25">
        <f t="shared" si="24"/>
        <v>7.693128866884682</v>
      </c>
      <c r="CV25">
        <v>2624</v>
      </c>
      <c r="CW25" t="s">
        <v>49</v>
      </c>
      <c r="CZ25">
        <v>99.754999999999995</v>
      </c>
      <c r="DA25">
        <v>4.0000000000000001E-3</v>
      </c>
      <c r="DG25">
        <f t="shared" si="34"/>
        <v>5.1658696253193819</v>
      </c>
      <c r="DH25">
        <f>BW25/(CZ25/100)</f>
        <v>4.6164631928424917</v>
      </c>
      <c r="DP25">
        <v>2624</v>
      </c>
      <c r="DQ25" t="s">
        <v>49</v>
      </c>
      <c r="DT25">
        <v>99.754999999999995</v>
      </c>
      <c r="DU25">
        <v>4.0000000000000001E-3</v>
      </c>
      <c r="EA25">
        <f t="shared" si="35"/>
        <v>7.7120233240330407</v>
      </c>
      <c r="EB25">
        <f>CQ25/(DT25/100)</f>
        <v>0.20747769032055041</v>
      </c>
      <c r="EL25" s="25">
        <f t="shared" si="26"/>
        <v>2621.2665679170468</v>
      </c>
      <c r="EM25" s="28" t="s">
        <v>49</v>
      </c>
      <c r="EN25" s="32">
        <f t="shared" si="27"/>
        <v>4.6164631928424917</v>
      </c>
      <c r="EO25" s="25">
        <f t="shared" si="36"/>
        <v>5.1658696253193819</v>
      </c>
      <c r="EP25" s="4">
        <f t="shared" si="28"/>
        <v>0.20747769032055041</v>
      </c>
      <c r="EQ25" s="4">
        <f t="shared" si="37"/>
        <v>7.7120233240330407</v>
      </c>
      <c r="ER25" s="4"/>
    </row>
    <row r="26" spans="1:148" x14ac:dyDescent="0.3">
      <c r="D26" s="6"/>
      <c r="G26" s="11"/>
      <c r="H26" s="11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148" x14ac:dyDescent="0.3">
      <c r="C27">
        <f>D28*D29+E28*E29</f>
        <v>0.90918829999999995</v>
      </c>
      <c r="D27" t="s">
        <v>222</v>
      </c>
      <c r="E27" t="s">
        <v>223</v>
      </c>
      <c r="G27" t="s">
        <v>239</v>
      </c>
      <c r="H27">
        <v>2.52</v>
      </c>
      <c r="I27" t="s">
        <v>240</v>
      </c>
      <c r="BV27" t="s">
        <v>41</v>
      </c>
      <c r="BW27">
        <f>SUM(BW4:BW25)</f>
        <v>83.395874181208796</v>
      </c>
      <c r="BX27">
        <f>SUM(BX4:BX25)</f>
        <v>0.80497513282932631</v>
      </c>
      <c r="BY27">
        <f>SQRT(SUMSQ(BY4:BY25)/(22^2))</f>
        <v>1.1051327561081343</v>
      </c>
      <c r="BZ27">
        <f>SQRT(SUMSQ(BZ4:BZ25)/(4^2))</f>
        <v>3.0846715484063201</v>
      </c>
      <c r="CD27" t="s">
        <v>41</v>
      </c>
      <c r="CG27">
        <f>SUM(CG4:CG25)</f>
        <v>1.1107490931308126</v>
      </c>
      <c r="CJ27">
        <f>SUM(CJ4:CJ25)</f>
        <v>0.15226448371291229</v>
      </c>
      <c r="CO27" t="s">
        <v>41</v>
      </c>
      <c r="CQ27">
        <f>SUM(CQ4:CQ25)</f>
        <v>8.6974622398416148</v>
      </c>
      <c r="CR27">
        <f>SUM(CR4:CR25)</f>
        <v>1.4616809764229188</v>
      </c>
      <c r="CS27">
        <f>SQRT(SUMSQ(CS4:CS25)/(17^2))</f>
        <v>2.8112024931154802</v>
      </c>
      <c r="CT27">
        <f>SQRT(SUMSQ(CT4:CT25)/(5^2))</f>
        <v>0.26602852291511392</v>
      </c>
    </row>
    <row r="28" spans="1:148" x14ac:dyDescent="0.3">
      <c r="C28" t="s">
        <v>224</v>
      </c>
      <c r="D28" s="11">
        <v>0.43099999999999999</v>
      </c>
      <c r="E28">
        <v>0.56899999999999995</v>
      </c>
      <c r="G28" t="s">
        <v>229</v>
      </c>
      <c r="H28">
        <v>74</v>
      </c>
      <c r="BV28" t="s">
        <v>267</v>
      </c>
      <c r="BW28">
        <f>1.277-C27*700/1000</f>
        <v>0.64056818999999998</v>
      </c>
      <c r="BX28">
        <f>94.32/1000</f>
        <v>9.4319999999999987E-2</v>
      </c>
      <c r="BY28">
        <v>1E-3</v>
      </c>
      <c r="BZ28">
        <v>1.0000000000000001E-5</v>
      </c>
      <c r="CD28" t="s">
        <v>267</v>
      </c>
      <c r="CG28">
        <f>C27*700/1000</f>
        <v>0.63643180999999993</v>
      </c>
      <c r="CJ28">
        <f>CG28</f>
        <v>0.63643180999999993</v>
      </c>
      <c r="CO28" t="s">
        <v>267</v>
      </c>
      <c r="CQ28">
        <f>CJ28</f>
        <v>0.63643180999999993</v>
      </c>
      <c r="CR28">
        <f>CQ28</f>
        <v>0.63643180999999993</v>
      </c>
      <c r="CS28">
        <v>0.01</v>
      </c>
      <c r="CT28">
        <v>0.01</v>
      </c>
    </row>
    <row r="29" spans="1:148" x14ac:dyDescent="0.3">
      <c r="C29" t="s">
        <v>225</v>
      </c>
      <c r="D29">
        <v>0.7893</v>
      </c>
      <c r="E29">
        <v>1</v>
      </c>
      <c r="G29" t="s">
        <v>230</v>
      </c>
      <c r="H29">
        <v>13</v>
      </c>
    </row>
    <row r="30" spans="1:148" x14ac:dyDescent="0.3">
      <c r="G30" t="s">
        <v>231</v>
      </c>
      <c r="H30">
        <v>10.5</v>
      </c>
      <c r="BV30" t="s">
        <v>195</v>
      </c>
      <c r="BW30">
        <f>BW27/BW28</f>
        <v>130.19047071508311</v>
      </c>
      <c r="BX30">
        <f>BX27/BX28</f>
        <v>8.5345115864008321</v>
      </c>
      <c r="BY30">
        <f>BW30*SQRT((BY28/BW28)^2 + (BY27/BW27)^2)</f>
        <v>1.7371685208961576</v>
      </c>
      <c r="BZ30">
        <f>BX30*SQRT((BZ28/BX28)^2 + (BZ27/BX27)^2)</f>
        <v>32.70432092437408</v>
      </c>
      <c r="CD30" t="s">
        <v>195</v>
      </c>
      <c r="CF30" t="s">
        <v>195</v>
      </c>
      <c r="CG30">
        <f>CG27/CG28</f>
        <v>1.7452758892281213</v>
      </c>
      <c r="CJ30">
        <f>CJ27/CJ28</f>
        <v>0.23924712957529937</v>
      </c>
      <c r="CO30" t="s">
        <v>195</v>
      </c>
      <c r="CQ30">
        <f>CQ27/CQ28</f>
        <v>13.665976626532252</v>
      </c>
      <c r="CR30">
        <f>CR27/CR28</f>
        <v>2.2966812052070731</v>
      </c>
      <c r="CS30">
        <f>CQ30*SQRT((CS28/CQ28)^2 + (CS27/CQ27)^2)</f>
        <v>4.4223468715890997</v>
      </c>
      <c r="CT30">
        <f>CR30*SQRT((CT28/CR28)^2 + (CT27/CR27)^2)</f>
        <v>0.41955487664705093</v>
      </c>
    </row>
    <row r="31" spans="1:148" x14ac:dyDescent="0.3">
      <c r="G31" t="s">
        <v>232</v>
      </c>
      <c r="H31">
        <v>1.3</v>
      </c>
    </row>
    <row r="32" spans="1:148" x14ac:dyDescent="0.3">
      <c r="G32" t="s">
        <v>233</v>
      </c>
      <c r="H32">
        <v>0.3</v>
      </c>
    </row>
    <row r="33" spans="7:8" x14ac:dyDescent="0.3">
      <c r="G33" t="s">
        <v>234</v>
      </c>
      <c r="H33">
        <v>0.2</v>
      </c>
    </row>
    <row r="34" spans="7:8" x14ac:dyDescent="0.3">
      <c r="G34" t="s">
        <v>235</v>
      </c>
      <c r="H34">
        <v>0.04</v>
      </c>
    </row>
    <row r="35" spans="7:8" x14ac:dyDescent="0.3">
      <c r="G35" t="s">
        <v>236</v>
      </c>
      <c r="H35">
        <v>0.01</v>
      </c>
    </row>
    <row r="36" spans="7:8" x14ac:dyDescent="0.3">
      <c r="G36" t="s">
        <v>237</v>
      </c>
      <c r="H36">
        <v>0.2</v>
      </c>
    </row>
    <row r="38" spans="7:8" x14ac:dyDescent="0.3">
      <c r="H38" s="7" t="s">
        <v>238</v>
      </c>
    </row>
  </sheetData>
  <mergeCells count="6">
    <mergeCell ref="EN2:EO2"/>
    <mergeCell ref="EP2:EQ2"/>
    <mergeCell ref="EV2:EW2"/>
    <mergeCell ref="EN13:EQ13"/>
    <mergeCell ref="ET4:ET8"/>
    <mergeCell ref="ET10:ET15"/>
  </mergeCells>
  <hyperlinks>
    <hyperlink ref="H38" r:id="rId1" xr:uid="{80A6DDFC-EE5E-4CAC-B3DD-9ACE42E3FD7F}"/>
  </hyperlinks>
  <pageMargins left="0.7" right="0.7" top="0.75" bottom="0.75" header="0.3" footer="0.3"/>
  <pageSetup paperSize="9" orientation="portrait" horizontalDpi="4294967293" verticalDpi="0" r:id="rId2"/>
  <ignoredErrors>
    <ignoredError sqref="DH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95DC-09F1-4D6D-BDC8-8C0858CD7C0A}">
  <dimension ref="A1:AK31"/>
  <sheetViews>
    <sheetView workbookViewId="0">
      <selection activeCell="C6" sqref="C6"/>
    </sheetView>
  </sheetViews>
  <sheetFormatPr defaultRowHeight="14.4" x14ac:dyDescent="0.3"/>
  <sheetData>
    <row r="1" spans="1:37" x14ac:dyDescent="0.3">
      <c r="A1" s="5" t="s">
        <v>20</v>
      </c>
      <c r="C1" t="s">
        <v>76</v>
      </c>
      <c r="T1" t="s">
        <v>119</v>
      </c>
      <c r="AA1" t="s">
        <v>178</v>
      </c>
      <c r="AE1" t="s">
        <v>181</v>
      </c>
      <c r="AH1" t="s">
        <v>180</v>
      </c>
    </row>
    <row r="2" spans="1:37" x14ac:dyDescent="0.3">
      <c r="G2" t="s">
        <v>43</v>
      </c>
      <c r="H2" t="s">
        <v>17</v>
      </c>
      <c r="I2" t="s">
        <v>42</v>
      </c>
      <c r="J2" t="s">
        <v>17</v>
      </c>
      <c r="K2" t="s">
        <v>45</v>
      </c>
      <c r="L2" t="s">
        <v>17</v>
      </c>
      <c r="N2" t="s">
        <v>44</v>
      </c>
      <c r="O2" t="s">
        <v>17</v>
      </c>
      <c r="T2" t="s">
        <v>120</v>
      </c>
      <c r="AA2" t="s">
        <v>120</v>
      </c>
      <c r="AE2" t="s">
        <v>182</v>
      </c>
      <c r="AH2" t="s">
        <v>120</v>
      </c>
    </row>
    <row r="3" spans="1:37" x14ac:dyDescent="0.3">
      <c r="A3" s="5" t="s">
        <v>21</v>
      </c>
      <c r="C3" t="s">
        <v>59</v>
      </c>
    </row>
    <row r="4" spans="1:37" x14ac:dyDescent="0.3">
      <c r="A4" s="5" t="s">
        <v>22</v>
      </c>
      <c r="F4" t="s">
        <v>8</v>
      </c>
      <c r="G4">
        <v>39.89</v>
      </c>
      <c r="H4">
        <f>0.06*G4</f>
        <v>2.3933999999999997</v>
      </c>
      <c r="I4">
        <f>I16</f>
        <v>1977.3333333333301</v>
      </c>
      <c r="J4">
        <v>0.5</v>
      </c>
      <c r="K4">
        <v>30.08</v>
      </c>
      <c r="L4">
        <v>0.09</v>
      </c>
      <c r="N4">
        <f>G4/(2^((2019-I4)/K4))</f>
        <v>15.27139747251133</v>
      </c>
      <c r="O4">
        <f>SQRT((H4^2)*(2^(2*(I4-2019)/K4))+(G4^2)*(J4^2)*((LN(2)/K4)^2)*(2^(2*(I4-2019)/K4))+(G4^2)*(L4^2)*(((I4-2019)*LN(2)/(K4^2))^2)*(2^(2*(I4-2019)/K4)))</f>
        <v>0.93405577819370234</v>
      </c>
      <c r="S4" t="s">
        <v>122</v>
      </c>
      <c r="T4">
        <v>2665</v>
      </c>
      <c r="U4" t="s">
        <v>129</v>
      </c>
      <c r="W4">
        <f>T4*'Energy Calibration (2)'!$T$4+'Energy Calibration (2)'!$U$4</f>
        <v>2662.2331826408963</v>
      </c>
      <c r="AA4">
        <v>46</v>
      </c>
      <c r="AB4" t="s">
        <v>123</v>
      </c>
      <c r="AD4">
        <f>AA4*'Energy Calibration (2)'!$T$4+'Energy Calibration (2)'!$U$4</f>
        <v>45.365768939373083</v>
      </c>
      <c r="AH4">
        <v>47</v>
      </c>
      <c r="AI4" t="s">
        <v>123</v>
      </c>
      <c r="AK4">
        <f>AH4*'Energy Calibration (2)'!$T$4+'Energy Calibration (2)'!$U$4</f>
        <v>46.364954664345028</v>
      </c>
    </row>
    <row r="5" spans="1:37" x14ac:dyDescent="0.3">
      <c r="A5" s="5" t="s">
        <v>23</v>
      </c>
      <c r="F5" t="s">
        <v>14</v>
      </c>
      <c r="G5">
        <v>37</v>
      </c>
      <c r="H5">
        <v>0.5</v>
      </c>
      <c r="I5">
        <v>1981</v>
      </c>
      <c r="J5">
        <v>0.5</v>
      </c>
      <c r="K5">
        <v>13.516999999999999</v>
      </c>
      <c r="L5">
        <v>8.9999999999999993E-3</v>
      </c>
      <c r="N5">
        <f t="shared" ref="N5:N6" si="0">G5/(2^((2019-I5)/K5))</f>
        <v>5.2713726140193762</v>
      </c>
      <c r="O5">
        <f t="shared" ref="O5:O10" si="1">SQRT((H5^2)*(2^(2*(I5-2019)/K5))+(G5^2)*(J5^2)*((LN(2)/K5)^2)*(2^(2*(I5-2019)/K5))+(G5^2)*(L5^2)*(((I5-2019)*LN(2)/(K5^2))^2)*(2^(2*(I5-2019)/K5)))</f>
        <v>0.15293335261036162</v>
      </c>
      <c r="T5">
        <v>2625</v>
      </c>
      <c r="U5" t="s">
        <v>49</v>
      </c>
      <c r="W5">
        <f>T5*'Energy Calibration (2)'!$T$4+'Energy Calibration (2)'!$U$4</f>
        <v>2622.2657536420188</v>
      </c>
      <c r="AA5">
        <v>63</v>
      </c>
      <c r="AB5" t="s">
        <v>47</v>
      </c>
      <c r="AD5">
        <f>AA5*'Energy Calibration (2)'!$T$4+'Energy Calibration (2)'!$U$4</f>
        <v>62.351926263896146</v>
      </c>
      <c r="AH5">
        <v>64</v>
      </c>
      <c r="AI5" t="s">
        <v>47</v>
      </c>
      <c r="AK5">
        <f>AH5*'Energy Calibration (2)'!$T$4+'Energy Calibration (2)'!$U$4</f>
        <v>63.351111988868091</v>
      </c>
    </row>
    <row r="6" spans="1:37" x14ac:dyDescent="0.3">
      <c r="A6" s="5" t="s">
        <v>24</v>
      </c>
      <c r="C6" t="s">
        <v>59</v>
      </c>
      <c r="F6" t="s">
        <v>7</v>
      </c>
      <c r="G6">
        <v>42.8</v>
      </c>
      <c r="H6">
        <f>0.03*G6</f>
        <v>1.2839999999999998</v>
      </c>
      <c r="I6">
        <v>2008</v>
      </c>
      <c r="J6">
        <v>0.5</v>
      </c>
      <c r="K6">
        <f>K8/365.25</f>
        <v>5.2711293634496919</v>
      </c>
      <c r="L6">
        <f>L8/365.25</f>
        <v>3.8329911019849424E-4</v>
      </c>
      <c r="N6">
        <f t="shared" si="0"/>
        <v>10.074941625407249</v>
      </c>
      <c r="O6">
        <f t="shared" si="1"/>
        <v>0.72811893768096991</v>
      </c>
      <c r="S6" t="s">
        <v>122</v>
      </c>
      <c r="T6">
        <v>2111</v>
      </c>
      <c r="U6" t="s">
        <v>130</v>
      </c>
      <c r="W6">
        <f>T6*'Energy Calibration (2)'!$T$4+'Energy Calibration (2)'!$U$4</f>
        <v>2108.6842910064393</v>
      </c>
      <c r="AA6">
        <v>77</v>
      </c>
      <c r="AD6">
        <f>AA6*'Energy Calibration (2)'!$T$4+'Energy Calibration (2)'!$U$4</f>
        <v>76.340526413503369</v>
      </c>
      <c r="AH6">
        <v>77</v>
      </c>
      <c r="AK6">
        <f>AH6*'Energy Calibration (2)'!$T$4+'Energy Calibration (2)'!$U$4</f>
        <v>76.340526413503369</v>
      </c>
    </row>
    <row r="7" spans="1:37" x14ac:dyDescent="0.3">
      <c r="A7" s="5" t="s">
        <v>25</v>
      </c>
      <c r="C7" t="s">
        <v>59</v>
      </c>
      <c r="S7" t="s">
        <v>122</v>
      </c>
      <c r="T7">
        <v>1770</v>
      </c>
      <c r="U7" t="s">
        <v>48</v>
      </c>
      <c r="V7" t="s">
        <v>124</v>
      </c>
      <c r="W7">
        <f>T7*'Energy Calibration (2)'!$T$4+'Energy Calibration (2)'!$U$4</f>
        <v>1767.9619587910058</v>
      </c>
      <c r="AA7">
        <v>93</v>
      </c>
      <c r="AB7" t="s">
        <v>47</v>
      </c>
      <c r="AD7">
        <f>AA7*'Energy Calibration (2)'!$T$4+'Energy Calibration (2)'!$U$4</f>
        <v>92.327498013054495</v>
      </c>
      <c r="AH7">
        <v>93</v>
      </c>
      <c r="AI7" t="s">
        <v>47</v>
      </c>
      <c r="AK7">
        <f>AH7*'Energy Calibration (2)'!$T$4+'Energy Calibration (2)'!$U$4</f>
        <v>92.327498013054495</v>
      </c>
    </row>
    <row r="8" spans="1:37" x14ac:dyDescent="0.3">
      <c r="A8" s="5" t="s">
        <v>26</v>
      </c>
      <c r="J8" t="s">
        <v>65</v>
      </c>
      <c r="K8">
        <v>1925.28</v>
      </c>
      <c r="L8">
        <v>0.14000000000000001</v>
      </c>
      <c r="T8">
        <v>1673.5</v>
      </c>
      <c r="U8" t="s">
        <v>128</v>
      </c>
      <c r="W8">
        <f>T8*'Energy Calibration (2)'!$T$4+'Energy Calibration (2)'!$U$4</f>
        <v>1671.5405363312132</v>
      </c>
      <c r="AG8" t="s">
        <v>179</v>
      </c>
      <c r="AH8">
        <v>145</v>
      </c>
      <c r="AK8">
        <f>AH8*'Energy Calibration (2)'!$T$4+'Energy Calibration (2)'!$U$4</f>
        <v>144.28515571159562</v>
      </c>
    </row>
    <row r="9" spans="1:37" x14ac:dyDescent="0.3">
      <c r="A9" s="5" t="s">
        <v>27</v>
      </c>
      <c r="T9">
        <v>1505</v>
      </c>
      <c r="U9" t="s">
        <v>126</v>
      </c>
      <c r="W9">
        <f>T9*'Energy Calibration (2)'!$T$4+'Energy Calibration (2)'!$U$4</f>
        <v>1503.1777416734406</v>
      </c>
      <c r="AA9">
        <v>187</v>
      </c>
      <c r="AB9" t="s">
        <v>100</v>
      </c>
      <c r="AD9">
        <f>AA9*'Energy Calibration (2)'!$T$4+'Energy Calibration (2)'!$U$4</f>
        <v>186.2509561604173</v>
      </c>
      <c r="AH9">
        <v>187</v>
      </c>
      <c r="AI9" t="s">
        <v>100</v>
      </c>
      <c r="AK9">
        <f>AH9*'Energy Calibration (2)'!$T$4+'Energy Calibration (2)'!$U$4</f>
        <v>186.2509561604173</v>
      </c>
    </row>
    <row r="10" spans="1:37" x14ac:dyDescent="0.3">
      <c r="A10" s="5" t="s">
        <v>28</v>
      </c>
      <c r="F10" t="s">
        <v>6</v>
      </c>
      <c r="G10">
        <v>3340</v>
      </c>
      <c r="H10">
        <f>0.04*G10</f>
        <v>133.6</v>
      </c>
      <c r="I10">
        <v>1996</v>
      </c>
      <c r="J10">
        <v>0.5</v>
      </c>
      <c r="K10">
        <v>2.6017999999999999</v>
      </c>
      <c r="L10">
        <v>2.2000000000000001E-3</v>
      </c>
      <c r="N10">
        <f t="shared" ref="N10" si="2">G10/(2^((2019-I10)/K10))</f>
        <v>7.2883819429507763</v>
      </c>
      <c r="O10">
        <f t="shared" si="1"/>
        <v>1.0143820292328465</v>
      </c>
      <c r="T10">
        <v>1465</v>
      </c>
      <c r="U10" t="s">
        <v>75</v>
      </c>
      <c r="W10">
        <f>T10*'Energy Calibration (2)'!$T$4+'Energy Calibration (2)'!$U$4</f>
        <v>1463.2103126745628</v>
      </c>
      <c r="AA10">
        <v>240</v>
      </c>
      <c r="AB10" t="s">
        <v>74</v>
      </c>
      <c r="AD10">
        <f>AA10*'Energy Calibration (2)'!$T$4+'Energy Calibration (2)'!$U$4</f>
        <v>239.20779958393038</v>
      </c>
      <c r="AH10">
        <v>240</v>
      </c>
      <c r="AI10" t="s">
        <v>74</v>
      </c>
      <c r="AK10">
        <f>AH10*'Energy Calibration (2)'!$T$4+'Energy Calibration (2)'!$U$4</f>
        <v>239.20779958393038</v>
      </c>
    </row>
    <row r="11" spans="1:37" x14ac:dyDescent="0.3">
      <c r="A11" s="5" t="s">
        <v>29</v>
      </c>
      <c r="C11" t="s">
        <v>59</v>
      </c>
      <c r="F11" t="s">
        <v>103</v>
      </c>
      <c r="G11">
        <v>45.5</v>
      </c>
      <c r="H11">
        <f>0.05*G11</f>
        <v>2.2749999999999999</v>
      </c>
      <c r="I11">
        <v>1995</v>
      </c>
      <c r="J11">
        <v>0.5</v>
      </c>
      <c r="K11">
        <v>10.551</v>
      </c>
      <c r="L11">
        <v>0.11</v>
      </c>
      <c r="N11">
        <f t="shared" ref="N11" si="3">G11/(2^((2019-I11)/K11))</f>
        <v>9.4030496245358179</v>
      </c>
      <c r="O11">
        <f t="shared" ref="O11" si="4">SQRT((H11^2)*(2^(2*(I11-2019)/K11))+(G11^2)*(J11^2)*((LN(2)/K11)^2)*(2^(2*(I11-2019)/K11))+(G11^2)*(L11^2)*(((I11-2019)*LN(2)/(K11^2))^2)*(2^(2*(I11-2019)/K11)))</f>
        <v>0.58337987118009516</v>
      </c>
      <c r="T11">
        <v>1160</v>
      </c>
      <c r="U11" t="s">
        <v>126</v>
      </c>
      <c r="W11">
        <f>T11*'Energy Calibration (2)'!$T$4+'Energy Calibration (2)'!$U$4</f>
        <v>1158.4586665581196</v>
      </c>
      <c r="AG11" t="s">
        <v>179</v>
      </c>
      <c r="AH11">
        <v>275</v>
      </c>
      <c r="AK11">
        <f>AH11*'Energy Calibration (2)'!$T$4+'Energy Calibration (2)'!$U$4</f>
        <v>274.17929995794844</v>
      </c>
    </row>
    <row r="12" spans="1:37" x14ac:dyDescent="0.3">
      <c r="A12" s="5" t="s">
        <v>30</v>
      </c>
      <c r="C12" t="s">
        <v>59</v>
      </c>
      <c r="F12" t="s">
        <v>109</v>
      </c>
      <c r="G12">
        <v>111</v>
      </c>
      <c r="H12">
        <v>0.5</v>
      </c>
      <c r="I12">
        <v>1982</v>
      </c>
      <c r="J12">
        <f>J16</f>
        <v>2.7378507871321013E-3</v>
      </c>
      <c r="K12">
        <v>31.55</v>
      </c>
      <c r="L12">
        <v>0.04</v>
      </c>
      <c r="N12">
        <f t="shared" ref="N12" si="5">G12/(2^((2019-I12)/K12))</f>
        <v>49.237110241729809</v>
      </c>
      <c r="O12">
        <f t="shared" ref="O12" si="6">SQRT((H12^2)*(2^(2*(I12-2019)/K12))+(G12^2)*(J12^2)*((LN(2)/K12)^2)*(2^(2*(I12-2019)/K12))+(G12^2)*(L12^2)*(((I12-2019)*LN(2)/(K12^2))^2)*(2^(2*(I12-2019)/K12)))</f>
        <v>0.22753888897199723</v>
      </c>
      <c r="T12">
        <v>511</v>
      </c>
      <c r="U12" t="s">
        <v>77</v>
      </c>
      <c r="W12">
        <f>T12*'Energy Calibration (2)'!$T$4+'Energy Calibration (2)'!$U$4</f>
        <v>509.98713105132742</v>
      </c>
      <c r="AA12">
        <v>296</v>
      </c>
      <c r="AB12" t="s">
        <v>73</v>
      </c>
      <c r="AD12">
        <f>AA12*'Energy Calibration (2)'!$T$4+'Energy Calibration (2)'!$U$4</f>
        <v>295.1622001823593</v>
      </c>
      <c r="AH12">
        <v>297</v>
      </c>
      <c r="AI12" t="s">
        <v>73</v>
      </c>
      <c r="AK12">
        <f>AH12*'Energy Calibration (2)'!$T$4+'Energy Calibration (2)'!$U$4</f>
        <v>296.16138590733124</v>
      </c>
    </row>
    <row r="13" spans="1:37" x14ac:dyDescent="0.3">
      <c r="A13" s="5" t="s">
        <v>31</v>
      </c>
      <c r="C13" t="s">
        <v>59</v>
      </c>
      <c r="T13">
        <v>145</v>
      </c>
      <c r="U13" t="s">
        <v>127</v>
      </c>
      <c r="W13">
        <f>T13*'Energy Calibration (2)'!$T$4+'Energy Calibration (2)'!$U$4</f>
        <v>144.28515571159562</v>
      </c>
      <c r="Z13" t="s">
        <v>179</v>
      </c>
      <c r="AA13">
        <v>339</v>
      </c>
      <c r="AB13" t="s">
        <v>78</v>
      </c>
      <c r="AD13">
        <f>AA13*'Energy Calibration (2)'!$T$4+'Energy Calibration (2)'!$U$4</f>
        <v>338.12718635615289</v>
      </c>
      <c r="AH13">
        <v>341</v>
      </c>
      <c r="AI13" t="s">
        <v>78</v>
      </c>
      <c r="AK13">
        <f>AH13*'Energy Calibration (2)'!$T$4+'Energy Calibration (2)'!$U$4</f>
        <v>340.12555780609682</v>
      </c>
    </row>
    <row r="14" spans="1:37" x14ac:dyDescent="0.3">
      <c r="A14" s="5" t="s">
        <v>32</v>
      </c>
      <c r="C14" t="s">
        <v>59</v>
      </c>
      <c r="L14" s="7" t="s">
        <v>63</v>
      </c>
      <c r="S14" t="s">
        <v>121</v>
      </c>
      <c r="T14">
        <v>92</v>
      </c>
      <c r="U14" t="s">
        <v>47</v>
      </c>
      <c r="W14">
        <f>T14*'Energy Calibration (2)'!$T$4+'Energy Calibration (2)'!$U$4</f>
        <v>91.328312288082543</v>
      </c>
      <c r="AA14">
        <v>353</v>
      </c>
      <c r="AB14" t="s">
        <v>73</v>
      </c>
      <c r="AD14">
        <f>AA14*'Energy Calibration (2)'!$T$4+'Energy Calibration (2)'!$U$4</f>
        <v>352.11578650576013</v>
      </c>
      <c r="AH14">
        <v>354</v>
      </c>
      <c r="AI14" t="s">
        <v>73</v>
      </c>
      <c r="AK14">
        <f>AH14*'Energy Calibration (2)'!$T$4+'Energy Calibration (2)'!$U$4</f>
        <v>353.11497223073206</v>
      </c>
    </row>
    <row r="15" spans="1:37" x14ac:dyDescent="0.3">
      <c r="A15" s="5" t="s">
        <v>33</v>
      </c>
      <c r="C15" t="s">
        <v>59</v>
      </c>
      <c r="T15">
        <v>79</v>
      </c>
      <c r="U15" t="s">
        <v>125</v>
      </c>
      <c r="W15">
        <f>T15*'Energy Calibration (2)'!$T$4+'Energy Calibration (2)'!$U$4</f>
        <v>78.338897863447258</v>
      </c>
      <c r="AA15">
        <v>512</v>
      </c>
      <c r="AB15" t="s">
        <v>77</v>
      </c>
      <c r="AD15">
        <f>AA15*'Energy Calibration (2)'!$T$4+'Energy Calibration (2)'!$U$4</f>
        <v>510.98631677629936</v>
      </c>
      <c r="AH15">
        <v>513</v>
      </c>
      <c r="AI15" t="s">
        <v>77</v>
      </c>
      <c r="AK15">
        <f>AH15*'Energy Calibration (2)'!$T$4+'Energy Calibration (2)'!$U$4</f>
        <v>511.9855025012713</v>
      </c>
    </row>
    <row r="16" spans="1:37" x14ac:dyDescent="0.3">
      <c r="A16" s="5" t="s">
        <v>34</v>
      </c>
      <c r="C16" t="s">
        <v>59</v>
      </c>
      <c r="F16" t="s">
        <v>116</v>
      </c>
      <c r="G16">
        <v>42.37</v>
      </c>
      <c r="H16">
        <f>0.07*G16</f>
        <v>2.9659</v>
      </c>
      <c r="I16">
        <v>1977.3333333333301</v>
      </c>
      <c r="J16">
        <f>1/365.25</f>
        <v>2.7378507871321013E-3</v>
      </c>
      <c r="K16">
        <v>10.551</v>
      </c>
      <c r="L16">
        <v>1.0999999999999999E-2</v>
      </c>
      <c r="N16">
        <f t="shared" ref="N16" si="7">G16/(2^((2019-I16)/K16))</f>
        <v>2.7432735040258618</v>
      </c>
      <c r="O16">
        <f t="shared" ref="O16" si="8">SQRT((H16^2)*(2^(2*(I16-2019)/K16))+(G16^2)*(J16^2)*((LN(2)/K16)^2)*(2^(2*(I16-2019)/K16))+(G16^2)*(L16^2)*(((I16-2019)*LN(2)/(K16^2))^2)*(2^(2*(I16-2019)/K16)))</f>
        <v>0.19218929311612029</v>
      </c>
      <c r="T16">
        <v>68</v>
      </c>
      <c r="U16" t="s">
        <v>125</v>
      </c>
      <c r="W16">
        <f>T16*'Energy Calibration (2)'!$T$4+'Energy Calibration (2)'!$U$4</f>
        <v>67.347854888755876</v>
      </c>
      <c r="AA16">
        <v>585</v>
      </c>
      <c r="AB16" t="s">
        <v>49</v>
      </c>
      <c r="AD16">
        <f>AA16*'Energy Calibration (2)'!$T$4+'Energy Calibration (2)'!$U$4</f>
        <v>583.92687469925136</v>
      </c>
      <c r="AH16">
        <v>586</v>
      </c>
      <c r="AI16" t="s">
        <v>49</v>
      </c>
      <c r="AK16">
        <f>AH16*'Energy Calibration (2)'!$T$4+'Energy Calibration (2)'!$U$4</f>
        <v>584.92606042422324</v>
      </c>
    </row>
    <row r="17" spans="1:37" x14ac:dyDescent="0.3">
      <c r="A17" s="5" t="s">
        <v>35</v>
      </c>
      <c r="C17" t="s">
        <v>59</v>
      </c>
      <c r="F17" t="s">
        <v>117</v>
      </c>
      <c r="G17">
        <v>185</v>
      </c>
      <c r="H17">
        <v>0.5</v>
      </c>
      <c r="I17">
        <v>1960</v>
      </c>
      <c r="J17">
        <v>0.5</v>
      </c>
      <c r="K17">
        <f>K6</f>
        <v>5.2711293634496919</v>
      </c>
      <c r="L17">
        <f>L6</f>
        <v>3.8329911019849424E-4</v>
      </c>
      <c r="N17">
        <f t="shared" ref="N17" si="9">G17/(2^((2019-I17)/K17))</f>
        <v>7.9018496996880946E-2</v>
      </c>
      <c r="O17">
        <f t="shared" ref="O17" si="10">SQRT((H17^2)*(2^(2*(I17-2019)/K17))+(G17^2)*(J17^2)*((LN(2)/K17)^2)*(2^(2*(I17-2019)/K17))+(G17^2)*(L17^2)*(((I17-2019)*LN(2)/(K17^2))^2)*(2^(2*(I17-2019)/K17)))</f>
        <v>5.1999973515659739E-3</v>
      </c>
      <c r="S17" t="s">
        <v>121</v>
      </c>
      <c r="T17">
        <v>46</v>
      </c>
      <c r="U17" t="s">
        <v>123</v>
      </c>
      <c r="W17">
        <f>T17*'Energy Calibration (2)'!$T$4+'Energy Calibration (2)'!$U$4</f>
        <v>45.365768939373083</v>
      </c>
      <c r="AA17">
        <v>611</v>
      </c>
      <c r="AB17" t="s">
        <v>48</v>
      </c>
      <c r="AD17">
        <f>AA17*'Energy Calibration (2)'!$T$4+'Energy Calibration (2)'!$U$4</f>
        <v>609.90570354852184</v>
      </c>
      <c r="AH17">
        <v>612</v>
      </c>
      <c r="AI17" t="s">
        <v>48</v>
      </c>
      <c r="AK17">
        <f>AH17*'Energy Calibration (2)'!$T$4+'Energy Calibration (2)'!$U$4</f>
        <v>610.90488927349384</v>
      </c>
    </row>
    <row r="18" spans="1:37" x14ac:dyDescent="0.3">
      <c r="A18" s="5" t="s">
        <v>36</v>
      </c>
      <c r="F18" t="s">
        <v>118</v>
      </c>
      <c r="G18">
        <v>102.8</v>
      </c>
      <c r="H18">
        <f>0.0365*G18</f>
        <v>3.7521999999999998</v>
      </c>
      <c r="I18">
        <v>1996.5</v>
      </c>
      <c r="J18">
        <v>0.5</v>
      </c>
      <c r="K18">
        <f>K12</f>
        <v>31.55</v>
      </c>
      <c r="L18">
        <f>L12</f>
        <v>0.04</v>
      </c>
      <c r="N18">
        <f t="shared" ref="N18:N20" si="11">G18/(2^((2019-I18)/K18))</f>
        <v>62.706484274843383</v>
      </c>
      <c r="O18">
        <f t="shared" ref="O18:O20" si="12">SQRT((H18^2)*(2^(2*(I18-2019)/K18))+(G18^2)*(J18^2)*((LN(2)/K18)^2)*(2^(2*(I18-2019)/K18))+(G18^2)*(L18^2)*(((I18-2019)*LN(2)/(K18^2))^2)*(2^(2*(I18-2019)/K18)))</f>
        <v>2.3905162588279336</v>
      </c>
      <c r="AH18">
        <v>730</v>
      </c>
      <c r="AI18" t="s">
        <v>183</v>
      </c>
      <c r="AK18">
        <f>AH18*'Energy Calibration (2)'!$T$4+'Energy Calibration (2)'!$U$4</f>
        <v>728.80880482018335</v>
      </c>
    </row>
    <row r="19" spans="1:37" x14ac:dyDescent="0.3">
      <c r="A19" s="5" t="s">
        <v>37</v>
      </c>
      <c r="C19" t="s">
        <v>59</v>
      </c>
      <c r="AH19">
        <v>770</v>
      </c>
      <c r="AI19" t="s">
        <v>48</v>
      </c>
      <c r="AK19">
        <f>AH19*'Energy Calibration (2)'!$T$4+'Energy Calibration (2)'!$U$4</f>
        <v>768.77623381906108</v>
      </c>
    </row>
    <row r="20" spans="1:37" x14ac:dyDescent="0.3">
      <c r="A20" s="5" t="s">
        <v>38</v>
      </c>
      <c r="F20" t="s">
        <v>131</v>
      </c>
      <c r="G20">
        <f>0.125*37</f>
        <v>4.625</v>
      </c>
      <c r="H20">
        <f>0.1*G20</f>
        <v>0.46250000000000002</v>
      </c>
      <c r="I20">
        <v>1960</v>
      </c>
      <c r="J20">
        <v>0.5</v>
      </c>
      <c r="K20">
        <v>432.6</v>
      </c>
      <c r="L20">
        <v>0.6</v>
      </c>
      <c r="N20">
        <f t="shared" si="11"/>
        <v>4.2078075273381135</v>
      </c>
      <c r="O20">
        <f t="shared" si="12"/>
        <v>0.42079461761586578</v>
      </c>
      <c r="Z20" t="s">
        <v>121</v>
      </c>
      <c r="AA20">
        <v>914</v>
      </c>
      <c r="AB20" t="s">
        <v>78</v>
      </c>
      <c r="AD20">
        <f>AA20*'Energy Calibration (2)'!$T$4+'Energy Calibration (2)'!$U$4</f>
        <v>912.65897821502119</v>
      </c>
      <c r="AH20">
        <v>915</v>
      </c>
      <c r="AI20" t="s">
        <v>78</v>
      </c>
      <c r="AK20">
        <f>AH20*'Energy Calibration (2)'!$T$4+'Energy Calibration (2)'!$U$4</f>
        <v>913.65816393999307</v>
      </c>
    </row>
    <row r="21" spans="1:37" x14ac:dyDescent="0.3">
      <c r="A21" s="5" t="s">
        <v>39</v>
      </c>
      <c r="C21" t="s">
        <v>59</v>
      </c>
      <c r="F21" t="s">
        <v>132</v>
      </c>
      <c r="G21">
        <v>38.1</v>
      </c>
      <c r="H21">
        <f>0.04*G21</f>
        <v>1.524</v>
      </c>
      <c r="I21">
        <v>1994.75</v>
      </c>
      <c r="J21">
        <v>0.5</v>
      </c>
      <c r="K21">
        <f>K20</f>
        <v>432.6</v>
      </c>
      <c r="L21">
        <f>L20</f>
        <v>0.6</v>
      </c>
      <c r="N21">
        <f t="shared" ref="N21" si="13">G21/(2^((2019-I21)/K21))</f>
        <v>36.648003216110261</v>
      </c>
      <c r="O21">
        <f t="shared" ref="O21" si="14">SQRT((H21^2)*(2^(2*(I21-2019)/K21))+(G21^2)*(J21^2)*((LN(2)/K21)^2)*(2^(2*(I21-2019)/K21))+(G21^2)*(L21^2)*(((I21-2019)*LN(2)/(K21^2))^2)*(2^(2*(I21-2019)/K21)))</f>
        <v>1.4662154502431579</v>
      </c>
      <c r="AH21">
        <v>973</v>
      </c>
      <c r="AI21" t="s">
        <v>78</v>
      </c>
      <c r="AK21">
        <f>AH21*'Energy Calibration (2)'!$T$4+'Energy Calibration (2)'!$U$4</f>
        <v>971.6109359883659</v>
      </c>
    </row>
    <row r="22" spans="1:37" x14ac:dyDescent="0.3">
      <c r="A22" s="5" t="s">
        <v>40</v>
      </c>
      <c r="AG22" t="s">
        <v>121</v>
      </c>
      <c r="AH22">
        <v>1005</v>
      </c>
      <c r="AK22">
        <f>AH22*'Energy Calibration (2)'!$T$4+'Energy Calibration (2)'!$U$4</f>
        <v>1003.5848791874681</v>
      </c>
    </row>
    <row r="23" spans="1:37" x14ac:dyDescent="0.3">
      <c r="Z23" t="s">
        <v>121</v>
      </c>
      <c r="AA23">
        <v>1123</v>
      </c>
      <c r="AB23" t="s">
        <v>48</v>
      </c>
      <c r="AD23">
        <f>AA23*'Energy Calibration (2)'!$T$4+'Energy Calibration (2)'!$U$4</f>
        <v>1121.4887947341576</v>
      </c>
      <c r="AG23" t="s">
        <v>179</v>
      </c>
      <c r="AH23">
        <v>1124</v>
      </c>
      <c r="AI23" t="s">
        <v>48</v>
      </c>
      <c r="AK23">
        <f>AH23*'Energy Calibration (2)'!$T$4+'Energy Calibration (2)'!$U$4</f>
        <v>1122.4879804591296</v>
      </c>
    </row>
    <row r="24" spans="1:37" x14ac:dyDescent="0.3">
      <c r="Z24" t="s">
        <v>179</v>
      </c>
      <c r="AA24">
        <v>1241</v>
      </c>
      <c r="AB24" t="s">
        <v>48</v>
      </c>
      <c r="AD24">
        <f>AA24*'Energy Calibration (2)'!$T$4+'Energy Calibration (2)'!$U$4</f>
        <v>1239.392710280847</v>
      </c>
      <c r="AH24">
        <v>1242</v>
      </c>
      <c r="AI24" t="s">
        <v>48</v>
      </c>
      <c r="AK24">
        <f>AH24*'Energy Calibration (2)'!$T$4+'Energy Calibration (2)'!$U$4</f>
        <v>1240.391896005819</v>
      </c>
    </row>
    <row r="25" spans="1:37" x14ac:dyDescent="0.3">
      <c r="AA25">
        <v>1464</v>
      </c>
      <c r="AB25" t="s">
        <v>75</v>
      </c>
      <c r="AD25">
        <f>AA25*'Energy Calibration (2)'!$T$4+'Energy Calibration (2)'!$U$4</f>
        <v>1462.2111269495908</v>
      </c>
      <c r="AH25">
        <v>1466</v>
      </c>
      <c r="AI25" t="s">
        <v>75</v>
      </c>
      <c r="AK25">
        <f>AH25*'Energy Calibration (2)'!$T$4+'Energy Calibration (2)'!$U$4</f>
        <v>1464.2094983995346</v>
      </c>
    </row>
    <row r="26" spans="1:37" x14ac:dyDescent="0.3">
      <c r="AG26" t="s">
        <v>121</v>
      </c>
      <c r="AH26">
        <v>1595</v>
      </c>
      <c r="AK26">
        <f>AH26*'Energy Calibration (2)'!$T$4+'Energy Calibration (2)'!$U$4</f>
        <v>1593.1044569209155</v>
      </c>
    </row>
    <row r="27" spans="1:37" x14ac:dyDescent="0.3">
      <c r="Z27" t="s">
        <v>121</v>
      </c>
      <c r="AA27">
        <v>1768</v>
      </c>
      <c r="AB27" t="s">
        <v>48</v>
      </c>
      <c r="AD27">
        <f>AA27*'Energy Calibration (2)'!$T$4+'Energy Calibration (2)'!$U$4</f>
        <v>1765.9635873410621</v>
      </c>
      <c r="AH27">
        <v>1771</v>
      </c>
      <c r="AI27" t="s">
        <v>48</v>
      </c>
      <c r="AK27">
        <f>AH27*'Energy Calibration (2)'!$T$4+'Energy Calibration (2)'!$U$4</f>
        <v>1768.9611445159778</v>
      </c>
    </row>
    <row r="28" spans="1:37" x14ac:dyDescent="0.3">
      <c r="AG28" t="s">
        <v>179</v>
      </c>
      <c r="AH28">
        <v>2110</v>
      </c>
      <c r="AK28">
        <f>AH28*'Energy Calibration (2)'!$T$4+'Energy Calibration (2)'!$U$4</f>
        <v>2107.6851052814673</v>
      </c>
    </row>
    <row r="29" spans="1:37" x14ac:dyDescent="0.3">
      <c r="AG29" t="s">
        <v>179</v>
      </c>
      <c r="AH29">
        <v>2127</v>
      </c>
      <c r="AK29">
        <f>AH29*'Energy Calibration (2)'!$T$4+'Energy Calibration (2)'!$U$4</f>
        <v>2124.6712626059903</v>
      </c>
    </row>
    <row r="30" spans="1:37" x14ac:dyDescent="0.3">
      <c r="AG30" t="s">
        <v>121</v>
      </c>
      <c r="AH30">
        <v>2213</v>
      </c>
      <c r="AK30">
        <f>AH30*'Energy Calibration (2)'!$T$4+'Energy Calibration (2)'!$U$4</f>
        <v>2210.6012349535777</v>
      </c>
    </row>
    <row r="31" spans="1:37" x14ac:dyDescent="0.3">
      <c r="AA31">
        <v>2619</v>
      </c>
      <c r="AB31" t="s">
        <v>49</v>
      </c>
      <c r="AD31">
        <f>AA31*'Energy Calibration (2)'!$T$4+'Energy Calibration (2)'!$U$4</f>
        <v>2616.2706392921868</v>
      </c>
      <c r="AH31">
        <v>2624</v>
      </c>
      <c r="AI31" t="s">
        <v>49</v>
      </c>
      <c r="AK31">
        <f>AH31*'Energy Calibration (2)'!$T$4+'Energy Calibration (2)'!$U$4</f>
        <v>2621.2665679170468</v>
      </c>
    </row>
  </sheetData>
  <hyperlinks>
    <hyperlink ref="L14" r:id="rId1" xr:uid="{C5419132-AB50-45CF-8A90-76B26442399E}"/>
  </hyperlinks>
  <pageMargins left="0.7" right="0.7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A6C0-9E77-483D-9DE5-A41BA76C8372}">
  <dimension ref="B2:W26"/>
  <sheetViews>
    <sheetView workbookViewId="0">
      <selection activeCell="G22" sqref="G22"/>
    </sheetView>
  </sheetViews>
  <sheetFormatPr defaultRowHeight="14.4" x14ac:dyDescent="0.3"/>
  <sheetData>
    <row r="2" spans="2:23" x14ac:dyDescent="0.3">
      <c r="B2" t="s">
        <v>15</v>
      </c>
      <c r="D2" t="s">
        <v>46</v>
      </c>
      <c r="E2" t="s">
        <v>70</v>
      </c>
      <c r="F2" t="s">
        <v>71</v>
      </c>
      <c r="H2" t="s">
        <v>72</v>
      </c>
      <c r="J2" t="s">
        <v>0</v>
      </c>
      <c r="L2" t="s">
        <v>79</v>
      </c>
      <c r="M2" t="s">
        <v>80</v>
      </c>
      <c r="O2" t="s">
        <v>81</v>
      </c>
      <c r="Q2" t="s">
        <v>191</v>
      </c>
      <c r="R2" t="s">
        <v>192</v>
      </c>
      <c r="T2" t="s">
        <v>193</v>
      </c>
      <c r="U2" t="s">
        <v>194</v>
      </c>
      <c r="W2" t="s">
        <v>195</v>
      </c>
    </row>
    <row r="4" spans="2:23" x14ac:dyDescent="0.3">
      <c r="B4">
        <v>6</v>
      </c>
      <c r="D4">
        <v>63.516999999999904</v>
      </c>
      <c r="E4">
        <v>0.505</v>
      </c>
      <c r="F4">
        <v>2.2110055273304001E-3</v>
      </c>
      <c r="H4">
        <f>'Energy Calibration'!$S$4*'Glenkinchie(12yo)'!D4+'Energy Calibration'!$T$4</f>
        <v>63.012245685370942</v>
      </c>
      <c r="J4" t="s">
        <v>47</v>
      </c>
      <c r="L4">
        <f>F4*E4*SQRT(2*PI())</f>
        <v>2.7987953299367617E-3</v>
      </c>
      <c r="M4">
        <f>'Overall Background'!L5</f>
        <v>7.6455482598340495E-3</v>
      </c>
      <c r="O4">
        <f>L4-M4</f>
        <v>-4.8467529298972878E-3</v>
      </c>
      <c r="Q4">
        <f>('Energy Efficiency Calibrati (2)'!$AP$4/D4)-('Energy Efficiency Calibrati (2)'!$AP$6/(D4^'Energy Efficiency Calibrati (2)'!$AP$5))</f>
        <v>9.0024182517731227E-2</v>
      </c>
      <c r="R4">
        <f>L4/Q4</f>
        <v>3.1089372340432072E-2</v>
      </c>
      <c r="T4">
        <v>1</v>
      </c>
      <c r="U4">
        <f>R4/T4</f>
        <v>3.1089372340432072E-2</v>
      </c>
    </row>
    <row r="5" spans="2:23" x14ac:dyDescent="0.3">
      <c r="B5">
        <v>9</v>
      </c>
      <c r="D5">
        <v>93.143000000000001</v>
      </c>
      <c r="E5">
        <v>0.87</v>
      </c>
      <c r="F5">
        <v>2.0118565193165301E-3</v>
      </c>
      <c r="H5">
        <f>'Energy Calibration'!$S$4*'Glenkinchie(12yo)'!D5+'Energy Calibration'!$T$4</f>
        <v>92.613416015501898</v>
      </c>
      <c r="J5" t="s">
        <v>47</v>
      </c>
      <c r="L5">
        <f t="shared" ref="L5:L17" si="0">F5*E5*SQRT(2*PI())</f>
        <v>4.3873894991629855E-3</v>
      </c>
      <c r="M5">
        <f>'Overall Background'!L6</f>
        <v>1.4867762288466672E-2</v>
      </c>
      <c r="O5">
        <f t="shared" ref="O5:O17" si="1">L5-M5</f>
        <v>-1.0480372789303687E-2</v>
      </c>
      <c r="Q5">
        <f>('Energy Efficiency Calibrati (2)'!$AP$4/D5)-('Energy Efficiency Calibrati (2)'!$AP$6/(D5^'Energy Efficiency Calibrati (2)'!$AP$5))</f>
        <v>6.7214104882064113E-2</v>
      </c>
      <c r="R5">
        <f t="shared" ref="R5:R17" si="2">L5/Q5</f>
        <v>6.5274833412737265E-2</v>
      </c>
      <c r="T5">
        <v>1</v>
      </c>
      <c r="U5">
        <f t="shared" ref="U5:U17" si="3">R5/T5</f>
        <v>6.5274833412737265E-2</v>
      </c>
    </row>
    <row r="6" spans="2:23" x14ac:dyDescent="0.3">
      <c r="B6">
        <v>22</v>
      </c>
      <c r="D6">
        <v>186.528999999999</v>
      </c>
      <c r="E6">
        <v>0.48699999999999999</v>
      </c>
      <c r="F6">
        <v>1.7681743483651401E-3</v>
      </c>
      <c r="H6">
        <f>'Energy Calibration'!$S$4*'Glenkinchie(12yo)'!D6+'Energy Calibration'!$T$4</f>
        <v>185.92114883294505</v>
      </c>
      <c r="J6" t="s">
        <v>100</v>
      </c>
      <c r="L6">
        <f t="shared" si="0"/>
        <v>2.1584598824354912E-3</v>
      </c>
      <c r="M6">
        <f>'Overall Background'!L7</f>
        <v>4.7264354422712328E-3</v>
      </c>
      <c r="O6">
        <f t="shared" si="1"/>
        <v>-2.5679755598357417E-3</v>
      </c>
      <c r="Q6">
        <f>('Energy Efficiency Calibrati (2)'!$AP$4/D6)-('Energy Efficiency Calibrati (2)'!$AP$6/(D6^'Energy Efficiency Calibrati (2)'!$AP$5))</f>
        <v>3.5371275771495202E-2</v>
      </c>
      <c r="R6">
        <f t="shared" si="2"/>
        <v>6.1022958187302315E-2</v>
      </c>
      <c r="T6">
        <v>1</v>
      </c>
      <c r="U6">
        <f t="shared" si="3"/>
        <v>6.1022958187302315E-2</v>
      </c>
    </row>
    <row r="7" spans="2:23" x14ac:dyDescent="0.3">
      <c r="B7">
        <v>29</v>
      </c>
      <c r="D7">
        <v>239.51399999999899</v>
      </c>
      <c r="E7">
        <v>0.40699999999999997</v>
      </c>
      <c r="F7" s="8">
        <v>1.84745737653442E-3</v>
      </c>
      <c r="H7">
        <f>'Energy Calibration'!$S$4*'Glenkinchie(12yo)'!D7+'Energy Calibration'!$T$4</f>
        <v>238.8617418911366</v>
      </c>
      <c r="J7" t="s">
        <v>74</v>
      </c>
      <c r="L7">
        <f t="shared" si="0"/>
        <v>1.8847717807520925E-3</v>
      </c>
      <c r="O7">
        <f t="shared" si="1"/>
        <v>1.8847717807520925E-3</v>
      </c>
      <c r="Q7">
        <f>('Energy Efficiency Calibrati (2)'!$AP$4/D7)-('Energy Efficiency Calibrati (2)'!$AP$6/(D7^'Energy Efficiency Calibrati (2)'!$AP$5))</f>
        <v>2.7720833515803123E-2</v>
      </c>
      <c r="R7">
        <f t="shared" si="2"/>
        <v>6.7991165549824456E-2</v>
      </c>
      <c r="T7">
        <v>1</v>
      </c>
      <c r="U7">
        <f t="shared" si="3"/>
        <v>6.7991165549824456E-2</v>
      </c>
    </row>
    <row r="8" spans="2:23" x14ac:dyDescent="0.3">
      <c r="B8">
        <v>36</v>
      </c>
      <c r="D8">
        <v>296.452</v>
      </c>
      <c r="E8">
        <v>0.69499999999999995</v>
      </c>
      <c r="F8">
        <v>9.6165772572816505E-4</v>
      </c>
      <c r="H8">
        <f>'Energy Calibration'!$S$4*'Glenkinchie(12yo)'!D8+'Energy Calibration'!$T$4</f>
        <v>295.75202192411507</v>
      </c>
      <c r="J8" t="s">
        <v>73</v>
      </c>
      <c r="L8">
        <f t="shared" si="0"/>
        <v>1.6753103198501554E-3</v>
      </c>
      <c r="O8">
        <f t="shared" si="1"/>
        <v>1.6753103198501554E-3</v>
      </c>
      <c r="Q8">
        <f>('Energy Efficiency Calibrati (2)'!$AP$4/D8)-('Energy Efficiency Calibrati (2)'!$AP$6/(D8^'Energy Efficiency Calibrati (2)'!$AP$5))</f>
        <v>2.2470278888160507E-2</v>
      </c>
      <c r="R8">
        <f t="shared" si="2"/>
        <v>7.4556721266724871E-2</v>
      </c>
      <c r="T8">
        <v>1</v>
      </c>
      <c r="U8">
        <f t="shared" si="3"/>
        <v>7.4556721266724871E-2</v>
      </c>
    </row>
    <row r="9" spans="2:23" x14ac:dyDescent="0.3">
      <c r="B9">
        <v>44</v>
      </c>
      <c r="D9">
        <v>353.14999999999901</v>
      </c>
      <c r="E9">
        <v>0.98599999999999999</v>
      </c>
      <c r="F9">
        <v>1.1419378768982699E-3</v>
      </c>
      <c r="H9">
        <f>'Energy Calibration'!$S$4*'Glenkinchie(12yo)'!D9+'Energy Calibration'!$T$4</f>
        <v>352.40250310205778</v>
      </c>
      <c r="J9" t="s">
        <v>73</v>
      </c>
      <c r="L9">
        <f t="shared" si="0"/>
        <v>2.8223399773238235E-3</v>
      </c>
      <c r="O9">
        <f t="shared" si="1"/>
        <v>2.8223399773238235E-3</v>
      </c>
      <c r="Q9">
        <f>('Energy Efficiency Calibrati (2)'!$AP$4/D9)-('Energy Efficiency Calibrati (2)'!$AP$6/(D9^'Energy Efficiency Calibrati (2)'!$AP$5))</f>
        <v>1.8896341587007377E-2</v>
      </c>
      <c r="R9">
        <f t="shared" si="2"/>
        <v>0.14935906849103478</v>
      </c>
      <c r="T9">
        <v>1</v>
      </c>
      <c r="U9">
        <f t="shared" si="3"/>
        <v>0.14935906849103478</v>
      </c>
    </row>
    <row r="10" spans="2:23" x14ac:dyDescent="0.3">
      <c r="B10">
        <v>60</v>
      </c>
      <c r="D10">
        <v>512.30899999999997</v>
      </c>
      <c r="E10">
        <v>1.5429999999999899</v>
      </c>
      <c r="F10">
        <v>9.6075356793597305E-4</v>
      </c>
      <c r="H10">
        <f>'Energy Calibration'!$S$4*'Glenkinchie(12yo)'!D10+'Energy Calibration'!$T$4</f>
        <v>511.42811130341215</v>
      </c>
      <c r="J10" t="s">
        <v>77</v>
      </c>
      <c r="L10">
        <f t="shared" si="0"/>
        <v>3.715932926020024E-3</v>
      </c>
      <c r="M10">
        <f>'Overall Background'!L8</f>
        <v>1.1581072204289205E-2</v>
      </c>
      <c r="O10">
        <f t="shared" si="1"/>
        <v>-7.8651392782691804E-3</v>
      </c>
      <c r="Q10">
        <f>('Energy Efficiency Calibrati (2)'!$AP$4/D10)-('Energy Efficiency Calibrati (2)'!$AP$6/(D10^'Energy Efficiency Calibrati (2)'!$AP$5))</f>
        <v>1.3054133455844922E-2</v>
      </c>
      <c r="R10">
        <f t="shared" si="2"/>
        <v>0.28465565627845135</v>
      </c>
      <c r="T10">
        <v>1</v>
      </c>
      <c r="U10">
        <f t="shared" si="3"/>
        <v>0.28465565627845135</v>
      </c>
    </row>
    <row r="11" spans="2:23" x14ac:dyDescent="0.3">
      <c r="B11">
        <v>62</v>
      </c>
      <c r="D11">
        <v>584.49299999999903</v>
      </c>
      <c r="E11">
        <v>0.38800000000000001</v>
      </c>
      <c r="F11">
        <v>4.6672993408221602E-4</v>
      </c>
      <c r="H11">
        <f>'Energy Calibration'!$S$4*'Glenkinchie(12yo)'!D11+'Energy Calibration'!$T$4</f>
        <v>583.55161360241095</v>
      </c>
      <c r="J11" t="s">
        <v>49</v>
      </c>
      <c r="L11">
        <f t="shared" si="0"/>
        <v>4.539283583622125E-4</v>
      </c>
      <c r="O11">
        <f t="shared" si="1"/>
        <v>4.539283583622125E-4</v>
      </c>
      <c r="Q11">
        <f>('Energy Efficiency Calibrati (2)'!$AP$4/D11)-('Energy Efficiency Calibrati (2)'!$AP$6/(D11^'Energy Efficiency Calibrati (2)'!$AP$5))</f>
        <v>1.1447035568858004E-2</v>
      </c>
      <c r="R11">
        <f t="shared" si="2"/>
        <v>3.9654664793489239E-2</v>
      </c>
      <c r="T11">
        <v>1</v>
      </c>
      <c r="U11">
        <f t="shared" si="3"/>
        <v>3.9654664793489239E-2</v>
      </c>
    </row>
    <row r="12" spans="2:23" x14ac:dyDescent="0.3">
      <c r="B12">
        <v>64</v>
      </c>
      <c r="D12">
        <v>611.03199999999902</v>
      </c>
      <c r="E12">
        <v>1.1889999999999901</v>
      </c>
      <c r="F12">
        <v>7.2557041865358102E-4</v>
      </c>
      <c r="H12">
        <f>'Energy Calibration'!$S$4*'Glenkinchie(12yo)'!D12+'Energy Calibration'!$T$4</f>
        <v>610.06837115966948</v>
      </c>
      <c r="J12" t="s">
        <v>48</v>
      </c>
      <c r="L12">
        <f t="shared" si="0"/>
        <v>2.162476303366522E-3</v>
      </c>
      <c r="O12">
        <f t="shared" si="1"/>
        <v>2.162476303366522E-3</v>
      </c>
      <c r="Q12">
        <f>('Energy Efficiency Calibrati (2)'!$AP$4/D12)-('Energy Efficiency Calibrati (2)'!$AP$6/(D12^'Energy Efficiency Calibrati (2)'!$AP$5))</f>
        <v>1.0951208926118311E-2</v>
      </c>
      <c r="R12">
        <f t="shared" si="2"/>
        <v>0.19746461947311403</v>
      </c>
      <c r="T12">
        <v>1</v>
      </c>
      <c r="U12">
        <f t="shared" si="3"/>
        <v>0.19746461947311403</v>
      </c>
    </row>
    <row r="13" spans="2:23" x14ac:dyDescent="0.3">
      <c r="B13">
        <v>70</v>
      </c>
      <c r="D13">
        <v>913.53399999999897</v>
      </c>
      <c r="E13">
        <v>0.42299999999999999</v>
      </c>
      <c r="F13">
        <v>2.7122341143644401E-4</v>
      </c>
      <c r="H13">
        <f>'Energy Calibration'!$S$4*'Glenkinchie(12yo)'!D13+'Energy Calibration'!$T$4</f>
        <v>912.31684301564883</v>
      </c>
      <c r="J13" t="s">
        <v>78</v>
      </c>
      <c r="L13">
        <f t="shared" si="0"/>
        <v>2.8757920299190176E-4</v>
      </c>
      <c r="O13">
        <f t="shared" si="1"/>
        <v>2.8757920299190176E-4</v>
      </c>
      <c r="Q13">
        <f>('Energy Efficiency Calibrati (2)'!$AP$4/D13)-('Energy Efficiency Calibrati (2)'!$AP$6/(D13^'Energy Efficiency Calibrati (2)'!$AP$5))</f>
        <v>7.3301748530193089E-3</v>
      </c>
      <c r="R13">
        <f t="shared" si="2"/>
        <v>3.9232243262716647E-2</v>
      </c>
      <c r="T13">
        <v>1</v>
      </c>
      <c r="U13">
        <f t="shared" si="3"/>
        <v>3.9232243262716647E-2</v>
      </c>
    </row>
    <row r="14" spans="2:23" x14ac:dyDescent="0.3">
      <c r="B14">
        <v>73</v>
      </c>
      <c r="D14">
        <v>1123.2649999999901</v>
      </c>
      <c r="E14">
        <v>0.91</v>
      </c>
      <c r="F14">
        <v>2.5538399747112E-4</v>
      </c>
      <c r="H14">
        <f>'Energy Calibration'!$S$4*'Glenkinchie(12yo)'!D14+'Energy Calibration'!$T$4</f>
        <v>1121.8720666201993</v>
      </c>
      <c r="J14" t="s">
        <v>48</v>
      </c>
      <c r="L14">
        <f t="shared" si="0"/>
        <v>5.8253900154395515E-4</v>
      </c>
      <c r="O14">
        <f t="shared" si="1"/>
        <v>5.8253900154395515E-4</v>
      </c>
      <c r="Q14">
        <f>('Energy Efficiency Calibrati (2)'!$AP$4/D14)-('Energy Efficiency Calibrati (2)'!$AP$6/(D14^'Energy Efficiency Calibrati (2)'!$AP$5))</f>
        <v>5.9626572528751007E-3</v>
      </c>
      <c r="R14">
        <f t="shared" si="2"/>
        <v>9.7697884825270462E-2</v>
      </c>
      <c r="T14">
        <v>1</v>
      </c>
      <c r="U14">
        <f t="shared" si="3"/>
        <v>9.7697884825270462E-2</v>
      </c>
    </row>
    <row r="15" spans="2:23" x14ac:dyDescent="0.3">
      <c r="B15">
        <v>75</v>
      </c>
      <c r="D15">
        <v>1464.01999999999</v>
      </c>
      <c r="E15">
        <v>1.52399999999999</v>
      </c>
      <c r="F15">
        <v>4.0207129951126902E-4</v>
      </c>
      <c r="H15">
        <f>'Energy Calibration'!$S$4*'Glenkinchie(12yo)'!D15+'Energy Calibration'!$T$4</f>
        <v>1462.3414784828785</v>
      </c>
      <c r="J15" t="s">
        <v>75</v>
      </c>
      <c r="L15">
        <f t="shared" si="0"/>
        <v>1.5359531705653963E-3</v>
      </c>
      <c r="M15">
        <f>'Overall Background'!L9</f>
        <v>3.7798275246855263E-3</v>
      </c>
      <c r="O15">
        <f t="shared" si="1"/>
        <v>-2.2438743541201298E-3</v>
      </c>
      <c r="Q15">
        <f>('Energy Efficiency Calibrati (2)'!$AP$4/D15)-('Energy Efficiency Calibrati (2)'!$AP$6/(D15^'Energy Efficiency Calibrati (2)'!$AP$5))</f>
        <v>4.5755177356213827E-3</v>
      </c>
      <c r="R15">
        <f t="shared" si="2"/>
        <v>0.33568948025437051</v>
      </c>
      <c r="T15">
        <v>1</v>
      </c>
      <c r="U15">
        <f t="shared" si="3"/>
        <v>0.33568948025437051</v>
      </c>
    </row>
    <row r="16" spans="2:23" x14ac:dyDescent="0.3">
      <c r="B16">
        <v>76</v>
      </c>
      <c r="D16">
        <v>1768.0739999999901</v>
      </c>
      <c r="E16">
        <v>1.5109999999999899</v>
      </c>
      <c r="F16">
        <v>1.4443398833903799E-4</v>
      </c>
      <c r="H16">
        <f>'Energy Calibration'!$S$4*'Glenkinchie(12yo)'!D16+'Energy Calibration'!$T$4</f>
        <v>1766.1406496014099</v>
      </c>
      <c r="J16" t="s">
        <v>48</v>
      </c>
      <c r="L16">
        <f t="shared" si="0"/>
        <v>5.4704594399140351E-4</v>
      </c>
      <c r="M16">
        <f>'Overall Background'!L10</f>
        <v>5.9626326132739688E-4</v>
      </c>
      <c r="O16">
        <f t="shared" si="1"/>
        <v>-4.9217317335993366E-5</v>
      </c>
      <c r="Q16">
        <f>('Energy Efficiency Calibrati (2)'!$AP$4/D16)-('Energy Efficiency Calibrati (2)'!$AP$6/(D16^'Energy Efficiency Calibrati (2)'!$AP$5))</f>
        <v>3.7889202274669774E-3</v>
      </c>
      <c r="R16">
        <f t="shared" si="2"/>
        <v>0.14438043325000866</v>
      </c>
      <c r="T16">
        <v>1</v>
      </c>
      <c r="U16">
        <f t="shared" si="3"/>
        <v>0.14438043325000866</v>
      </c>
    </row>
    <row r="17" spans="2:21" x14ac:dyDescent="0.3">
      <c r="B17">
        <v>77</v>
      </c>
      <c r="D17">
        <v>2619.7190000000001</v>
      </c>
      <c r="E17">
        <v>2.1569999999999898</v>
      </c>
      <c r="F17">
        <v>1.29510579131981E-4</v>
      </c>
      <c r="H17">
        <f>'Energy Calibration'!$S$4*'Glenkinchie(12yo)'!D17+'Energy Calibration'!$T$4</f>
        <v>2617.0718824983451</v>
      </c>
      <c r="J17" t="s">
        <v>49</v>
      </c>
      <c r="L17">
        <f t="shared" si="0"/>
        <v>7.002374351161363E-4</v>
      </c>
      <c r="M17">
        <f>'Overall Background'!L11</f>
        <v>1.5465518282386044E-3</v>
      </c>
      <c r="O17">
        <f t="shared" si="1"/>
        <v>-8.4631439312246809E-4</v>
      </c>
      <c r="Q17">
        <f>('Energy Efficiency Calibrati (2)'!$AP$4/D17)-('Energy Efficiency Calibrati (2)'!$AP$6/(D17^'Energy Efficiency Calibrati (2)'!$AP$5))</f>
        <v>2.5573743066079095E-3</v>
      </c>
      <c r="R17">
        <f t="shared" si="2"/>
        <v>0.27381108557586481</v>
      </c>
      <c r="T17">
        <v>1</v>
      </c>
      <c r="U17">
        <f t="shared" si="3"/>
        <v>0.27381108557586481</v>
      </c>
    </row>
    <row r="22" spans="2:21" x14ac:dyDescent="0.3">
      <c r="G22" s="7" t="s">
        <v>286</v>
      </c>
    </row>
    <row r="23" spans="2:21" x14ac:dyDescent="0.3">
      <c r="G23" t="s">
        <v>287</v>
      </c>
    </row>
    <row r="24" spans="2:21" x14ac:dyDescent="0.3">
      <c r="G24" s="7" t="s">
        <v>288</v>
      </c>
      <c r="Q24" t="s">
        <v>82</v>
      </c>
    </row>
    <row r="25" spans="2:21" x14ac:dyDescent="0.3">
      <c r="G25" s="7" t="s">
        <v>289</v>
      </c>
      <c r="Q25" t="s">
        <v>83</v>
      </c>
    </row>
    <row r="26" spans="2:21" x14ac:dyDescent="0.3">
      <c r="G26" s="7" t="s">
        <v>290</v>
      </c>
    </row>
  </sheetData>
  <sortState xmlns:xlrd2="http://schemas.microsoft.com/office/spreadsheetml/2017/richdata2" ref="D4:J14">
    <sortCondition ref="D4"/>
  </sortState>
  <hyperlinks>
    <hyperlink ref="G22" r:id="rId1" xr:uid="{A8571C68-3833-4B5A-97A4-778E4B527A27}"/>
    <hyperlink ref="G24" r:id="rId2" xr:uid="{9C77ECF1-93F1-4807-B051-5A12010557DB}"/>
    <hyperlink ref="G25" r:id="rId3" xr:uid="{5E3BCA24-B443-4CB9-A1E4-31A78646130E}"/>
    <hyperlink ref="G26" r:id="rId4" xr:uid="{68B82497-6CFE-491B-A4C9-B80599C6AE0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94CF-B17C-41AB-92E2-3F219C761F55}">
  <dimension ref="B2:L11"/>
  <sheetViews>
    <sheetView workbookViewId="0">
      <selection activeCell="H14" sqref="H14"/>
    </sheetView>
  </sheetViews>
  <sheetFormatPr defaultRowHeight="14.4" x14ac:dyDescent="0.3"/>
  <sheetData>
    <row r="2" spans="2:12" x14ac:dyDescent="0.3">
      <c r="B2" t="s">
        <v>15</v>
      </c>
      <c r="D2" t="s">
        <v>46</v>
      </c>
      <c r="E2" t="s">
        <v>70</v>
      </c>
      <c r="F2" t="s">
        <v>71</v>
      </c>
      <c r="H2" t="s">
        <v>72</v>
      </c>
      <c r="J2" t="s">
        <v>0</v>
      </c>
      <c r="L2" t="s">
        <v>79</v>
      </c>
    </row>
    <row r="4" spans="2:12" x14ac:dyDescent="0.3">
      <c r="B4">
        <v>4</v>
      </c>
      <c r="D4">
        <v>46.531999999999897</v>
      </c>
      <c r="E4">
        <v>0.46700000000000003</v>
      </c>
      <c r="F4">
        <v>4.5515971232939602E-3</v>
      </c>
      <c r="H4">
        <f>D4*'Energy Calibration'!$S$4+'Energy Calibration'!$T$4</f>
        <v>46.041480882249601</v>
      </c>
      <c r="J4" t="s">
        <v>89</v>
      </c>
      <c r="L4">
        <f>F4*E4*SQRT(2*PI())</f>
        <v>5.3280786745376167E-3</v>
      </c>
    </row>
    <row r="5" spans="2:12" x14ac:dyDescent="0.3">
      <c r="B5">
        <v>6</v>
      </c>
      <c r="D5">
        <v>63.5489999999999</v>
      </c>
      <c r="E5">
        <v>0.79</v>
      </c>
      <c r="F5" s="8">
        <v>3.86092716164228E-3</v>
      </c>
      <c r="H5">
        <f>D5*'Energy Calibration'!$S$4+'Energy Calibration'!$T$4</f>
        <v>63.044218866042108</v>
      </c>
      <c r="J5" t="s">
        <v>47</v>
      </c>
      <c r="L5">
        <f t="shared" ref="L5:L11" si="0">F5*E5*SQRT(2*PI())</f>
        <v>7.6455482598340495E-3</v>
      </c>
    </row>
    <row r="6" spans="2:12" x14ac:dyDescent="0.3">
      <c r="B6">
        <v>9</v>
      </c>
      <c r="D6">
        <v>93.045000000000002</v>
      </c>
      <c r="E6">
        <v>0.93</v>
      </c>
      <c r="F6">
        <v>6.3778268729326E-3</v>
      </c>
      <c r="H6">
        <f>D6*'Energy Calibration'!$S$4+'Energy Calibration'!$T$4</f>
        <v>92.515498149696427</v>
      </c>
      <c r="J6" t="s">
        <v>47</v>
      </c>
      <c r="L6">
        <f t="shared" si="0"/>
        <v>1.4867762288466672E-2</v>
      </c>
    </row>
    <row r="7" spans="2:12" x14ac:dyDescent="0.3">
      <c r="B7">
        <v>18</v>
      </c>
      <c r="D7">
        <v>186.504999999999</v>
      </c>
      <c r="E7">
        <v>0.442</v>
      </c>
      <c r="F7">
        <v>4.2660066369000901E-3</v>
      </c>
      <c r="H7">
        <f>D7*'Energy Calibration'!$S$4+'Energy Calibration'!$T$4</f>
        <v>185.89716894744166</v>
      </c>
      <c r="J7" t="s">
        <v>100</v>
      </c>
      <c r="L7">
        <f t="shared" si="0"/>
        <v>4.7264354422712328E-3</v>
      </c>
    </row>
    <row r="8" spans="2:12" x14ac:dyDescent="0.3">
      <c r="B8">
        <v>38</v>
      </c>
      <c r="D8">
        <v>512.27599999999995</v>
      </c>
      <c r="E8">
        <v>1.6139999999999901</v>
      </c>
      <c r="F8" s="8">
        <v>2.8625646559311099E-3</v>
      </c>
      <c r="H8">
        <f>D8*'Energy Calibration'!$S$4+'Energy Calibration'!$T$4</f>
        <v>511.39513896084503</v>
      </c>
      <c r="J8" t="s">
        <v>77</v>
      </c>
      <c r="L8">
        <f t="shared" si="0"/>
        <v>1.1581072204289205E-2</v>
      </c>
    </row>
    <row r="9" spans="2:12" x14ac:dyDescent="0.3">
      <c r="B9">
        <v>51</v>
      </c>
      <c r="D9">
        <v>1463.4059999999899</v>
      </c>
      <c r="E9">
        <v>1.8539999999999901</v>
      </c>
      <c r="F9">
        <v>8.1334035179188497E-4</v>
      </c>
      <c r="H9">
        <f>D9*'Energy Calibration'!$S$4+'Energy Calibration'!$T$4</f>
        <v>1461.7279930787504</v>
      </c>
      <c r="J9" t="s">
        <v>75</v>
      </c>
      <c r="L9">
        <f t="shared" si="0"/>
        <v>3.7798275246855263E-3</v>
      </c>
    </row>
    <row r="10" spans="2:12" x14ac:dyDescent="0.3">
      <c r="B10">
        <v>52</v>
      </c>
      <c r="D10">
        <v>1767.7169999999901</v>
      </c>
      <c r="E10">
        <v>1.09299999999999</v>
      </c>
      <c r="F10">
        <v>2.17634606764455E-4</v>
      </c>
      <c r="H10">
        <f>D10*'Energy Calibration'!$S$4+'Energy Calibration'!$T$4</f>
        <v>1765.7839488045472</v>
      </c>
      <c r="J10" t="s">
        <v>48</v>
      </c>
      <c r="L10">
        <f t="shared" si="0"/>
        <v>5.9626326132739688E-4</v>
      </c>
    </row>
    <row r="11" spans="2:12" x14ac:dyDescent="0.3">
      <c r="B11">
        <v>53</v>
      </c>
      <c r="D11">
        <v>2618.9389999999999</v>
      </c>
      <c r="E11">
        <v>2.5109999999999899</v>
      </c>
      <c r="F11">
        <v>2.4571282879988699E-4</v>
      </c>
      <c r="H11">
        <f>D11*'Energy Calibration'!$S$4+'Energy Calibration'!$T$4</f>
        <v>2616.2925362194846</v>
      </c>
      <c r="J11" t="s">
        <v>49</v>
      </c>
      <c r="L11">
        <f t="shared" si="0"/>
        <v>1.5465518282386044E-3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4C69-24C0-4AA0-809B-9896063DC9EF}">
  <dimension ref="B2:G12"/>
  <sheetViews>
    <sheetView workbookViewId="0">
      <selection activeCell="I16" sqref="I16"/>
    </sheetView>
  </sheetViews>
  <sheetFormatPr defaultRowHeight="14.4" x14ac:dyDescent="0.3"/>
  <sheetData>
    <row r="2" spans="2:7" x14ac:dyDescent="0.3">
      <c r="B2" t="s">
        <v>88</v>
      </c>
      <c r="F2" t="s">
        <v>95</v>
      </c>
      <c r="G2" t="s">
        <v>96</v>
      </c>
    </row>
    <row r="4" spans="2:7" x14ac:dyDescent="0.3">
      <c r="B4" t="s">
        <v>84</v>
      </c>
      <c r="F4" t="s">
        <v>92</v>
      </c>
    </row>
    <row r="6" spans="2:7" x14ac:dyDescent="0.3">
      <c r="B6" t="s">
        <v>85</v>
      </c>
      <c r="F6" t="s">
        <v>93</v>
      </c>
    </row>
    <row r="7" spans="2:7" x14ac:dyDescent="0.3">
      <c r="B7" t="s">
        <v>86</v>
      </c>
      <c r="F7" t="s">
        <v>211</v>
      </c>
    </row>
    <row r="8" spans="2:7" x14ac:dyDescent="0.3">
      <c r="B8" t="s">
        <v>51</v>
      </c>
      <c r="F8" t="s">
        <v>94</v>
      </c>
    </row>
    <row r="9" spans="2:7" x14ac:dyDescent="0.3">
      <c r="B9" t="s">
        <v>52</v>
      </c>
      <c r="F9" t="s">
        <v>50</v>
      </c>
    </row>
    <row r="10" spans="2:7" x14ac:dyDescent="0.3">
      <c r="B10" t="s">
        <v>87</v>
      </c>
      <c r="F10" t="s">
        <v>97</v>
      </c>
      <c r="G10" t="s">
        <v>98</v>
      </c>
    </row>
    <row r="11" spans="2:7" x14ac:dyDescent="0.3">
      <c r="B11" t="s">
        <v>89</v>
      </c>
      <c r="C11" t="s">
        <v>90</v>
      </c>
      <c r="F11" t="s">
        <v>99</v>
      </c>
    </row>
    <row r="12" spans="2:7" x14ac:dyDescent="0.3">
      <c r="B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Energy Calibration</vt:lpstr>
      <vt:lpstr>Energy Calibration (2)</vt:lpstr>
      <vt:lpstr>Energy Efficiency Calibration</vt:lpstr>
      <vt:lpstr>Energy Efficiency Calibrati (2)</vt:lpstr>
      <vt:lpstr>Geometry Efficiency Calibration</vt:lpstr>
      <vt:lpstr>Results</vt:lpstr>
      <vt:lpstr>Data</vt:lpstr>
      <vt:lpstr>Glenkinchie(12yo)</vt:lpstr>
      <vt:lpstr>Overall Background</vt:lpstr>
      <vt:lpstr>Decay 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2019-10-08T23:02:20Z</dcterms:created>
  <dcterms:modified xsi:type="dcterms:W3CDTF">2019-11-29T04:47:53Z</dcterms:modified>
</cp:coreProperties>
</file>