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C\Documents\repos\rhd_invest_priv\data\other_inputs\"/>
    </mc:Choice>
  </mc:AlternateContent>
  <bookViews>
    <workbookView xWindow="0" yWindow="0" windowWidth="19200" windowHeight="6760" activeTab="5"/>
  </bookViews>
  <sheets>
    <sheet name="Intervention 1" sheetId="1" r:id="rId1"/>
    <sheet name="Intervention 2" sheetId="2" r:id="rId2"/>
    <sheet name="Intervention 3" sheetId="3" r:id="rId3"/>
    <sheet name="Intervention 4" sheetId="4" r:id="rId4"/>
    <sheet name="Intervention 5" sheetId="5" r:id="rId5"/>
    <sheet name="Other cost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C14" i="2" l="1"/>
  <c r="C11" i="1"/>
  <c r="C10" i="1" l="1"/>
  <c r="C13" i="2"/>
  <c r="E14" i="2" l="1"/>
  <c r="D14" i="2" l="1"/>
  <c r="E26" i="1" l="1"/>
  <c r="C26" i="1"/>
  <c r="D26" i="1" s="1"/>
  <c r="D11" i="1"/>
  <c r="E11" i="1"/>
  <c r="E15" i="1" l="1"/>
  <c r="D15" i="1"/>
  <c r="D18" i="1"/>
  <c r="E17" i="1"/>
  <c r="E18" i="1" l="1"/>
  <c r="D17" i="1"/>
  <c r="N15" i="1"/>
  <c r="C15" i="1" s="1"/>
  <c r="E16" i="1" l="1"/>
  <c r="D16" i="1"/>
  <c r="E17" i="4"/>
  <c r="D17" i="4"/>
  <c r="E24" i="1"/>
  <c r="D24" i="1"/>
  <c r="C24" i="1"/>
  <c r="E14" i="1"/>
  <c r="D14" i="1"/>
  <c r="C14" i="1"/>
  <c r="E9" i="2" l="1"/>
  <c r="D9" i="2"/>
  <c r="D13" i="2" l="1"/>
  <c r="E21" i="1"/>
  <c r="D21" i="1"/>
  <c r="E13" i="2" l="1"/>
  <c r="E13" i="4"/>
  <c r="D13" i="4" l="1"/>
  <c r="D8" i="4"/>
  <c r="E8" i="4"/>
  <c r="E7" i="4"/>
  <c r="D7" i="4"/>
  <c r="D12" i="3"/>
  <c r="E12" i="3"/>
  <c r="E11" i="3"/>
  <c r="D11" i="3"/>
  <c r="D6" i="3"/>
  <c r="E6" i="3"/>
  <c r="E5" i="3"/>
  <c r="D5" i="3"/>
  <c r="E15" i="2"/>
  <c r="D15" i="2"/>
  <c r="D7" i="2"/>
  <c r="E7" i="2"/>
  <c r="E6" i="2"/>
  <c r="D6" i="2"/>
  <c r="E10" i="1"/>
  <c r="D10" i="1"/>
  <c r="E6" i="1"/>
  <c r="D6" i="1"/>
  <c r="E17" i="2" l="1"/>
  <c r="D17" i="2"/>
  <c r="C16" i="2"/>
  <c r="D16" i="2" s="1"/>
  <c r="K29" i="2"/>
  <c r="K28" i="2"/>
  <c r="E16" i="2" l="1"/>
  <c r="E16" i="4" l="1"/>
  <c r="D16" i="4"/>
  <c r="C15" i="4"/>
  <c r="E15" i="4" s="1"/>
  <c r="D14" i="3"/>
  <c r="E14" i="3"/>
  <c r="C13" i="3"/>
  <c r="E13" i="3" s="1"/>
  <c r="C8" i="2"/>
  <c r="E8" i="2" s="1"/>
  <c r="D8" i="2" l="1"/>
  <c r="D13" i="3"/>
  <c r="D15" i="4"/>
</calcChain>
</file>

<file path=xl/sharedStrings.xml><?xml version="1.0" encoding="utf-8"?>
<sst xmlns="http://schemas.openxmlformats.org/spreadsheetml/2006/main" count="299" uniqueCount="115">
  <si>
    <t>Primary prophylaxis</t>
  </si>
  <si>
    <t>Per case costs</t>
  </si>
  <si>
    <t>Low</t>
  </si>
  <si>
    <t>High</t>
  </si>
  <si>
    <t>https://www.msh.org/resources/international-medical-products-price-guide</t>
  </si>
  <si>
    <t>1 vial IM penicillin (1.2M IU)</t>
  </si>
  <si>
    <t>Health center outpatient visit</t>
  </si>
  <si>
    <t>https://www.who.int/choice/cost-effectiveness/inputs/country_inpatient_outpatient_2010.pdf?ua=1</t>
  </si>
  <si>
    <t>Currency</t>
  </si>
  <si>
    <t>Currency Year</t>
  </si>
  <si>
    <t>USD</t>
  </si>
  <si>
    <t>Mid</t>
  </si>
  <si>
    <t>Per pop costs</t>
  </si>
  <si>
    <t>per case</t>
  </si>
  <si>
    <t>per pop</t>
  </si>
  <si>
    <t>Ongoing provider education</t>
  </si>
  <si>
    <t>assumption</t>
  </si>
  <si>
    <t>10% of PIH MESH program time (overlap in costing with secondary prophylaxis)</t>
  </si>
  <si>
    <t>Community awareness/education campaign?</t>
  </si>
  <si>
    <t>Cuba program cost $200,000 USD (2010) for 10 years, $20,000 per year for 273,000 children age 5-24 (programmatic costs)</t>
  </si>
  <si>
    <t>For admin, education of health workers and community, M&amp;E survey, external evaluation</t>
  </si>
  <si>
    <t>Provider education, community awareness/education, admin, evaluation</t>
  </si>
  <si>
    <t>https://journals.plos.org/plosone/article?id=10.1371/journal.pone.0121363</t>
  </si>
  <si>
    <t xml:space="preserve">Prophylactic penicillin </t>
  </si>
  <si>
    <t>Alternative costing strategies:</t>
  </si>
  <si>
    <t>Cost Type</t>
  </si>
  <si>
    <t>per incident ARF in person without ARF history</t>
  </si>
  <si>
    <t>Assumption</t>
  </si>
  <si>
    <t>Transport to district hospital</t>
  </si>
  <si>
    <t>District hospital echo evaluation</t>
  </si>
  <si>
    <t>https://gh.bmj.com/content/4/3/e001449</t>
  </si>
  <si>
    <t>Notes</t>
  </si>
  <si>
    <t>Assumed similar cost to outpatient visit among severe patients enrolled in DH outpatient HF clinic</t>
  </si>
  <si>
    <t>Cost Shared with other Intervention?</t>
  </si>
  <si>
    <t>Intervention 2</t>
  </si>
  <si>
    <t>Ultrasound equipment</t>
  </si>
  <si>
    <t>Intervention 3</t>
  </si>
  <si>
    <t>per month per case of ARF history until age 21</t>
  </si>
  <si>
    <t>Heart failure management</t>
  </si>
  <si>
    <t>per patient-year</t>
  </si>
  <si>
    <t>Cost for all HF patients, assumed for RHD HF patients</t>
  </si>
  <si>
    <t>INR machine</t>
  </si>
  <si>
    <t>Heart failure management: tradeable cost</t>
  </si>
  <si>
    <t>Heart failure management: non-tradeable cost</t>
  </si>
  <si>
    <t>Country Costed</t>
  </si>
  <si>
    <t>Rwanda</t>
  </si>
  <si>
    <t>Tradeable</t>
  </si>
  <si>
    <t>Average</t>
  </si>
  <si>
    <t>Cuba</t>
  </si>
  <si>
    <t>Intervention 4</t>
  </si>
  <si>
    <t>Baseline training</t>
  </si>
  <si>
    <t>per 300,000 people per 3 years</t>
  </si>
  <si>
    <t>per 300,000 people per 5 years</t>
  </si>
  <si>
    <t>Other clinic supplies</t>
  </si>
  <si>
    <t>2/3 of cost for NCD clinic in Butaro--presumably less time if training not also on some other conditions</t>
  </si>
  <si>
    <t>per 300,000 people initial cost</t>
  </si>
  <si>
    <t>Intervention 2 &amp; 4</t>
  </si>
  <si>
    <t>Intervention 3 &amp; 4</t>
  </si>
  <si>
    <t>Post-surgical management: tradeable cost</t>
  </si>
  <si>
    <t>Post-surgical management: non-tradeable cost</t>
  </si>
  <si>
    <t>Flight to international surgery</t>
  </si>
  <si>
    <t>per surgery</t>
  </si>
  <si>
    <t>Valve surgery</t>
  </si>
  <si>
    <t>South Africa</t>
  </si>
  <si>
    <t>https://www.ahajournals.org/doi/full/10.1161/CIRCOUTCOMES.111.000032?url_ver=Z39.88-2003&amp;rfr_id=ori:rid:crossref.org&amp;rfr_dat=cr_pub%3dpubmed</t>
  </si>
  <si>
    <t>Evaluation and counseling on family planning</t>
  </si>
  <si>
    <t>Translates to 0.07 per 5-24 population per year</t>
  </si>
  <si>
    <t>per 5-24 pop per year</t>
  </si>
  <si>
    <t>Intervention 2 &amp; 3</t>
  </si>
  <si>
    <t>PEN-Plus in Rwanda</t>
  </si>
  <si>
    <t>More advanced ultrasound equipment (national-level)</t>
  </si>
  <si>
    <t>350/month</t>
  </si>
  <si>
    <t>district MESH</t>
  </si>
  <si>
    <t>200/month HC nurse</t>
  </si>
  <si>
    <t>Roughly 1 cent per capita, a bit cheaper than the Cuba number</t>
  </si>
  <si>
    <t>Intervention 1</t>
  </si>
  <si>
    <t>Surgery</t>
  </si>
  <si>
    <t>per treated case</t>
  </si>
  <si>
    <t>10% of PIH MESH program time (overlap in costing with secondary prophylaxis), DH nurse mentor is 328,217 rwf monthly, HC nurse is 194,447, using 10% of each one's time, figure 1 mentor for 250k pop and 10 HCs</t>
  </si>
  <si>
    <t>Ongoing provider education and mentorship</t>
  </si>
  <si>
    <t>Toggle</t>
  </si>
  <si>
    <t>Transport to health center for monthly injection</t>
  </si>
  <si>
    <t>Patient transport cost to HC</t>
  </si>
  <si>
    <t>Community costing (if others on, turn this off, vice versa)</t>
  </si>
  <si>
    <t>CHW time</t>
  </si>
  <si>
    <t>Oral amoxicillin (500 mg tablet x 6 days)</t>
  </si>
  <si>
    <t>Oral penicillin (VK 250 mg tab, 2x per day x 10 days)</t>
  </si>
  <si>
    <t>Penicillin, Phenoxymethyl (pen. V) 250 mg TAB-CAP (PO)</t>
  </si>
  <si>
    <t>Annual salary:</t>
  </si>
  <si>
    <t>CHW training</t>
  </si>
  <si>
    <t>https://www.scielosp.org/article/bwho/2013.v91n4/244-253b/en/</t>
  </si>
  <si>
    <t>Cost of training 50 CHWs annually, divided by 50 CHWs, divided by the cases seen per year</t>
  </si>
  <si>
    <t>CHW gear (phone, backpack, etc.)</t>
  </si>
  <si>
    <t>Median length of stay in US study 3 days (miyake 2007)</t>
  </si>
  <si>
    <t>ARF hospital admission (uncovered)</t>
  </si>
  <si>
    <t>Annual amount</t>
  </si>
  <si>
    <t>CHW administrative costs (manager)</t>
  </si>
  <si>
    <t>assumption, informed by https://www.who.int/bulletin/volumes/91/4/12-109660/en/</t>
  </si>
  <si>
    <t>Clients per day</t>
  </si>
  <si>
    <t>per CHW</t>
  </si>
  <si>
    <t>per 50 CHW</t>
  </si>
  <si>
    <t>per 30 CHW</t>
  </si>
  <si>
    <t>WHO CHOICE</t>
  </si>
  <si>
    <t>https://gh.bmj.com/content/3/4/e000809</t>
  </si>
  <si>
    <t>Burkina Faso</t>
  </si>
  <si>
    <t>Community awareness/education campaign</t>
  </si>
  <si>
    <t>Cameroon</t>
  </si>
  <si>
    <t>https://link.springer.com/article/10.1186/1475-2875-12-36</t>
  </si>
  <si>
    <t>Mass media awareness/education campaign</t>
  </si>
  <si>
    <t>per 10 million pop per 5 years</t>
  </si>
  <si>
    <t>per pop per 3 years</t>
  </si>
  <si>
    <t>Not as large of a campaign (1/3 cost) as in Cameroon for malaria, conducted every 3 years</t>
  </si>
  <si>
    <t>Not included in analysis--retained here for option</t>
  </si>
  <si>
    <t>Alternative costing strategies (not used):</t>
  </si>
  <si>
    <t>Irlam is 10967 (7531-14803), 2010 USD, 4000-6000 USD more current per 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</si>
</sst>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2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3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4" fillId="0" borderId="0" xfId="2" applyFont="1"/>
    <xf numFmtId="0" fontId="0" fillId="0" borderId="0" xfId="0" applyFont="1" applyFill="1"/>
    <xf numFmtId="2" fontId="0" fillId="0" borderId="0" xfId="0" applyNumberFormat="1"/>
    <xf numFmtId="0" fontId="0" fillId="0" borderId="0" xfId="0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journals.plos.org/plosone/article?id=10.1371/journal.pone.0121363" TargetMode="External"/><Relationship Id="rId7" Type="http://schemas.openxmlformats.org/officeDocument/2006/relationships/hyperlink" Target="https://www.who.int/bulletin/volumes/91/4/12-109660/en/" TargetMode="External"/><Relationship Id="rId2" Type="http://schemas.openxmlformats.org/officeDocument/2006/relationships/hyperlink" Target="https://www.who.int/choice/cost-effectiveness/inputs/country_inpatient_outpatient_2010.pdf?ua=1" TargetMode="External"/><Relationship Id="rId1" Type="http://schemas.openxmlformats.org/officeDocument/2006/relationships/hyperlink" Target="https://www.msh.org/resources/international-medical-products-price-guide" TargetMode="External"/><Relationship Id="rId6" Type="http://schemas.openxmlformats.org/officeDocument/2006/relationships/hyperlink" Target="https://www.scielosp.org/article/bwho/2013.v91n4/244-253b/en/" TargetMode="External"/><Relationship Id="rId5" Type="http://schemas.openxmlformats.org/officeDocument/2006/relationships/hyperlink" Target="https://www.msh.org/resources/international-medical-products-price-guide" TargetMode="External"/><Relationship Id="rId4" Type="http://schemas.openxmlformats.org/officeDocument/2006/relationships/hyperlink" Target="https://www.msh.org/resources/international-medical-products-price-gui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h.bmj.com/content/4/3/e001449" TargetMode="External"/><Relationship Id="rId2" Type="http://schemas.openxmlformats.org/officeDocument/2006/relationships/hyperlink" Target="https://www.who.int/choice/cost-effectiveness/inputs/country_inpatient_outpatient_2010.pdf?ua=1" TargetMode="External"/><Relationship Id="rId1" Type="http://schemas.openxmlformats.org/officeDocument/2006/relationships/hyperlink" Target="https://www.msh.org/resources/international-medical-products-price-guide" TargetMode="External"/><Relationship Id="rId5" Type="http://schemas.openxmlformats.org/officeDocument/2006/relationships/hyperlink" Target="https://gh.bmj.com/content/4/3/e001449" TargetMode="External"/><Relationship Id="rId4" Type="http://schemas.openxmlformats.org/officeDocument/2006/relationships/hyperlink" Target="https://gh.bmj.com/content/4/3/e00144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h.bmj.com/content/4/3/e001449" TargetMode="External"/><Relationship Id="rId2" Type="http://schemas.openxmlformats.org/officeDocument/2006/relationships/hyperlink" Target="https://gh.bmj.com/content/4/3/e001449" TargetMode="External"/><Relationship Id="rId1" Type="http://schemas.openxmlformats.org/officeDocument/2006/relationships/hyperlink" Target="https://gh.bmj.com/content/4/3/e001449" TargetMode="External"/><Relationship Id="rId6" Type="http://schemas.openxmlformats.org/officeDocument/2006/relationships/hyperlink" Target="https://gh.bmj.com/content/4/3/e001449" TargetMode="External"/><Relationship Id="rId5" Type="http://schemas.openxmlformats.org/officeDocument/2006/relationships/hyperlink" Target="https://gh.bmj.com/content/4/3/e001449" TargetMode="External"/><Relationship Id="rId4" Type="http://schemas.openxmlformats.org/officeDocument/2006/relationships/hyperlink" Target="https://gh.bmj.com/content/4/3/e00144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h.bmj.com/content/4/3/e001449" TargetMode="External"/><Relationship Id="rId2" Type="http://schemas.openxmlformats.org/officeDocument/2006/relationships/hyperlink" Target="https://gh.bmj.com/content/4/3/e001449" TargetMode="External"/><Relationship Id="rId1" Type="http://schemas.openxmlformats.org/officeDocument/2006/relationships/hyperlink" Target="https://gh.bmj.com/content/4/3/e001449" TargetMode="External"/><Relationship Id="rId6" Type="http://schemas.openxmlformats.org/officeDocument/2006/relationships/hyperlink" Target="https://gh.bmj.com/content/4/3/e001449" TargetMode="External"/><Relationship Id="rId5" Type="http://schemas.openxmlformats.org/officeDocument/2006/relationships/hyperlink" Target="https://www.ahajournals.org/doi/full/10.1161/CIRCOUTCOMES.111.000032?url_ver=Z39.88-2003&amp;rfr_id=ori:rid:crossref.org&amp;rfr_dat=cr_pub%3dpubmed" TargetMode="External"/><Relationship Id="rId4" Type="http://schemas.openxmlformats.org/officeDocument/2006/relationships/hyperlink" Target="https://gh.bmj.com/content/4/3/e00144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zoomScale="85" zoomScaleNormal="85" workbookViewId="0">
      <selection activeCell="G17" sqref="G17"/>
    </sheetView>
  </sheetViews>
  <sheetFormatPr defaultRowHeight="14.5" x14ac:dyDescent="0.35"/>
  <cols>
    <col min="1" max="1" width="45.1796875" customWidth="1"/>
    <col min="2" max="2" width="9.36328125" customWidth="1"/>
    <col min="7" max="7" width="13.26953125" customWidth="1"/>
    <col min="8" max="8" width="19" bestFit="1" customWidth="1"/>
    <col min="9" max="10" width="12.26953125" customWidth="1"/>
  </cols>
  <sheetData>
    <row r="1" spans="1:19" x14ac:dyDescent="0.35">
      <c r="A1" s="1" t="s">
        <v>0</v>
      </c>
      <c r="B1" s="1"/>
    </row>
    <row r="2" spans="1:19" x14ac:dyDescent="0.35">
      <c r="A2" s="1"/>
      <c r="B2" s="1"/>
    </row>
    <row r="3" spans="1:19" ht="43.5" x14ac:dyDescent="0.35">
      <c r="B3" t="s">
        <v>80</v>
      </c>
      <c r="C3" s="1" t="s">
        <v>11</v>
      </c>
      <c r="D3" s="1" t="s">
        <v>2</v>
      </c>
      <c r="E3" s="1" t="s">
        <v>3</v>
      </c>
      <c r="F3" s="1" t="s">
        <v>8</v>
      </c>
      <c r="G3" s="1" t="s">
        <v>9</v>
      </c>
      <c r="H3" s="1" t="s">
        <v>25</v>
      </c>
      <c r="I3" s="5" t="s">
        <v>33</v>
      </c>
      <c r="J3" s="5" t="s">
        <v>44</v>
      </c>
      <c r="L3" s="1" t="s">
        <v>31</v>
      </c>
    </row>
    <row r="4" spans="1:19" x14ac:dyDescent="0.35">
      <c r="A4" s="1" t="s">
        <v>1</v>
      </c>
      <c r="B4" s="1"/>
    </row>
    <row r="5" spans="1:19" x14ac:dyDescent="0.35">
      <c r="A5" s="2" t="s">
        <v>5</v>
      </c>
      <c r="B5" s="2">
        <v>1</v>
      </c>
      <c r="C5">
        <v>0.18</v>
      </c>
      <c r="D5">
        <v>0.13</v>
      </c>
      <c r="E5">
        <v>0.22</v>
      </c>
      <c r="F5" t="s">
        <v>10</v>
      </c>
      <c r="G5">
        <v>2015</v>
      </c>
      <c r="H5" s="12" t="s">
        <v>77</v>
      </c>
      <c r="J5" t="s">
        <v>46</v>
      </c>
      <c r="K5" s="3" t="s">
        <v>4</v>
      </c>
    </row>
    <row r="6" spans="1:19" x14ac:dyDescent="0.35">
      <c r="A6" s="2" t="s">
        <v>6</v>
      </c>
      <c r="B6" s="2">
        <v>1</v>
      </c>
      <c r="C6">
        <v>2.02</v>
      </c>
      <c r="D6">
        <f>C6*0.66</f>
        <v>1.3332000000000002</v>
      </c>
      <c r="E6">
        <f>C6*1.33</f>
        <v>2.6866000000000003</v>
      </c>
      <c r="F6" t="s">
        <v>10</v>
      </c>
      <c r="G6">
        <v>2010</v>
      </c>
      <c r="H6" s="12" t="s">
        <v>13</v>
      </c>
      <c r="J6" t="s">
        <v>47</v>
      </c>
      <c r="K6" s="3" t="s">
        <v>7</v>
      </c>
    </row>
    <row r="7" spans="1:19" x14ac:dyDescent="0.35">
      <c r="A7" s="10" t="s">
        <v>82</v>
      </c>
      <c r="B7" s="10">
        <v>0</v>
      </c>
      <c r="C7">
        <v>2</v>
      </c>
      <c r="D7">
        <f>C7*0.66</f>
        <v>1.32</v>
      </c>
      <c r="E7">
        <f>C7*1.33</f>
        <v>2.66</v>
      </c>
      <c r="F7" t="s">
        <v>10</v>
      </c>
      <c r="G7">
        <v>2019</v>
      </c>
      <c r="H7" s="12" t="s">
        <v>13</v>
      </c>
      <c r="J7" t="s">
        <v>47</v>
      </c>
      <c r="K7" t="s">
        <v>112</v>
      </c>
    </row>
    <row r="8" spans="1:19" x14ac:dyDescent="0.35">
      <c r="H8" s="12"/>
    </row>
    <row r="9" spans="1:19" x14ac:dyDescent="0.35">
      <c r="A9" s="1" t="s">
        <v>12</v>
      </c>
      <c r="B9" s="1"/>
      <c r="H9" s="12"/>
    </row>
    <row r="10" spans="1:19" x14ac:dyDescent="0.35">
      <c r="A10" t="s">
        <v>79</v>
      </c>
      <c r="B10">
        <v>1</v>
      </c>
      <c r="C10">
        <f>(328217/911*0.1*12+194447/911*0.1*10*12)/250000</f>
        <v>1.1974640614709113E-2</v>
      </c>
      <c r="D10">
        <f>C10*0.66</f>
        <v>7.9032628057080154E-3</v>
      </c>
      <c r="E10">
        <f>C10*1.33</f>
        <v>1.5926272017563123E-2</v>
      </c>
      <c r="F10" t="s">
        <v>10</v>
      </c>
      <c r="G10">
        <v>2019</v>
      </c>
      <c r="H10" s="12" t="s">
        <v>14</v>
      </c>
      <c r="I10" t="s">
        <v>34</v>
      </c>
      <c r="J10" t="s">
        <v>45</v>
      </c>
      <c r="K10" t="s">
        <v>78</v>
      </c>
    </row>
    <row r="11" spans="1:19" x14ac:dyDescent="0.35">
      <c r="A11" t="s">
        <v>108</v>
      </c>
      <c r="B11">
        <v>1</v>
      </c>
      <c r="C11">
        <f>842966.34/21490000/3</f>
        <v>1.3075327128897161E-2</v>
      </c>
      <c r="D11">
        <f>C11*0.66</f>
        <v>8.6297159050721262E-3</v>
      </c>
      <c r="E11">
        <f>C11*1.33</f>
        <v>1.7390185081433227E-2</v>
      </c>
      <c r="F11" t="s">
        <v>10</v>
      </c>
      <c r="G11">
        <v>2012</v>
      </c>
      <c r="H11" s="12" t="s">
        <v>110</v>
      </c>
      <c r="I11" t="s">
        <v>34</v>
      </c>
      <c r="J11" t="s">
        <v>106</v>
      </c>
      <c r="K11" t="s">
        <v>107</v>
      </c>
      <c r="L11" t="s">
        <v>111</v>
      </c>
    </row>
    <row r="12" spans="1:19" x14ac:dyDescent="0.35">
      <c r="H12" s="12"/>
    </row>
    <row r="13" spans="1:19" x14ac:dyDescent="0.35">
      <c r="A13" s="1" t="s">
        <v>83</v>
      </c>
      <c r="H13" s="12"/>
    </row>
    <row r="14" spans="1:19" x14ac:dyDescent="0.35">
      <c r="A14" t="s">
        <v>85</v>
      </c>
      <c r="B14">
        <v>0</v>
      </c>
      <c r="C14">
        <f>0.03*6</f>
        <v>0.18</v>
      </c>
      <c r="D14">
        <f>0.025*6</f>
        <v>0.15000000000000002</v>
      </c>
      <c r="E14">
        <f>0.038*6</f>
        <v>0.22799999999999998</v>
      </c>
      <c r="F14" t="s">
        <v>10</v>
      </c>
      <c r="G14">
        <v>2015</v>
      </c>
      <c r="H14" s="12" t="s">
        <v>77</v>
      </c>
      <c r="J14" t="s">
        <v>46</v>
      </c>
      <c r="K14" s="3" t="s">
        <v>4</v>
      </c>
    </row>
    <row r="15" spans="1:19" x14ac:dyDescent="0.35">
      <c r="A15" t="s">
        <v>84</v>
      </c>
      <c r="B15">
        <v>0</v>
      </c>
      <c r="C15">
        <f>N15</f>
        <v>960</v>
      </c>
      <c r="D15">
        <f>O15</f>
        <v>300</v>
      </c>
      <c r="E15">
        <f>P15</f>
        <v>1500</v>
      </c>
      <c r="F15" t="s">
        <v>10</v>
      </c>
      <c r="G15">
        <v>2012</v>
      </c>
      <c r="H15" s="12" t="s">
        <v>99</v>
      </c>
      <c r="J15" t="s">
        <v>47</v>
      </c>
      <c r="K15" t="s">
        <v>16</v>
      </c>
      <c r="M15" t="s">
        <v>88</v>
      </c>
      <c r="N15">
        <f>80*12</f>
        <v>960</v>
      </c>
      <c r="O15">
        <v>300</v>
      </c>
      <c r="P15">
        <v>1500</v>
      </c>
      <c r="R15" t="s">
        <v>98</v>
      </c>
      <c r="S15">
        <v>6</v>
      </c>
    </row>
    <row r="16" spans="1:19" x14ac:dyDescent="0.35">
      <c r="A16" t="s">
        <v>89</v>
      </c>
      <c r="B16">
        <v>0</v>
      </c>
      <c r="C16">
        <v>300</v>
      </c>
      <c r="D16">
        <f>C16*0.66</f>
        <v>198</v>
      </c>
      <c r="E16">
        <f>C16*1.33</f>
        <v>399</v>
      </c>
      <c r="F16" t="s">
        <v>10</v>
      </c>
      <c r="G16">
        <v>2012</v>
      </c>
      <c r="H16" s="12" t="s">
        <v>100</v>
      </c>
      <c r="J16" t="s">
        <v>47</v>
      </c>
      <c r="K16" s="3" t="s">
        <v>90</v>
      </c>
      <c r="L16" t="s">
        <v>91</v>
      </c>
    </row>
    <row r="17" spans="1:14" x14ac:dyDescent="0.35">
      <c r="A17" t="s">
        <v>92</v>
      </c>
      <c r="B17">
        <v>0</v>
      </c>
      <c r="C17">
        <v>400</v>
      </c>
      <c r="D17">
        <f>C17*0.66</f>
        <v>264</v>
      </c>
      <c r="E17">
        <f>C17*1.33</f>
        <v>532</v>
      </c>
      <c r="F17" t="s">
        <v>10</v>
      </c>
      <c r="G17">
        <v>2019</v>
      </c>
      <c r="H17" s="12" t="s">
        <v>99</v>
      </c>
      <c r="J17" t="s">
        <v>47</v>
      </c>
      <c r="K17" s="3" t="s">
        <v>97</v>
      </c>
      <c r="M17" t="s">
        <v>95</v>
      </c>
      <c r="N17">
        <v>400</v>
      </c>
    </row>
    <row r="18" spans="1:14" x14ac:dyDescent="0.35">
      <c r="A18" t="s">
        <v>96</v>
      </c>
      <c r="B18">
        <v>0</v>
      </c>
      <c r="C18">
        <v>9600</v>
      </c>
      <c r="D18">
        <f>C18*0.66</f>
        <v>6336</v>
      </c>
      <c r="E18">
        <f>C18*1.33</f>
        <v>12768</v>
      </c>
      <c r="F18" t="s">
        <v>10</v>
      </c>
      <c r="G18">
        <v>2012</v>
      </c>
      <c r="H18" s="12" t="s">
        <v>101</v>
      </c>
      <c r="J18" t="s">
        <v>47</v>
      </c>
    </row>
    <row r="20" spans="1:14" x14ac:dyDescent="0.35">
      <c r="A20" t="s">
        <v>113</v>
      </c>
    </row>
    <row r="21" spans="1:14" ht="29" x14ac:dyDescent="0.35">
      <c r="A21" s="4" t="s">
        <v>21</v>
      </c>
      <c r="B21" s="4"/>
      <c r="C21">
        <v>7.0000000000000007E-2</v>
      </c>
      <c r="D21">
        <f>C21*0.66</f>
        <v>4.6200000000000005E-2</v>
      </c>
      <c r="E21">
        <f>C21*1.33</f>
        <v>9.3100000000000016E-2</v>
      </c>
      <c r="F21" t="s">
        <v>10</v>
      </c>
      <c r="G21">
        <v>2010</v>
      </c>
      <c r="H21" t="s">
        <v>67</v>
      </c>
      <c r="I21" t="s">
        <v>34</v>
      </c>
      <c r="J21" t="s">
        <v>48</v>
      </c>
      <c r="K21" s="3" t="s">
        <v>22</v>
      </c>
      <c r="L21" t="s">
        <v>19</v>
      </c>
    </row>
    <row r="22" spans="1:14" x14ac:dyDescent="0.35">
      <c r="A22" s="1"/>
      <c r="B22" s="1"/>
      <c r="L22" t="s">
        <v>20</v>
      </c>
    </row>
    <row r="23" spans="1:14" x14ac:dyDescent="0.35">
      <c r="L23" t="s">
        <v>66</v>
      </c>
    </row>
    <row r="24" spans="1:14" x14ac:dyDescent="0.35">
      <c r="A24" t="s">
        <v>86</v>
      </c>
      <c r="C24">
        <f>0.0176*10*2</f>
        <v>0.35200000000000004</v>
      </c>
      <c r="D24">
        <f>0.012*2*10</f>
        <v>0.24</v>
      </c>
      <c r="E24">
        <f>0.021*2*10</f>
        <v>0.42000000000000004</v>
      </c>
      <c r="F24" t="s">
        <v>10</v>
      </c>
      <c r="G24">
        <v>2015</v>
      </c>
      <c r="H24" s="12" t="s">
        <v>77</v>
      </c>
      <c r="J24" t="s">
        <v>46</v>
      </c>
      <c r="K24" s="3" t="s">
        <v>4</v>
      </c>
    </row>
    <row r="25" spans="1:14" x14ac:dyDescent="0.35">
      <c r="A25" t="s">
        <v>87</v>
      </c>
    </row>
    <row r="26" spans="1:14" x14ac:dyDescent="0.35">
      <c r="A26" t="s">
        <v>105</v>
      </c>
      <c r="B26">
        <v>0</v>
      </c>
      <c r="C26">
        <f>213647/2400000</f>
        <v>8.9019583333333333E-2</v>
      </c>
      <c r="D26">
        <f>C26*0.66</f>
        <v>5.8752925000000004E-2</v>
      </c>
      <c r="E26">
        <f>C26*1.33</f>
        <v>0.11839604583333334</v>
      </c>
      <c r="F26" t="s">
        <v>10</v>
      </c>
      <c r="G26">
        <v>2015</v>
      </c>
      <c r="H26" t="s">
        <v>14</v>
      </c>
      <c r="I26" t="s">
        <v>34</v>
      </c>
      <c r="J26" t="s">
        <v>104</v>
      </c>
      <c r="K26" t="s">
        <v>103</v>
      </c>
    </row>
  </sheetData>
  <hyperlinks>
    <hyperlink ref="K5" r:id="rId1"/>
    <hyperlink ref="K6" r:id="rId2"/>
    <hyperlink ref="K21" r:id="rId3"/>
    <hyperlink ref="K14" r:id="rId4"/>
    <hyperlink ref="K24" r:id="rId5"/>
    <hyperlink ref="K16" r:id="rId6"/>
    <hyperlink ref="K17" r:id="rId7" display="https://www.who.int/bulletin/volumes/91/4/12-109660/en/"/>
  </hyperlinks>
  <pageMargins left="0.7" right="0.7" top="0.75" bottom="0.75" header="0.3" footer="0.3"/>
  <pageSetup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3" workbookViewId="0">
      <selection activeCell="H16" sqref="H16"/>
    </sheetView>
  </sheetViews>
  <sheetFormatPr defaultRowHeight="14.5" x14ac:dyDescent="0.35"/>
  <cols>
    <col min="1" max="1" width="27.81640625" customWidth="1"/>
    <col min="2" max="2" width="9.7265625" customWidth="1"/>
    <col min="7" max="7" width="13.453125" customWidth="1"/>
    <col min="8" max="8" width="41.26953125" customWidth="1"/>
    <col min="9" max="10" width="16.7265625" customWidth="1"/>
  </cols>
  <sheetData>
    <row r="1" spans="1:12" x14ac:dyDescent="0.35">
      <c r="A1" s="1" t="s">
        <v>23</v>
      </c>
      <c r="B1" s="1"/>
    </row>
    <row r="3" spans="1:12" ht="43.5" x14ac:dyDescent="0.35">
      <c r="C3" s="1" t="s">
        <v>11</v>
      </c>
      <c r="D3" s="1" t="s">
        <v>2</v>
      </c>
      <c r="E3" s="1" t="s">
        <v>3</v>
      </c>
      <c r="F3" s="1" t="s">
        <v>8</v>
      </c>
      <c r="G3" s="1" t="s">
        <v>9</v>
      </c>
      <c r="H3" s="1" t="s">
        <v>25</v>
      </c>
      <c r="I3" s="5" t="s">
        <v>33</v>
      </c>
      <c r="J3" s="5" t="s">
        <v>44</v>
      </c>
      <c r="L3" s="1" t="s">
        <v>31</v>
      </c>
    </row>
    <row r="4" spans="1:12" x14ac:dyDescent="0.35">
      <c r="A4" s="1" t="s">
        <v>1</v>
      </c>
      <c r="B4" s="1"/>
    </row>
    <row r="5" spans="1:12" x14ac:dyDescent="0.35">
      <c r="A5" s="2" t="s">
        <v>5</v>
      </c>
      <c r="B5" s="2">
        <v>1</v>
      </c>
      <c r="C5">
        <v>0.18</v>
      </c>
      <c r="D5">
        <v>0.13</v>
      </c>
      <c r="E5">
        <v>0.22</v>
      </c>
      <c r="F5" t="s">
        <v>10</v>
      </c>
      <c r="G5">
        <v>2015</v>
      </c>
      <c r="H5" t="s">
        <v>37</v>
      </c>
      <c r="J5" t="s">
        <v>46</v>
      </c>
      <c r="K5" s="3" t="s">
        <v>4</v>
      </c>
    </row>
    <row r="6" spans="1:12" x14ac:dyDescent="0.35">
      <c r="A6" s="2" t="s">
        <v>6</v>
      </c>
      <c r="B6" s="2">
        <v>1</v>
      </c>
      <c r="C6">
        <v>2.02</v>
      </c>
      <c r="D6">
        <f>C6*0.66</f>
        <v>1.3332000000000002</v>
      </c>
      <c r="E6">
        <f>C6*1.33</f>
        <v>2.6866000000000003</v>
      </c>
      <c r="F6" t="s">
        <v>10</v>
      </c>
      <c r="G6">
        <v>2010</v>
      </c>
      <c r="H6" t="s">
        <v>37</v>
      </c>
      <c r="J6" t="s">
        <v>47</v>
      </c>
      <c r="K6" s="3" t="s">
        <v>7</v>
      </c>
    </row>
    <row r="7" spans="1:12" x14ac:dyDescent="0.35">
      <c r="A7" s="2" t="s">
        <v>28</v>
      </c>
      <c r="B7" s="2">
        <v>1</v>
      </c>
      <c r="C7">
        <v>10</v>
      </c>
      <c r="D7">
        <f>C7*0.66</f>
        <v>6.6000000000000005</v>
      </c>
      <c r="E7">
        <f>C7*1.33</f>
        <v>13.3</v>
      </c>
      <c r="F7" t="s">
        <v>10</v>
      </c>
      <c r="G7">
        <v>2019</v>
      </c>
      <c r="H7" t="s">
        <v>26</v>
      </c>
      <c r="J7" t="s">
        <v>47</v>
      </c>
      <c r="K7" t="s">
        <v>27</v>
      </c>
    </row>
    <row r="8" spans="1:12" x14ac:dyDescent="0.35">
      <c r="A8" s="2" t="s">
        <v>29</v>
      </c>
      <c r="B8" s="2">
        <v>1</v>
      </c>
      <c r="C8">
        <f>151.32/5.3</f>
        <v>28.550943396226415</v>
      </c>
      <c r="D8">
        <f>C8*0.66</f>
        <v>18.843622641509434</v>
      </c>
      <c r="E8">
        <f>C8*1.33</f>
        <v>37.972754716981136</v>
      </c>
      <c r="F8" t="s">
        <v>10</v>
      </c>
      <c r="G8">
        <v>2014</v>
      </c>
      <c r="H8" t="s">
        <v>26</v>
      </c>
      <c r="J8" t="s">
        <v>45</v>
      </c>
      <c r="K8" s="3" t="s">
        <v>30</v>
      </c>
      <c r="L8" t="s">
        <v>32</v>
      </c>
    </row>
    <row r="9" spans="1:12" x14ac:dyDescent="0.35">
      <c r="A9" s="2" t="s">
        <v>81</v>
      </c>
      <c r="B9" s="2">
        <v>1</v>
      </c>
      <c r="C9">
        <v>2</v>
      </c>
      <c r="D9">
        <f>C9*0.66</f>
        <v>1.32</v>
      </c>
      <c r="E9">
        <f>C9*1.33</f>
        <v>2.66</v>
      </c>
      <c r="F9" t="s">
        <v>10</v>
      </c>
      <c r="G9">
        <v>2019</v>
      </c>
      <c r="H9" t="s">
        <v>37</v>
      </c>
      <c r="J9" t="s">
        <v>47</v>
      </c>
      <c r="K9" s="3"/>
    </row>
    <row r="10" spans="1:12" x14ac:dyDescent="0.35">
      <c r="A10" s="2"/>
      <c r="B10" s="2"/>
      <c r="K10" s="3"/>
    </row>
    <row r="12" spans="1:12" x14ac:dyDescent="0.35">
      <c r="A12" s="1" t="s">
        <v>12</v>
      </c>
      <c r="B12" s="1"/>
    </row>
    <row r="13" spans="1:12" x14ac:dyDescent="0.35">
      <c r="A13" t="s">
        <v>79</v>
      </c>
      <c r="B13">
        <v>1</v>
      </c>
      <c r="C13">
        <f>(328217/911*0.1+194447/911*0.1*10*12)/250000</f>
        <v>1.0389399341383098E-2</v>
      </c>
      <c r="D13">
        <f>C13*0.66</f>
        <v>6.8570035653128447E-3</v>
      </c>
      <c r="E13">
        <f>C13*1.33</f>
        <v>1.381790112403952E-2</v>
      </c>
      <c r="F13" t="s">
        <v>10</v>
      </c>
      <c r="G13">
        <v>2019</v>
      </c>
      <c r="H13" t="s">
        <v>14</v>
      </c>
      <c r="I13" t="s">
        <v>75</v>
      </c>
      <c r="J13" t="s">
        <v>45</v>
      </c>
      <c r="K13" t="s">
        <v>78</v>
      </c>
    </row>
    <row r="14" spans="1:12" x14ac:dyDescent="0.35">
      <c r="A14" t="s">
        <v>108</v>
      </c>
      <c r="B14">
        <v>1</v>
      </c>
      <c r="C14">
        <f>842966.34/21490000/3</f>
        <v>1.3075327128897161E-2</v>
      </c>
      <c r="D14">
        <f>C14*0.66</f>
        <v>8.6297159050721262E-3</v>
      </c>
      <c r="E14">
        <f>C14*1.33</f>
        <v>1.7390185081433227E-2</v>
      </c>
      <c r="F14" t="s">
        <v>10</v>
      </c>
      <c r="G14">
        <v>2012</v>
      </c>
      <c r="H14" t="s">
        <v>110</v>
      </c>
      <c r="I14" t="s">
        <v>34</v>
      </c>
      <c r="J14" t="s">
        <v>106</v>
      </c>
      <c r="K14" t="s">
        <v>107</v>
      </c>
      <c r="L14" t="s">
        <v>111</v>
      </c>
    </row>
    <row r="15" spans="1:12" x14ac:dyDescent="0.35">
      <c r="A15" s="2" t="s">
        <v>35</v>
      </c>
      <c r="B15" s="2">
        <v>1</v>
      </c>
      <c r="C15" s="6">
        <v>4000</v>
      </c>
      <c r="D15" s="6">
        <f>C15*0.66</f>
        <v>2640</v>
      </c>
      <c r="E15" s="6">
        <f>C15*1.33</f>
        <v>5320</v>
      </c>
      <c r="F15" t="s">
        <v>10</v>
      </c>
      <c r="G15">
        <v>2019</v>
      </c>
      <c r="H15" t="s">
        <v>51</v>
      </c>
      <c r="I15" t="s">
        <v>57</v>
      </c>
      <c r="J15" t="s">
        <v>46</v>
      </c>
    </row>
    <row r="16" spans="1:12" x14ac:dyDescent="0.35">
      <c r="A16" s="2" t="s">
        <v>50</v>
      </c>
      <c r="B16" s="2">
        <v>1</v>
      </c>
      <c r="C16" s="6">
        <f>10824*2/3</f>
        <v>7216</v>
      </c>
      <c r="D16" s="6">
        <f>C16*0.66</f>
        <v>4762.5600000000004</v>
      </c>
      <c r="E16" s="6">
        <f>C16*1.33</f>
        <v>9597.2800000000007</v>
      </c>
      <c r="F16" t="s">
        <v>10</v>
      </c>
      <c r="G16" s="8">
        <v>2014</v>
      </c>
      <c r="H16" t="s">
        <v>55</v>
      </c>
      <c r="I16" t="s">
        <v>57</v>
      </c>
      <c r="J16" t="s">
        <v>45</v>
      </c>
      <c r="K16" s="3" t="s">
        <v>30</v>
      </c>
      <c r="L16" t="s">
        <v>54</v>
      </c>
    </row>
    <row r="17" spans="1:12" x14ac:dyDescent="0.35">
      <c r="A17" s="2" t="s">
        <v>53</v>
      </c>
      <c r="B17" s="2">
        <v>1</v>
      </c>
      <c r="C17" s="6">
        <v>4000</v>
      </c>
      <c r="D17" s="6">
        <f>C17*0.66</f>
        <v>2640</v>
      </c>
      <c r="E17" s="6">
        <f>C17*1.33</f>
        <v>5320</v>
      </c>
      <c r="F17" t="s">
        <v>10</v>
      </c>
      <c r="G17" s="8">
        <v>2014</v>
      </c>
      <c r="H17" t="s">
        <v>52</v>
      </c>
      <c r="I17" t="s">
        <v>57</v>
      </c>
      <c r="J17" t="s">
        <v>45</v>
      </c>
      <c r="K17" s="3" t="s">
        <v>30</v>
      </c>
    </row>
    <row r="23" spans="1:12" x14ac:dyDescent="0.35">
      <c r="A23" t="s">
        <v>24</v>
      </c>
    </row>
    <row r="24" spans="1:12" x14ac:dyDescent="0.35">
      <c r="A24" t="s">
        <v>15</v>
      </c>
      <c r="H24" t="s">
        <v>14</v>
      </c>
      <c r="K24" t="s">
        <v>17</v>
      </c>
    </row>
    <row r="25" spans="1:12" x14ac:dyDescent="0.35">
      <c r="A25" t="s">
        <v>18</v>
      </c>
    </row>
    <row r="26" spans="1:12" x14ac:dyDescent="0.35">
      <c r="K26" t="s">
        <v>71</v>
      </c>
      <c r="L26" t="s">
        <v>72</v>
      </c>
    </row>
    <row r="27" spans="1:12" x14ac:dyDescent="0.35">
      <c r="K27" t="s">
        <v>73</v>
      </c>
    </row>
    <row r="28" spans="1:12" x14ac:dyDescent="0.35">
      <c r="K28">
        <f>200*499*12*0.1/11000000</f>
        <v>1.0887272727272728E-2</v>
      </c>
    </row>
    <row r="29" spans="1:12" x14ac:dyDescent="0.35">
      <c r="K29">
        <f>350*12*0.1/250000</f>
        <v>1.6800000000000001E-3</v>
      </c>
    </row>
    <row r="30" spans="1:12" x14ac:dyDescent="0.35">
      <c r="K30" t="s">
        <v>74</v>
      </c>
    </row>
  </sheetData>
  <hyperlinks>
    <hyperlink ref="K5" r:id="rId1"/>
    <hyperlink ref="K6" r:id="rId2"/>
    <hyperlink ref="K8" r:id="rId3"/>
    <hyperlink ref="K16" r:id="rId4"/>
    <hyperlink ref="K17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J14" sqref="J14"/>
    </sheetView>
  </sheetViews>
  <sheetFormatPr defaultRowHeight="14.5" x14ac:dyDescent="0.35"/>
  <cols>
    <col min="1" max="1" width="33" customWidth="1"/>
    <col min="2" max="2" width="10" customWidth="1"/>
    <col min="7" max="7" width="12.453125" bestFit="1" customWidth="1"/>
    <col min="8" max="8" width="21.36328125" customWidth="1"/>
    <col min="9" max="10" width="15.453125" customWidth="1"/>
  </cols>
  <sheetData>
    <row r="1" spans="1:12" x14ac:dyDescent="0.35">
      <c r="A1" s="1" t="s">
        <v>38</v>
      </c>
      <c r="B1" s="1"/>
    </row>
    <row r="3" spans="1:12" ht="43.5" x14ac:dyDescent="0.35">
      <c r="B3" t="s">
        <v>80</v>
      </c>
      <c r="C3" s="1" t="s">
        <v>11</v>
      </c>
      <c r="D3" s="1" t="s">
        <v>2</v>
      </c>
      <c r="E3" s="1" t="s">
        <v>3</v>
      </c>
      <c r="F3" s="1" t="s">
        <v>8</v>
      </c>
      <c r="G3" s="1" t="s">
        <v>9</v>
      </c>
      <c r="H3" s="1" t="s">
        <v>25</v>
      </c>
      <c r="I3" s="5" t="s">
        <v>33</v>
      </c>
      <c r="J3" s="1" t="s">
        <v>44</v>
      </c>
      <c r="L3" s="1" t="s">
        <v>31</v>
      </c>
    </row>
    <row r="4" spans="1:12" x14ac:dyDescent="0.35">
      <c r="A4" s="1" t="s">
        <v>1</v>
      </c>
      <c r="B4" s="1"/>
    </row>
    <row r="5" spans="1:12" x14ac:dyDescent="0.35">
      <c r="A5" s="2" t="s">
        <v>42</v>
      </c>
      <c r="B5" s="2">
        <v>1</v>
      </c>
      <c r="C5">
        <v>20.22</v>
      </c>
      <c r="D5">
        <f>C5*0.66</f>
        <v>13.3452</v>
      </c>
      <c r="E5">
        <f>C5*1.33</f>
        <v>26.892600000000002</v>
      </c>
      <c r="F5" t="s">
        <v>10</v>
      </c>
      <c r="G5">
        <v>2014</v>
      </c>
      <c r="H5" t="s">
        <v>39</v>
      </c>
      <c r="J5" t="s">
        <v>46</v>
      </c>
      <c r="K5" s="3" t="s">
        <v>30</v>
      </c>
      <c r="L5" t="s">
        <v>40</v>
      </c>
    </row>
    <row r="6" spans="1:12" x14ac:dyDescent="0.35">
      <c r="A6" s="2" t="s">
        <v>43</v>
      </c>
      <c r="B6" s="2">
        <v>1</v>
      </c>
      <c r="C6">
        <v>80.25</v>
      </c>
      <c r="D6">
        <f>C6*0.66</f>
        <v>52.965000000000003</v>
      </c>
      <c r="E6">
        <f>C6*1.33</f>
        <v>106.7325</v>
      </c>
      <c r="F6" t="s">
        <v>10</v>
      </c>
      <c r="G6">
        <v>2014</v>
      </c>
      <c r="H6" t="s">
        <v>39</v>
      </c>
      <c r="J6" t="s">
        <v>45</v>
      </c>
      <c r="K6" s="3" t="s">
        <v>30</v>
      </c>
    </row>
    <row r="7" spans="1:12" x14ac:dyDescent="0.35">
      <c r="A7" s="2"/>
      <c r="B7" s="2"/>
    </row>
    <row r="8" spans="1:12" x14ac:dyDescent="0.35">
      <c r="A8" s="2"/>
      <c r="B8" s="2"/>
      <c r="K8" s="3"/>
    </row>
    <row r="10" spans="1:12" x14ac:dyDescent="0.35">
      <c r="A10" s="1" t="s">
        <v>12</v>
      </c>
      <c r="B10" s="1"/>
    </row>
    <row r="11" spans="1:12" x14ac:dyDescent="0.35">
      <c r="A11" s="2" t="s">
        <v>35</v>
      </c>
      <c r="B11" s="2">
        <v>1</v>
      </c>
      <c r="C11" s="6">
        <v>4000</v>
      </c>
      <c r="D11" s="6">
        <f>C11*0.66</f>
        <v>2640</v>
      </c>
      <c r="E11" s="6">
        <f>C11*1.33</f>
        <v>5320</v>
      </c>
      <c r="F11" t="s">
        <v>10</v>
      </c>
      <c r="G11" s="7">
        <v>2019</v>
      </c>
      <c r="H11" t="s">
        <v>51</v>
      </c>
      <c r="I11" t="s">
        <v>56</v>
      </c>
      <c r="J11" t="s">
        <v>46</v>
      </c>
      <c r="K11" s="3" t="s">
        <v>30</v>
      </c>
    </row>
    <row r="12" spans="1:12" x14ac:dyDescent="0.35">
      <c r="A12" s="2" t="s">
        <v>41</v>
      </c>
      <c r="B12" s="2">
        <v>1</v>
      </c>
      <c r="C12" s="6">
        <v>490</v>
      </c>
      <c r="D12" s="6">
        <f>C12*0.66</f>
        <v>323.40000000000003</v>
      </c>
      <c r="E12" s="6">
        <f>C12*1.33</f>
        <v>651.70000000000005</v>
      </c>
      <c r="F12" t="s">
        <v>10</v>
      </c>
      <c r="G12" s="7">
        <v>2014</v>
      </c>
      <c r="H12" t="s">
        <v>51</v>
      </c>
      <c r="I12" t="s">
        <v>49</v>
      </c>
      <c r="J12" t="s">
        <v>46</v>
      </c>
      <c r="K12" s="3" t="s">
        <v>30</v>
      </c>
    </row>
    <row r="13" spans="1:12" x14ac:dyDescent="0.35">
      <c r="A13" s="2" t="s">
        <v>50</v>
      </c>
      <c r="B13" s="2">
        <v>1</v>
      </c>
      <c r="C13" s="6">
        <f>10824*2/3</f>
        <v>7216</v>
      </c>
      <c r="D13" s="6">
        <f>C13*0.66</f>
        <v>4762.5600000000004</v>
      </c>
      <c r="E13" s="6">
        <f>C13*1.33</f>
        <v>9597.2800000000007</v>
      </c>
      <c r="F13" t="s">
        <v>10</v>
      </c>
      <c r="G13" s="8">
        <v>2014</v>
      </c>
      <c r="H13" t="s">
        <v>55</v>
      </c>
      <c r="I13" t="s">
        <v>56</v>
      </c>
      <c r="J13" t="s">
        <v>45</v>
      </c>
      <c r="K13" s="3" t="s">
        <v>30</v>
      </c>
      <c r="L13" t="s">
        <v>54</v>
      </c>
    </row>
    <row r="14" spans="1:12" x14ac:dyDescent="0.35">
      <c r="A14" s="2" t="s">
        <v>53</v>
      </c>
      <c r="B14" s="2">
        <v>1</v>
      </c>
      <c r="C14" s="6">
        <v>4000</v>
      </c>
      <c r="D14" s="6">
        <f>C14*0.66</f>
        <v>2640</v>
      </c>
      <c r="E14" s="6">
        <f>C14*1.33</f>
        <v>5320</v>
      </c>
      <c r="F14" t="s">
        <v>10</v>
      </c>
      <c r="G14" s="8">
        <v>2014</v>
      </c>
      <c r="H14" t="s">
        <v>52</v>
      </c>
      <c r="I14" t="s">
        <v>56</v>
      </c>
      <c r="J14" t="s">
        <v>45</v>
      </c>
      <c r="K14" s="3" t="s">
        <v>30</v>
      </c>
    </row>
    <row r="15" spans="1:12" x14ac:dyDescent="0.35">
      <c r="G15" s="8"/>
    </row>
    <row r="16" spans="1:12" x14ac:dyDescent="0.35">
      <c r="G16" s="8"/>
      <c r="I16" s="1"/>
      <c r="J16" s="1"/>
    </row>
  </sheetData>
  <hyperlinks>
    <hyperlink ref="K5" r:id="rId1"/>
    <hyperlink ref="K11" r:id="rId2"/>
    <hyperlink ref="K12" r:id="rId3"/>
    <hyperlink ref="K13" r:id="rId4"/>
    <hyperlink ref="K14" r:id="rId5"/>
    <hyperlink ref="K6" r:id="rId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B3" workbookViewId="0">
      <selection activeCell="B11" sqref="B11"/>
    </sheetView>
  </sheetViews>
  <sheetFormatPr defaultRowHeight="14.5" x14ac:dyDescent="0.35"/>
  <cols>
    <col min="1" max="1" width="44.6328125" customWidth="1"/>
    <col min="2" max="2" width="11.7265625" customWidth="1"/>
    <col min="7" max="7" width="12.453125" bestFit="1" customWidth="1"/>
    <col min="8" max="8" width="26.7265625" bestFit="1" customWidth="1"/>
    <col min="9" max="9" width="15.90625" bestFit="1" customWidth="1"/>
    <col min="10" max="10" width="13.90625" bestFit="1" customWidth="1"/>
  </cols>
  <sheetData>
    <row r="1" spans="1:12" x14ac:dyDescent="0.35">
      <c r="A1" s="1" t="s">
        <v>76</v>
      </c>
      <c r="B1" s="1"/>
    </row>
    <row r="3" spans="1:12" ht="47.5" customHeight="1" x14ac:dyDescent="0.35">
      <c r="B3" t="s">
        <v>80</v>
      </c>
      <c r="C3" s="1" t="s">
        <v>11</v>
      </c>
      <c r="D3" s="1" t="s">
        <v>2</v>
      </c>
      <c r="E3" s="1" t="s">
        <v>3</v>
      </c>
      <c r="F3" s="1" t="s">
        <v>8</v>
      </c>
      <c r="G3" s="1" t="s">
        <v>9</v>
      </c>
      <c r="H3" s="1" t="s">
        <v>25</v>
      </c>
      <c r="I3" s="5" t="s">
        <v>33</v>
      </c>
      <c r="J3" s="1" t="s">
        <v>44</v>
      </c>
      <c r="L3" s="1" t="s">
        <v>31</v>
      </c>
    </row>
    <row r="4" spans="1:12" x14ac:dyDescent="0.35">
      <c r="A4" s="1" t="s">
        <v>1</v>
      </c>
      <c r="B4" s="1"/>
    </row>
    <row r="5" spans="1:12" x14ac:dyDescent="0.35">
      <c r="A5" s="2" t="s">
        <v>60</v>
      </c>
      <c r="B5" s="2">
        <v>1</v>
      </c>
      <c r="C5">
        <v>1000</v>
      </c>
      <c r="D5">
        <v>700</v>
      </c>
      <c r="E5">
        <v>1500</v>
      </c>
      <c r="F5" t="s">
        <v>10</v>
      </c>
      <c r="G5">
        <v>2019</v>
      </c>
      <c r="H5" t="s">
        <v>61</v>
      </c>
      <c r="J5" t="s">
        <v>46</v>
      </c>
      <c r="K5" t="s">
        <v>27</v>
      </c>
    </row>
    <row r="6" spans="1:12" x14ac:dyDescent="0.35">
      <c r="A6" s="2" t="s">
        <v>62</v>
      </c>
      <c r="B6" s="2">
        <v>1</v>
      </c>
      <c r="C6">
        <v>5000</v>
      </c>
      <c r="D6">
        <v>4000</v>
      </c>
      <c r="E6">
        <v>6000</v>
      </c>
      <c r="F6" t="s">
        <v>10</v>
      </c>
      <c r="G6">
        <v>2019</v>
      </c>
      <c r="H6" t="s">
        <v>61</v>
      </c>
      <c r="J6" s="12" t="s">
        <v>63</v>
      </c>
      <c r="K6" s="3" t="s">
        <v>64</v>
      </c>
      <c r="L6" s="12" t="s">
        <v>114</v>
      </c>
    </row>
    <row r="7" spans="1:12" x14ac:dyDescent="0.35">
      <c r="A7" s="10" t="s">
        <v>58</v>
      </c>
      <c r="B7" s="10">
        <v>1</v>
      </c>
      <c r="C7">
        <v>130</v>
      </c>
      <c r="D7" s="11">
        <f>C7*0.66</f>
        <v>85.8</v>
      </c>
      <c r="E7" s="11">
        <f>C7*1.33</f>
        <v>172.9</v>
      </c>
      <c r="F7" t="s">
        <v>10</v>
      </c>
      <c r="G7">
        <v>2009</v>
      </c>
      <c r="H7" t="s">
        <v>39</v>
      </c>
      <c r="J7" t="s">
        <v>46</v>
      </c>
      <c r="K7" s="9" t="s">
        <v>69</v>
      </c>
    </row>
    <row r="8" spans="1:12" x14ac:dyDescent="0.35">
      <c r="A8" s="10" t="s">
        <v>59</v>
      </c>
      <c r="B8" s="10">
        <v>1</v>
      </c>
      <c r="C8">
        <v>214</v>
      </c>
      <c r="D8">
        <f>C8*0.66</f>
        <v>141.24</v>
      </c>
      <c r="E8">
        <f>C8*1.33</f>
        <v>284.62</v>
      </c>
      <c r="F8" t="s">
        <v>10</v>
      </c>
      <c r="G8">
        <v>2009</v>
      </c>
      <c r="H8" t="s">
        <v>39</v>
      </c>
      <c r="J8" t="s">
        <v>45</v>
      </c>
      <c r="K8" s="9" t="s">
        <v>69</v>
      </c>
    </row>
    <row r="9" spans="1:12" x14ac:dyDescent="0.35">
      <c r="A9" s="10"/>
      <c r="B9" s="10"/>
    </row>
    <row r="10" spans="1:12" x14ac:dyDescent="0.35">
      <c r="A10" s="2"/>
      <c r="B10" s="2"/>
      <c r="K10" s="3"/>
    </row>
    <row r="12" spans="1:12" x14ac:dyDescent="0.35">
      <c r="A12" s="1" t="s">
        <v>12</v>
      </c>
      <c r="B12" s="1"/>
    </row>
    <row r="13" spans="1:12" x14ac:dyDescent="0.35">
      <c r="A13" s="2" t="s">
        <v>70</v>
      </c>
      <c r="B13" s="2">
        <v>1</v>
      </c>
      <c r="C13" s="6">
        <v>15500</v>
      </c>
      <c r="D13" s="6">
        <f>0.66*C13</f>
        <v>10230</v>
      </c>
      <c r="E13" s="6">
        <f>1.33*C13</f>
        <v>20615</v>
      </c>
      <c r="F13" t="s">
        <v>10</v>
      </c>
      <c r="G13" s="7">
        <v>2014</v>
      </c>
      <c r="H13" t="s">
        <v>109</v>
      </c>
      <c r="J13" t="s">
        <v>46</v>
      </c>
      <c r="K13" s="3" t="s">
        <v>30</v>
      </c>
    </row>
    <row r="14" spans="1:12" x14ac:dyDescent="0.35">
      <c r="A14" s="2" t="s">
        <v>41</v>
      </c>
      <c r="B14" s="2">
        <v>1</v>
      </c>
      <c r="C14" s="6">
        <v>490</v>
      </c>
      <c r="D14" s="6">
        <v>450</v>
      </c>
      <c r="E14" s="6">
        <v>550</v>
      </c>
      <c r="F14" t="s">
        <v>10</v>
      </c>
      <c r="G14" s="7">
        <v>2014</v>
      </c>
      <c r="H14" t="s">
        <v>51</v>
      </c>
      <c r="I14" t="s">
        <v>36</v>
      </c>
      <c r="J14" t="s">
        <v>46</v>
      </c>
      <c r="K14" s="3" t="s">
        <v>30</v>
      </c>
    </row>
    <row r="15" spans="1:12" x14ac:dyDescent="0.35">
      <c r="A15" s="2" t="s">
        <v>50</v>
      </c>
      <c r="B15" s="2">
        <v>1</v>
      </c>
      <c r="C15" s="6">
        <f>10824*2/3</f>
        <v>7216</v>
      </c>
      <c r="D15" s="6">
        <f>C15*0.66</f>
        <v>4762.5600000000004</v>
      </c>
      <c r="E15" s="6">
        <f>C15*1.33</f>
        <v>9597.2800000000007</v>
      </c>
      <c r="F15" t="s">
        <v>10</v>
      </c>
      <c r="G15" s="8">
        <v>2014</v>
      </c>
      <c r="H15" t="s">
        <v>55</v>
      </c>
      <c r="I15" t="s">
        <v>68</v>
      </c>
      <c r="J15" t="s">
        <v>45</v>
      </c>
      <c r="K15" s="3" t="s">
        <v>30</v>
      </c>
      <c r="L15" t="s">
        <v>54</v>
      </c>
    </row>
    <row r="16" spans="1:12" x14ac:dyDescent="0.35">
      <c r="A16" s="2" t="s">
        <v>53</v>
      </c>
      <c r="B16" s="2">
        <v>1</v>
      </c>
      <c r="C16" s="6">
        <v>4000</v>
      </c>
      <c r="D16" s="6">
        <f>C16*0.66</f>
        <v>2640</v>
      </c>
      <c r="E16" s="6">
        <f>C16*1.33</f>
        <v>5320</v>
      </c>
      <c r="F16" t="s">
        <v>10</v>
      </c>
      <c r="G16" s="8">
        <v>2014</v>
      </c>
      <c r="H16" t="s">
        <v>52</v>
      </c>
      <c r="I16" t="s">
        <v>68</v>
      </c>
      <c r="J16" t="s">
        <v>45</v>
      </c>
      <c r="K16" s="3" t="s">
        <v>30</v>
      </c>
    </row>
    <row r="17" spans="1:11" x14ac:dyDescent="0.35">
      <c r="A17" s="2" t="s">
        <v>35</v>
      </c>
      <c r="B17" s="2">
        <v>1</v>
      </c>
      <c r="C17" s="6">
        <v>4000</v>
      </c>
      <c r="D17" s="6">
        <f>C17*0.66</f>
        <v>2640</v>
      </c>
      <c r="E17" s="6">
        <f>C17*1.33</f>
        <v>5320</v>
      </c>
      <c r="F17" t="s">
        <v>10</v>
      </c>
      <c r="G17" s="7">
        <v>2019</v>
      </c>
      <c r="H17" t="s">
        <v>51</v>
      </c>
      <c r="I17" t="s">
        <v>68</v>
      </c>
      <c r="J17" t="s">
        <v>46</v>
      </c>
      <c r="K17" s="3" t="s">
        <v>30</v>
      </c>
    </row>
  </sheetData>
  <hyperlinks>
    <hyperlink ref="K13" r:id="rId1"/>
    <hyperlink ref="K14" r:id="rId2"/>
    <hyperlink ref="K15" r:id="rId3"/>
    <hyperlink ref="K16" r:id="rId4"/>
    <hyperlink ref="K6" r:id="rId5"/>
    <hyperlink ref="K17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6" sqref="D6"/>
    </sheetView>
  </sheetViews>
  <sheetFormatPr defaultRowHeight="14.5" x14ac:dyDescent="0.35"/>
  <sheetData>
    <row r="1" spans="1:1" x14ac:dyDescent="0.35">
      <c r="A1" s="1" t="s">
        <v>65</v>
      </c>
    </row>
    <row r="3" spans="1:1" x14ac:dyDescent="0.35">
      <c r="A3" s="1"/>
    </row>
    <row r="4" spans="1:1" x14ac:dyDescent="0.35">
      <c r="A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J6" sqref="J6"/>
    </sheetView>
  </sheetViews>
  <sheetFormatPr defaultRowHeight="14.5" x14ac:dyDescent="0.35"/>
  <cols>
    <col min="1" max="1" width="27.90625" customWidth="1"/>
    <col min="6" max="6" width="9.6328125" customWidth="1"/>
    <col min="7" max="7" width="14" customWidth="1"/>
    <col min="9" max="9" width="13.26953125" customWidth="1"/>
    <col min="10" max="10" width="29.81640625" customWidth="1"/>
  </cols>
  <sheetData>
    <row r="1" spans="1:13" ht="43.5" x14ac:dyDescent="0.35">
      <c r="B1" t="s">
        <v>80</v>
      </c>
      <c r="C1" s="1" t="s">
        <v>11</v>
      </c>
      <c r="D1" s="1" t="s">
        <v>2</v>
      </c>
      <c r="E1" s="1" t="s">
        <v>3</v>
      </c>
      <c r="F1" s="1" t="s">
        <v>8</v>
      </c>
      <c r="G1" s="1" t="s">
        <v>9</v>
      </c>
      <c r="H1" s="1" t="s">
        <v>25</v>
      </c>
      <c r="I1" s="5" t="s">
        <v>33</v>
      </c>
      <c r="J1" s="5" t="s">
        <v>44</v>
      </c>
      <c r="L1" s="1" t="s">
        <v>31</v>
      </c>
    </row>
    <row r="2" spans="1:13" x14ac:dyDescent="0.35">
      <c r="A2" t="s">
        <v>94</v>
      </c>
      <c r="B2" s="2">
        <v>1</v>
      </c>
      <c r="C2">
        <v>50</v>
      </c>
      <c r="D2">
        <v>25</v>
      </c>
      <c r="E2">
        <v>75</v>
      </c>
      <c r="F2" t="s">
        <v>10</v>
      </c>
      <c r="G2">
        <v>2010</v>
      </c>
      <c r="H2" s="12" t="s">
        <v>77</v>
      </c>
      <c r="J2" t="s">
        <v>47</v>
      </c>
      <c r="K2" s="3"/>
      <c r="L2" t="s">
        <v>102</v>
      </c>
      <c r="M2" t="s">
        <v>93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Intervention 1</vt:lpstr>
      <vt:lpstr>Intervention 2</vt:lpstr>
      <vt:lpstr>Intervention 3</vt:lpstr>
      <vt:lpstr>Intervention 4</vt:lpstr>
      <vt:lpstr>Intervention 5</vt:lpstr>
      <vt:lpstr>Other costs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MattC</dc:creator>
  <cp:lastModifiedBy>MattC</cp:lastModifiedBy>
  <dcterms:created xsi:type="dcterms:W3CDTF">2020-05-02T23:32:09Z</dcterms:created>
  <dcterms:modified xsi:type="dcterms:W3CDTF">2021-02-18T03:50:19Z</dcterms:modified>
</cp:coreProperties>
</file>