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jivmccoy/Dropbox/papers/2022_handyside/"/>
    </mc:Choice>
  </mc:AlternateContent>
  <xr:revisionPtr revIDLastSave="0" documentId="13_ncr:1_{406F5C69-94A8-9E43-9FC9-9A541BBDB59A}" xr6:coauthVersionLast="47" xr6:coauthVersionMax="47" xr10:uidLastSave="{00000000-0000-0000-0000-000000000000}"/>
  <bookViews>
    <workbookView xWindow="37940" yWindow="1320" windowWidth="29040" windowHeight="18920" xr2:uid="{BF711A53-A767-4A9B-959F-B1FB44FA4F41}"/>
  </bookViews>
  <sheets>
    <sheet name="Cycle data" sheetId="1" r:id="rId1"/>
    <sheet name="Embryo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6" i="1" l="1"/>
  <c r="BO828" i="2"/>
  <c r="BP828" i="2"/>
  <c r="BQ828" i="2"/>
  <c r="BR828" i="2"/>
  <c r="BO811" i="2"/>
  <c r="BP811" i="2"/>
  <c r="BQ811" i="2"/>
  <c r="BR811" i="2"/>
  <c r="BW811" i="2" s="1"/>
  <c r="BO741" i="2"/>
  <c r="BP741" i="2"/>
  <c r="BQ741" i="2"/>
  <c r="BR741" i="2"/>
  <c r="BO704" i="2"/>
  <c r="BP704" i="2"/>
  <c r="BQ704" i="2"/>
  <c r="BR704" i="2"/>
  <c r="BO664" i="2"/>
  <c r="BP664" i="2"/>
  <c r="BQ664" i="2"/>
  <c r="BR664" i="2"/>
  <c r="BO377" i="2"/>
  <c r="BP377" i="2"/>
  <c r="BQ377" i="2"/>
  <c r="BR377" i="2"/>
  <c r="BO378" i="2"/>
  <c r="BP378" i="2"/>
  <c r="BQ378" i="2"/>
  <c r="BR378" i="2"/>
  <c r="BO379" i="2"/>
  <c r="BP379" i="2"/>
  <c r="BQ379" i="2"/>
  <c r="BR379" i="2"/>
  <c r="BO380" i="2"/>
  <c r="BP380" i="2"/>
  <c r="BQ380" i="2"/>
  <c r="BR380" i="2"/>
  <c r="BR909" i="2"/>
  <c r="BQ909" i="2"/>
  <c r="BP909" i="2"/>
  <c r="BO909" i="2"/>
  <c r="BR908" i="2"/>
  <c r="BQ908" i="2"/>
  <c r="BP908" i="2"/>
  <c r="BO908" i="2"/>
  <c r="BR907" i="2"/>
  <c r="BQ907" i="2"/>
  <c r="BP907" i="2"/>
  <c r="BO907" i="2"/>
  <c r="BR906" i="2"/>
  <c r="BQ906" i="2"/>
  <c r="BP906" i="2"/>
  <c r="BO906" i="2"/>
  <c r="BR905" i="2"/>
  <c r="BQ905" i="2"/>
  <c r="BP905" i="2"/>
  <c r="BO905" i="2"/>
  <c r="BR904" i="2"/>
  <c r="BQ904" i="2"/>
  <c r="BP904" i="2"/>
  <c r="BO904" i="2"/>
  <c r="BR903" i="2"/>
  <c r="BQ903" i="2"/>
  <c r="BP903" i="2"/>
  <c r="BO903" i="2"/>
  <c r="BR902" i="2"/>
  <c r="BQ902" i="2"/>
  <c r="BP902" i="2"/>
  <c r="BO902" i="2"/>
  <c r="BR901" i="2"/>
  <c r="BQ901" i="2"/>
  <c r="BP901" i="2"/>
  <c r="BO901" i="2"/>
  <c r="BR900" i="2"/>
  <c r="BQ900" i="2"/>
  <c r="BP900" i="2"/>
  <c r="BO900" i="2"/>
  <c r="BR899" i="2"/>
  <c r="BQ899" i="2"/>
  <c r="BP899" i="2"/>
  <c r="BO899" i="2"/>
  <c r="BR898" i="2"/>
  <c r="BQ898" i="2"/>
  <c r="BP898" i="2"/>
  <c r="BO898" i="2"/>
  <c r="BR897" i="2"/>
  <c r="BQ897" i="2"/>
  <c r="BP897" i="2"/>
  <c r="BO897" i="2"/>
  <c r="BR896" i="2"/>
  <c r="BQ896" i="2"/>
  <c r="BP896" i="2"/>
  <c r="BO896" i="2"/>
  <c r="BR895" i="2"/>
  <c r="BQ895" i="2"/>
  <c r="BP895" i="2"/>
  <c r="BO895" i="2"/>
  <c r="BR894" i="2"/>
  <c r="BQ894" i="2"/>
  <c r="BP894" i="2"/>
  <c r="BO894" i="2"/>
  <c r="BR893" i="2"/>
  <c r="BQ893" i="2"/>
  <c r="BP893" i="2"/>
  <c r="BO893" i="2"/>
  <c r="BR892" i="2"/>
  <c r="BQ892" i="2"/>
  <c r="BP892" i="2"/>
  <c r="BO892" i="2"/>
  <c r="BR891" i="2"/>
  <c r="BQ891" i="2"/>
  <c r="BP891" i="2"/>
  <c r="BO891" i="2"/>
  <c r="BR890" i="2"/>
  <c r="BQ890" i="2"/>
  <c r="BP890" i="2"/>
  <c r="BO890" i="2"/>
  <c r="Z890" i="2"/>
  <c r="BR889" i="2"/>
  <c r="BQ889" i="2"/>
  <c r="BP889" i="2"/>
  <c r="BO889" i="2"/>
  <c r="BR888" i="2"/>
  <c r="BQ888" i="2"/>
  <c r="BP888" i="2"/>
  <c r="BO888" i="2"/>
  <c r="BR887" i="2"/>
  <c r="BQ887" i="2"/>
  <c r="BP887" i="2"/>
  <c r="BO887" i="2"/>
  <c r="BR886" i="2"/>
  <c r="BQ886" i="2"/>
  <c r="BP886" i="2"/>
  <c r="BO886" i="2"/>
  <c r="BR885" i="2"/>
  <c r="BQ885" i="2"/>
  <c r="BP885" i="2"/>
  <c r="BO885" i="2"/>
  <c r="BR884" i="2"/>
  <c r="BQ884" i="2"/>
  <c r="BP884" i="2"/>
  <c r="BO884" i="2"/>
  <c r="BR883" i="2"/>
  <c r="BQ883" i="2"/>
  <c r="BP883" i="2"/>
  <c r="BO883" i="2"/>
  <c r="BR882" i="2"/>
  <c r="BQ882" i="2"/>
  <c r="BP882" i="2"/>
  <c r="BO882" i="2"/>
  <c r="BR881" i="2"/>
  <c r="BQ881" i="2"/>
  <c r="BP881" i="2"/>
  <c r="BO881" i="2"/>
  <c r="BR880" i="2"/>
  <c r="BQ880" i="2"/>
  <c r="BP880" i="2"/>
  <c r="BO880" i="2"/>
  <c r="BR879" i="2"/>
  <c r="BQ879" i="2"/>
  <c r="BP879" i="2"/>
  <c r="BO879" i="2"/>
  <c r="BB879" i="2"/>
  <c r="AD879" i="2"/>
  <c r="R879" i="2"/>
  <c r="BR878" i="2"/>
  <c r="BQ878" i="2"/>
  <c r="BP878" i="2"/>
  <c r="BO878" i="2"/>
  <c r="AX878" i="2"/>
  <c r="AP878" i="2"/>
  <c r="BR877" i="2"/>
  <c r="BQ877" i="2"/>
  <c r="BP877" i="2"/>
  <c r="BO877" i="2"/>
  <c r="BD877" i="2"/>
  <c r="AX877" i="2"/>
  <c r="BR876" i="2"/>
  <c r="BQ876" i="2"/>
  <c r="BP876" i="2"/>
  <c r="BO876" i="2"/>
  <c r="P876" i="2"/>
  <c r="BR875" i="2"/>
  <c r="BQ875" i="2"/>
  <c r="BP875" i="2"/>
  <c r="BO875" i="2"/>
  <c r="BR874" i="2"/>
  <c r="BQ874" i="2"/>
  <c r="BP874" i="2"/>
  <c r="BO874" i="2"/>
  <c r="AP874" i="2"/>
  <c r="BR873" i="2"/>
  <c r="BQ873" i="2"/>
  <c r="BP873" i="2"/>
  <c r="BO873" i="2"/>
  <c r="BB873" i="2"/>
  <c r="AD873" i="2"/>
  <c r="BR872" i="2"/>
  <c r="BQ872" i="2"/>
  <c r="BP872" i="2"/>
  <c r="BO872" i="2"/>
  <c r="Z872" i="2"/>
  <c r="BR871" i="2"/>
  <c r="BQ871" i="2"/>
  <c r="BP871" i="2"/>
  <c r="BO871" i="2"/>
  <c r="BR870" i="2"/>
  <c r="BQ870" i="2"/>
  <c r="BP870" i="2"/>
  <c r="BO870" i="2"/>
  <c r="BD870" i="2"/>
  <c r="BR869" i="2"/>
  <c r="BQ869" i="2"/>
  <c r="BP869" i="2"/>
  <c r="BO869" i="2"/>
  <c r="AV869" i="2"/>
  <c r="AP869" i="2"/>
  <c r="X869" i="2"/>
  <c r="BR868" i="2"/>
  <c r="BQ868" i="2"/>
  <c r="BP868" i="2"/>
  <c r="BO868" i="2"/>
  <c r="BR867" i="2"/>
  <c r="BQ867" i="2"/>
  <c r="BP867" i="2"/>
  <c r="BO867" i="2"/>
  <c r="BD867" i="2"/>
  <c r="AB867" i="2"/>
  <c r="BR866" i="2"/>
  <c r="BQ866" i="2"/>
  <c r="BP866" i="2"/>
  <c r="BO866" i="2"/>
  <c r="BR865" i="2"/>
  <c r="BQ865" i="2"/>
  <c r="BP865" i="2"/>
  <c r="BO865" i="2"/>
  <c r="AT865" i="2"/>
  <c r="AJ865" i="2"/>
  <c r="BR864" i="2"/>
  <c r="BQ864" i="2"/>
  <c r="BP864" i="2"/>
  <c r="BO864" i="2"/>
  <c r="AT864" i="2"/>
  <c r="BR863" i="2"/>
  <c r="BQ863" i="2"/>
  <c r="BP863" i="2"/>
  <c r="BO863" i="2"/>
  <c r="BR862" i="2"/>
  <c r="BQ862" i="2"/>
  <c r="BP862" i="2"/>
  <c r="BO862" i="2"/>
  <c r="BR861" i="2"/>
  <c r="BQ861" i="2"/>
  <c r="BP861" i="2"/>
  <c r="BO861" i="2"/>
  <c r="BR860" i="2"/>
  <c r="BQ860" i="2"/>
  <c r="BP860" i="2"/>
  <c r="BO860" i="2"/>
  <c r="BB860" i="2"/>
  <c r="AR860" i="2"/>
  <c r="BR859" i="2"/>
  <c r="BQ859" i="2"/>
  <c r="BP859" i="2"/>
  <c r="BO859" i="2"/>
  <c r="AT859" i="2"/>
  <c r="AN859" i="2"/>
  <c r="Z859" i="2"/>
  <c r="BR858" i="2"/>
  <c r="BQ858" i="2"/>
  <c r="BP858" i="2"/>
  <c r="BO858" i="2"/>
  <c r="BR857" i="2"/>
  <c r="BQ857" i="2"/>
  <c r="BP857" i="2"/>
  <c r="BO857" i="2"/>
  <c r="BR856" i="2"/>
  <c r="BQ856" i="2"/>
  <c r="BP856" i="2"/>
  <c r="BO856" i="2"/>
  <c r="BR855" i="2"/>
  <c r="BQ855" i="2"/>
  <c r="BP855" i="2"/>
  <c r="BO855" i="2"/>
  <c r="AL855" i="2"/>
  <c r="BR854" i="2"/>
  <c r="BQ854" i="2"/>
  <c r="BP854" i="2"/>
  <c r="BO854" i="2"/>
  <c r="AX854" i="2"/>
  <c r="AN854" i="2"/>
  <c r="BR853" i="2"/>
  <c r="BQ853" i="2"/>
  <c r="BP853" i="2"/>
  <c r="BO853" i="2"/>
  <c r="BD853" i="2"/>
  <c r="AN853" i="2"/>
  <c r="AF853" i="2"/>
  <c r="Z853" i="2"/>
  <c r="BR852" i="2"/>
  <c r="BQ852" i="2"/>
  <c r="BP852" i="2"/>
  <c r="BO852" i="2"/>
  <c r="BR851" i="2"/>
  <c r="BQ851" i="2"/>
  <c r="BP851" i="2"/>
  <c r="BO851" i="2"/>
  <c r="BR850" i="2"/>
  <c r="BQ850" i="2"/>
  <c r="BP850" i="2"/>
  <c r="BO850" i="2"/>
  <c r="BR849" i="2"/>
  <c r="BQ849" i="2"/>
  <c r="BP849" i="2"/>
  <c r="BO849" i="2"/>
  <c r="BR848" i="2"/>
  <c r="BQ848" i="2"/>
  <c r="BP848" i="2"/>
  <c r="BO848" i="2"/>
  <c r="BR847" i="2"/>
  <c r="BQ847" i="2"/>
  <c r="BP847" i="2"/>
  <c r="BO847" i="2"/>
  <c r="BR846" i="2"/>
  <c r="BQ846" i="2"/>
  <c r="BP846" i="2"/>
  <c r="BO846" i="2"/>
  <c r="BR845" i="2"/>
  <c r="BQ845" i="2"/>
  <c r="BP845" i="2"/>
  <c r="BO845" i="2"/>
  <c r="BR844" i="2"/>
  <c r="BQ844" i="2"/>
  <c r="BP844" i="2"/>
  <c r="BO844" i="2"/>
  <c r="BD844" i="2"/>
  <c r="BR843" i="2"/>
  <c r="BQ843" i="2"/>
  <c r="BP843" i="2"/>
  <c r="BO843" i="2"/>
  <c r="BR842" i="2"/>
  <c r="BQ842" i="2"/>
  <c r="BP842" i="2"/>
  <c r="BO842" i="2"/>
  <c r="Z842" i="2"/>
  <c r="BR841" i="2"/>
  <c r="BQ841" i="2"/>
  <c r="BP841" i="2"/>
  <c r="BO841" i="2"/>
  <c r="BR840" i="2"/>
  <c r="BQ840" i="2"/>
  <c r="BP840" i="2"/>
  <c r="BO840" i="2"/>
  <c r="BR839" i="2"/>
  <c r="BQ839" i="2"/>
  <c r="BP839" i="2"/>
  <c r="BO839" i="2"/>
  <c r="BR838" i="2"/>
  <c r="BQ838" i="2"/>
  <c r="BP838" i="2"/>
  <c r="BO838" i="2"/>
  <c r="BR837" i="2"/>
  <c r="BQ837" i="2"/>
  <c r="BP837" i="2"/>
  <c r="BO837" i="2"/>
  <c r="BR836" i="2"/>
  <c r="BQ836" i="2"/>
  <c r="BP836" i="2"/>
  <c r="BO836" i="2"/>
  <c r="BR835" i="2"/>
  <c r="BQ835" i="2"/>
  <c r="BP835" i="2"/>
  <c r="BO835" i="2"/>
  <c r="BR834" i="2"/>
  <c r="BQ834" i="2"/>
  <c r="BP834" i="2"/>
  <c r="BO834" i="2"/>
  <c r="BR833" i="2"/>
  <c r="BQ833" i="2"/>
  <c r="BP833" i="2"/>
  <c r="BO833" i="2"/>
  <c r="BR832" i="2"/>
  <c r="BQ832" i="2"/>
  <c r="BP832" i="2"/>
  <c r="BO832" i="2"/>
  <c r="BR831" i="2"/>
  <c r="BQ831" i="2"/>
  <c r="BP831" i="2"/>
  <c r="BO831" i="2"/>
  <c r="BD831" i="2"/>
  <c r="BB831" i="2"/>
  <c r="AZ831" i="2"/>
  <c r="AX831" i="2"/>
  <c r="AT831" i="2"/>
  <c r="AP831" i="2"/>
  <c r="AN831" i="2"/>
  <c r="AJ831" i="2"/>
  <c r="AF831" i="2"/>
  <c r="AB831" i="2"/>
  <c r="Z831" i="2"/>
  <c r="X831" i="2"/>
  <c r="R831" i="2"/>
  <c r="N831" i="2"/>
  <c r="BR830" i="2"/>
  <c r="BQ830" i="2"/>
  <c r="BP830" i="2"/>
  <c r="BO830" i="2"/>
  <c r="AV830" i="2"/>
  <c r="AN830" i="2"/>
  <c r="AL830" i="2"/>
  <c r="AD830" i="2"/>
  <c r="AB830" i="2"/>
  <c r="Z830" i="2"/>
  <c r="X830" i="2"/>
  <c r="V830" i="2"/>
  <c r="P830" i="2"/>
  <c r="N830" i="2"/>
  <c r="BR829" i="2"/>
  <c r="BQ829" i="2"/>
  <c r="BP829" i="2"/>
  <c r="BO829" i="2"/>
  <c r="BD828" i="2"/>
  <c r="BB828" i="2"/>
  <c r="AX828" i="2"/>
  <c r="AV828" i="2"/>
  <c r="AT828" i="2"/>
  <c r="AR828" i="2"/>
  <c r="AP828" i="2"/>
  <c r="AL828" i="2"/>
  <c r="AJ828" i="2"/>
  <c r="AH828" i="2"/>
  <c r="AD828" i="2"/>
  <c r="AB828" i="2"/>
  <c r="Z828" i="2"/>
  <c r="V828" i="2"/>
  <c r="P828" i="2"/>
  <c r="N828" i="2"/>
  <c r="BR827" i="2"/>
  <c r="BQ827" i="2"/>
  <c r="BP827" i="2"/>
  <c r="BO827" i="2"/>
  <c r="BD827" i="2"/>
  <c r="BB827" i="2"/>
  <c r="AZ827" i="2"/>
  <c r="AX827" i="2"/>
  <c r="AT827" i="2"/>
  <c r="AP827" i="2"/>
  <c r="AJ827" i="2"/>
  <c r="AB827" i="2"/>
  <c r="Z827" i="2"/>
  <c r="X827" i="2"/>
  <c r="T827" i="2"/>
  <c r="R827" i="2"/>
  <c r="P827" i="2"/>
  <c r="N827" i="2"/>
  <c r="BR826" i="2"/>
  <c r="BQ826" i="2"/>
  <c r="BP826" i="2"/>
  <c r="BO826" i="2"/>
  <c r="AZ826" i="2"/>
  <c r="AX826" i="2"/>
  <c r="AV826" i="2"/>
  <c r="AN826" i="2"/>
  <c r="BR825" i="2"/>
  <c r="BQ825" i="2"/>
  <c r="BP825" i="2"/>
  <c r="BO825" i="2"/>
  <c r="AZ825" i="2"/>
  <c r="AB825" i="2"/>
  <c r="T825" i="2"/>
  <c r="BR824" i="2"/>
  <c r="BQ824" i="2"/>
  <c r="BP824" i="2"/>
  <c r="BO824" i="2"/>
  <c r="BR823" i="2"/>
  <c r="BQ823" i="2"/>
  <c r="BP823" i="2"/>
  <c r="BO823" i="2"/>
  <c r="BR822" i="2"/>
  <c r="BQ822" i="2"/>
  <c r="BP822" i="2"/>
  <c r="BO822" i="2"/>
  <c r="P822" i="2"/>
  <c r="BR821" i="2"/>
  <c r="BQ821" i="2"/>
  <c r="BP821" i="2"/>
  <c r="BO821" i="2"/>
  <c r="AP821" i="2"/>
  <c r="BR820" i="2"/>
  <c r="BQ820" i="2"/>
  <c r="BP820" i="2"/>
  <c r="BO820" i="2"/>
  <c r="AL820" i="2"/>
  <c r="P820" i="2"/>
  <c r="BR819" i="2"/>
  <c r="BQ819" i="2"/>
  <c r="BP819" i="2"/>
  <c r="BO819" i="2"/>
  <c r="AZ819" i="2"/>
  <c r="AD819" i="2"/>
  <c r="R819" i="2"/>
  <c r="P819" i="2"/>
  <c r="BR818" i="2"/>
  <c r="BQ818" i="2"/>
  <c r="BP818" i="2"/>
  <c r="BO818" i="2"/>
  <c r="AP818" i="2"/>
  <c r="BR817" i="2"/>
  <c r="BQ817" i="2"/>
  <c r="BP817" i="2"/>
  <c r="BO817" i="2"/>
  <c r="BR816" i="2"/>
  <c r="BQ816" i="2"/>
  <c r="BP816" i="2"/>
  <c r="BO816" i="2"/>
  <c r="BR815" i="2"/>
  <c r="BQ815" i="2"/>
  <c r="BP815" i="2"/>
  <c r="BO815" i="2"/>
  <c r="BD815" i="2"/>
  <c r="BB815" i="2"/>
  <c r="AX815" i="2"/>
  <c r="AJ815" i="2"/>
  <c r="AF815" i="2"/>
  <c r="V815" i="2"/>
  <c r="BR814" i="2"/>
  <c r="BQ814" i="2"/>
  <c r="BP814" i="2"/>
  <c r="BO814" i="2"/>
  <c r="BB814" i="2"/>
  <c r="AZ814" i="2"/>
  <c r="AV814" i="2"/>
  <c r="AN814" i="2"/>
  <c r="AL814" i="2"/>
  <c r="AJ814" i="2"/>
  <c r="AH814" i="2"/>
  <c r="AD814" i="2"/>
  <c r="AB814" i="2"/>
  <c r="Z814" i="2"/>
  <c r="V814" i="2"/>
  <c r="T814" i="2"/>
  <c r="P814" i="2"/>
  <c r="N814" i="2"/>
  <c r="BR813" i="2"/>
  <c r="BQ813" i="2"/>
  <c r="BP813" i="2"/>
  <c r="BO813" i="2"/>
  <c r="N813" i="2"/>
  <c r="BR812" i="2"/>
  <c r="BQ812" i="2"/>
  <c r="BP812" i="2"/>
  <c r="BO812" i="2"/>
  <c r="AD812" i="2"/>
  <c r="N812" i="2"/>
  <c r="BR810" i="2"/>
  <c r="BQ810" i="2"/>
  <c r="BP810" i="2"/>
  <c r="BO810" i="2"/>
  <c r="AV810" i="2"/>
  <c r="AP810" i="2"/>
  <c r="AB810" i="2"/>
  <c r="BR809" i="2"/>
  <c r="BQ809" i="2"/>
  <c r="BP809" i="2"/>
  <c r="BO809" i="2"/>
  <c r="BB809" i="2"/>
  <c r="BR808" i="2"/>
  <c r="BQ808" i="2"/>
  <c r="BP808" i="2"/>
  <c r="BO808" i="2"/>
  <c r="AR808" i="2"/>
  <c r="AP808" i="2"/>
  <c r="BR807" i="2"/>
  <c r="BQ807" i="2"/>
  <c r="BP807" i="2"/>
  <c r="BO807" i="2"/>
  <c r="BB807" i="2"/>
  <c r="AR807" i="2"/>
  <c r="BR806" i="2"/>
  <c r="BQ806" i="2"/>
  <c r="BP806" i="2"/>
  <c r="BO806" i="2"/>
  <c r="AX806" i="2"/>
  <c r="AF806" i="2"/>
  <c r="BR805" i="2"/>
  <c r="BQ805" i="2"/>
  <c r="BP805" i="2"/>
  <c r="BO805" i="2"/>
  <c r="AR805" i="2"/>
  <c r="AH805" i="2"/>
  <c r="BR804" i="2"/>
  <c r="BQ804" i="2"/>
  <c r="BP804" i="2"/>
  <c r="BO804" i="2"/>
  <c r="AZ804" i="2"/>
  <c r="AX804" i="2"/>
  <c r="AH804" i="2"/>
  <c r="P804" i="2"/>
  <c r="BR803" i="2"/>
  <c r="BQ803" i="2"/>
  <c r="BP803" i="2"/>
  <c r="BO803" i="2"/>
  <c r="AX803" i="2"/>
  <c r="AB803" i="2"/>
  <c r="Z803" i="2"/>
  <c r="BR802" i="2"/>
  <c r="BQ802" i="2"/>
  <c r="BP802" i="2"/>
  <c r="BO802" i="2"/>
  <c r="AX802" i="2"/>
  <c r="T802" i="2"/>
  <c r="BR801" i="2"/>
  <c r="BQ801" i="2"/>
  <c r="BP801" i="2"/>
  <c r="BO801" i="2"/>
  <c r="BR800" i="2"/>
  <c r="BQ800" i="2"/>
  <c r="BP800" i="2"/>
  <c r="BO800" i="2"/>
  <c r="R800" i="2"/>
  <c r="BR799" i="2"/>
  <c r="BQ799" i="2"/>
  <c r="BP799" i="2"/>
  <c r="BO799" i="2"/>
  <c r="BB799" i="2"/>
  <c r="AX799" i="2"/>
  <c r="AT799" i="2"/>
  <c r="AR799" i="2"/>
  <c r="R799" i="2"/>
  <c r="BR798" i="2"/>
  <c r="BQ798" i="2"/>
  <c r="BP798" i="2"/>
  <c r="BO798" i="2"/>
  <c r="BB798" i="2"/>
  <c r="BR797" i="2"/>
  <c r="BQ797" i="2"/>
  <c r="BP797" i="2"/>
  <c r="BO797" i="2"/>
  <c r="BR796" i="2"/>
  <c r="BQ796" i="2"/>
  <c r="BP796" i="2"/>
  <c r="BO796" i="2"/>
  <c r="BB796" i="2"/>
  <c r="AX796" i="2"/>
  <c r="AD796" i="2"/>
  <c r="AB796" i="2"/>
  <c r="V796" i="2"/>
  <c r="BR795" i="2"/>
  <c r="BQ795" i="2"/>
  <c r="BP795" i="2"/>
  <c r="BO795" i="2"/>
  <c r="BB795" i="2"/>
  <c r="AP795" i="2"/>
  <c r="AN795" i="2"/>
  <c r="T795" i="2"/>
  <c r="BR794" i="2"/>
  <c r="BQ794" i="2"/>
  <c r="BP794" i="2"/>
  <c r="BO794" i="2"/>
  <c r="BR793" i="2"/>
  <c r="BQ793" i="2"/>
  <c r="BP793" i="2"/>
  <c r="BO793" i="2"/>
  <c r="AZ793" i="2"/>
  <c r="AR793" i="2"/>
  <c r="AH793" i="2"/>
  <c r="BR792" i="2"/>
  <c r="BQ792" i="2"/>
  <c r="BP792" i="2"/>
  <c r="BO792" i="2"/>
  <c r="AX792" i="2"/>
  <c r="AT792" i="2"/>
  <c r="AP792" i="2"/>
  <c r="BR791" i="2"/>
  <c r="BQ791" i="2"/>
  <c r="BP791" i="2"/>
  <c r="BO791" i="2"/>
  <c r="BR790" i="2"/>
  <c r="BQ790" i="2"/>
  <c r="BP790" i="2"/>
  <c r="BO790" i="2"/>
  <c r="V790" i="2"/>
  <c r="BR789" i="2"/>
  <c r="BQ789" i="2"/>
  <c r="BP789" i="2"/>
  <c r="BO789" i="2"/>
  <c r="BR788" i="2"/>
  <c r="BQ788" i="2"/>
  <c r="BP788" i="2"/>
  <c r="BO788" i="2"/>
  <c r="BR787" i="2"/>
  <c r="BQ787" i="2"/>
  <c r="BP787" i="2"/>
  <c r="BO787" i="2"/>
  <c r="BR786" i="2"/>
  <c r="BQ786" i="2"/>
  <c r="BP786" i="2"/>
  <c r="BO786" i="2"/>
  <c r="BD786" i="2"/>
  <c r="AR786" i="2"/>
  <c r="BR785" i="2"/>
  <c r="BQ785" i="2"/>
  <c r="BP785" i="2"/>
  <c r="BO785" i="2"/>
  <c r="BB785" i="2"/>
  <c r="AX785" i="2"/>
  <c r="BR784" i="2"/>
  <c r="BQ784" i="2"/>
  <c r="BP784" i="2"/>
  <c r="BO784" i="2"/>
  <c r="BR783" i="2"/>
  <c r="BQ783" i="2"/>
  <c r="BP783" i="2"/>
  <c r="BO783" i="2"/>
  <c r="BR782" i="2"/>
  <c r="BQ782" i="2"/>
  <c r="BP782" i="2"/>
  <c r="BO782" i="2"/>
  <c r="AT782" i="2"/>
  <c r="BR781" i="2"/>
  <c r="BQ781" i="2"/>
  <c r="BP781" i="2"/>
  <c r="BO781" i="2"/>
  <c r="BB781" i="2"/>
  <c r="AR781" i="2"/>
  <c r="AD781" i="2"/>
  <c r="BR780" i="2"/>
  <c r="BQ780" i="2"/>
  <c r="BP780" i="2"/>
  <c r="BO780" i="2"/>
  <c r="AZ780" i="2"/>
  <c r="AX780" i="2"/>
  <c r="AP780" i="2"/>
  <c r="AN780" i="2"/>
  <c r="AJ780" i="2"/>
  <c r="AH780" i="2"/>
  <c r="Z780" i="2"/>
  <c r="X780" i="2"/>
  <c r="T780" i="2"/>
  <c r="P780" i="2"/>
  <c r="BR779" i="2"/>
  <c r="BQ779" i="2"/>
  <c r="BP779" i="2"/>
  <c r="BO779" i="2"/>
  <c r="BR778" i="2"/>
  <c r="BQ778" i="2"/>
  <c r="BP778" i="2"/>
  <c r="BO778" i="2"/>
  <c r="BR777" i="2"/>
  <c r="BQ777" i="2"/>
  <c r="BP777" i="2"/>
  <c r="BO777" i="2"/>
  <c r="BB777" i="2"/>
  <c r="AJ777" i="2"/>
  <c r="AF777" i="2"/>
  <c r="T777" i="2"/>
  <c r="BR776" i="2"/>
  <c r="BQ776" i="2"/>
  <c r="BP776" i="2"/>
  <c r="BO776" i="2"/>
  <c r="BR775" i="2"/>
  <c r="BQ775" i="2"/>
  <c r="BP775" i="2"/>
  <c r="BO775" i="2"/>
  <c r="BB775" i="2"/>
  <c r="AZ775" i="2"/>
  <c r="AX775" i="2"/>
  <c r="AV775" i="2"/>
  <c r="AT775" i="2"/>
  <c r="AR775" i="2"/>
  <c r="AP775" i="2"/>
  <c r="AN775" i="2"/>
  <c r="AL775" i="2"/>
  <c r="AH775" i="2"/>
  <c r="AD775" i="2"/>
  <c r="AB775" i="2"/>
  <c r="X775" i="2"/>
  <c r="V775" i="2"/>
  <c r="T775" i="2"/>
  <c r="R775" i="2"/>
  <c r="BR774" i="2"/>
  <c r="BQ774" i="2"/>
  <c r="BP774" i="2"/>
  <c r="BO774" i="2"/>
  <c r="AX774" i="2"/>
  <c r="AV774" i="2"/>
  <c r="AR774" i="2"/>
  <c r="AL774" i="2"/>
  <c r="AJ774" i="2"/>
  <c r="AH774" i="2"/>
  <c r="Z774" i="2"/>
  <c r="X774" i="2"/>
  <c r="P774" i="2"/>
  <c r="N774" i="2"/>
  <c r="BR773" i="2"/>
  <c r="BQ773" i="2"/>
  <c r="BP773" i="2"/>
  <c r="BO773" i="2"/>
  <c r="BR772" i="2"/>
  <c r="BQ772" i="2"/>
  <c r="BP772" i="2"/>
  <c r="BO772" i="2"/>
  <c r="BB772" i="2"/>
  <c r="AV772" i="2"/>
  <c r="AT772" i="2"/>
  <c r="AR772" i="2"/>
  <c r="AH772" i="2"/>
  <c r="AB772" i="2"/>
  <c r="Z772" i="2"/>
  <c r="X772" i="2"/>
  <c r="N772" i="2"/>
  <c r="BR771" i="2"/>
  <c r="BQ771" i="2"/>
  <c r="BP771" i="2"/>
  <c r="BO771" i="2"/>
  <c r="AX771" i="2"/>
  <c r="BR770" i="2"/>
  <c r="BQ770" i="2"/>
  <c r="BP770" i="2"/>
  <c r="BO770" i="2"/>
  <c r="AT770" i="2"/>
  <c r="AR770" i="2"/>
  <c r="AF770" i="2"/>
  <c r="X770" i="2"/>
  <c r="T770" i="2"/>
  <c r="P770" i="2"/>
  <c r="BR769" i="2"/>
  <c r="BQ769" i="2"/>
  <c r="BP769" i="2"/>
  <c r="BO769" i="2"/>
  <c r="AP769" i="2"/>
  <c r="BR768" i="2"/>
  <c r="BQ768" i="2"/>
  <c r="BP768" i="2"/>
  <c r="BO768" i="2"/>
  <c r="BD768" i="2"/>
  <c r="BR767" i="2"/>
  <c r="BQ767" i="2"/>
  <c r="BP767" i="2"/>
  <c r="BO767" i="2"/>
  <c r="AB767" i="2"/>
  <c r="N767" i="2"/>
  <c r="BR766" i="2"/>
  <c r="BQ766" i="2"/>
  <c r="BP766" i="2"/>
  <c r="BO766" i="2"/>
  <c r="BR765" i="2"/>
  <c r="BQ765" i="2"/>
  <c r="BP765" i="2"/>
  <c r="BO765" i="2"/>
  <c r="AT765" i="2"/>
  <c r="AR765" i="2"/>
  <c r="BR764" i="2"/>
  <c r="BQ764" i="2"/>
  <c r="BP764" i="2"/>
  <c r="BO764" i="2"/>
  <c r="BR763" i="2"/>
  <c r="BQ763" i="2"/>
  <c r="BP763" i="2"/>
  <c r="BO763" i="2"/>
  <c r="BR762" i="2"/>
  <c r="BQ762" i="2"/>
  <c r="BP762" i="2"/>
  <c r="BO762" i="2"/>
  <c r="AT762" i="2"/>
  <c r="AB762" i="2"/>
  <c r="BR761" i="2"/>
  <c r="BQ761" i="2"/>
  <c r="BP761" i="2"/>
  <c r="BO761" i="2"/>
  <c r="BB761" i="2"/>
  <c r="AZ761" i="2"/>
  <c r="AV761" i="2"/>
  <c r="AP761" i="2"/>
  <c r="AF761" i="2"/>
  <c r="AB761" i="2"/>
  <c r="Z761" i="2"/>
  <c r="X761" i="2"/>
  <c r="R761" i="2"/>
  <c r="BR760" i="2"/>
  <c r="BQ760" i="2"/>
  <c r="BP760" i="2"/>
  <c r="BO760" i="2"/>
  <c r="AX760" i="2"/>
  <c r="AT760" i="2"/>
  <c r="Z760" i="2"/>
  <c r="BR759" i="2"/>
  <c r="BQ759" i="2"/>
  <c r="BP759" i="2"/>
  <c r="BO759" i="2"/>
  <c r="AX759" i="2"/>
  <c r="BR758" i="2"/>
  <c r="BQ758" i="2"/>
  <c r="BP758" i="2"/>
  <c r="BO758" i="2"/>
  <c r="AN758" i="2"/>
  <c r="BR757" i="2"/>
  <c r="BQ757" i="2"/>
  <c r="BP757" i="2"/>
  <c r="BO757" i="2"/>
  <c r="AX757" i="2"/>
  <c r="BR756" i="2"/>
  <c r="BQ756" i="2"/>
  <c r="BP756" i="2"/>
  <c r="BO756" i="2"/>
  <c r="BR755" i="2"/>
  <c r="BQ755" i="2"/>
  <c r="BP755" i="2"/>
  <c r="BO755" i="2"/>
  <c r="BR754" i="2"/>
  <c r="BQ754" i="2"/>
  <c r="BP754" i="2"/>
  <c r="BO754" i="2"/>
  <c r="BR753" i="2"/>
  <c r="BQ753" i="2"/>
  <c r="BP753" i="2"/>
  <c r="BO753" i="2"/>
  <c r="BR752" i="2"/>
  <c r="BQ752" i="2"/>
  <c r="BP752" i="2"/>
  <c r="BO752" i="2"/>
  <c r="BR751" i="2"/>
  <c r="BQ751" i="2"/>
  <c r="BP751" i="2"/>
  <c r="BO751" i="2"/>
  <c r="BR750" i="2"/>
  <c r="BQ750" i="2"/>
  <c r="BP750" i="2"/>
  <c r="BO750" i="2"/>
  <c r="BR749" i="2"/>
  <c r="BQ749" i="2"/>
  <c r="BP749" i="2"/>
  <c r="BO749" i="2"/>
  <c r="BR748" i="2"/>
  <c r="BQ748" i="2"/>
  <c r="BP748" i="2"/>
  <c r="BO748" i="2"/>
  <c r="AX748" i="2"/>
  <c r="BR747" i="2"/>
  <c r="BQ747" i="2"/>
  <c r="BP747" i="2"/>
  <c r="BO747" i="2"/>
  <c r="R747" i="2"/>
  <c r="BR746" i="2"/>
  <c r="BQ746" i="2"/>
  <c r="BP746" i="2"/>
  <c r="BO746" i="2"/>
  <c r="BD746" i="2"/>
  <c r="AR746" i="2"/>
  <c r="AL746" i="2"/>
  <c r="P746" i="2"/>
  <c r="BR745" i="2"/>
  <c r="BQ745" i="2"/>
  <c r="BP745" i="2"/>
  <c r="BO745" i="2"/>
  <c r="BB745" i="2"/>
  <c r="AR745" i="2"/>
  <c r="BR744" i="2"/>
  <c r="BQ744" i="2"/>
  <c r="BP744" i="2"/>
  <c r="BO744" i="2"/>
  <c r="BR743" i="2"/>
  <c r="BQ743" i="2"/>
  <c r="BP743" i="2"/>
  <c r="BO743" i="2"/>
  <c r="AJ743" i="2"/>
  <c r="BR742" i="2"/>
  <c r="BQ742" i="2"/>
  <c r="BP742" i="2"/>
  <c r="BO742" i="2"/>
  <c r="BD742" i="2"/>
  <c r="AR742" i="2"/>
  <c r="AF742" i="2"/>
  <c r="BR740" i="2"/>
  <c r="BQ740" i="2"/>
  <c r="BP740" i="2"/>
  <c r="BO740" i="2"/>
  <c r="AR740" i="2"/>
  <c r="AF740" i="2"/>
  <c r="BR739" i="2"/>
  <c r="BQ739" i="2"/>
  <c r="BP739" i="2"/>
  <c r="BO739" i="2"/>
  <c r="BR738" i="2"/>
  <c r="BQ738" i="2"/>
  <c r="BP738" i="2"/>
  <c r="BO738" i="2"/>
  <c r="BD738" i="2"/>
  <c r="BB738" i="2"/>
  <c r="AX738" i="2"/>
  <c r="AV738" i="2"/>
  <c r="AT738" i="2"/>
  <c r="AR738" i="2"/>
  <c r="AP738" i="2"/>
  <c r="AN738" i="2"/>
  <c r="AL738" i="2"/>
  <c r="AF738" i="2"/>
  <c r="AB738" i="2"/>
  <c r="Z738" i="2"/>
  <c r="X738" i="2"/>
  <c r="BR737" i="2"/>
  <c r="BQ737" i="2"/>
  <c r="BP737" i="2"/>
  <c r="BO737" i="2"/>
  <c r="AT737" i="2"/>
  <c r="AP737" i="2"/>
  <c r="P737" i="2"/>
  <c r="BR736" i="2"/>
  <c r="BQ736" i="2"/>
  <c r="BP736" i="2"/>
  <c r="BO736" i="2"/>
  <c r="BD736" i="2"/>
  <c r="BB736" i="2"/>
  <c r="AP736" i="2"/>
  <c r="AL736" i="2"/>
  <c r="AJ736" i="2"/>
  <c r="AH736" i="2"/>
  <c r="AB736" i="2"/>
  <c r="BR735" i="2"/>
  <c r="BQ735" i="2"/>
  <c r="BP735" i="2"/>
  <c r="BO735" i="2"/>
  <c r="BB735" i="2"/>
  <c r="AR735" i="2"/>
  <c r="BR734" i="2"/>
  <c r="BQ734" i="2"/>
  <c r="BP734" i="2"/>
  <c r="BO734" i="2"/>
  <c r="AX734" i="2"/>
  <c r="AH734" i="2"/>
  <c r="BR733" i="2"/>
  <c r="BQ733" i="2"/>
  <c r="BP733" i="2"/>
  <c r="BO733" i="2"/>
  <c r="BD733" i="2"/>
  <c r="BB733" i="2"/>
  <c r="AL733" i="2"/>
  <c r="AH733" i="2"/>
  <c r="AD733" i="2"/>
  <c r="AB733" i="2"/>
  <c r="X733" i="2"/>
  <c r="P733" i="2"/>
  <c r="N733" i="2"/>
  <c r="BR732" i="2"/>
  <c r="BQ732" i="2"/>
  <c r="BP732" i="2"/>
  <c r="BO732" i="2"/>
  <c r="AR732" i="2"/>
  <c r="AF732" i="2"/>
  <c r="BR731" i="2"/>
  <c r="BQ731" i="2"/>
  <c r="BP731" i="2"/>
  <c r="BO731" i="2"/>
  <c r="BD731" i="2"/>
  <c r="AZ731" i="2"/>
  <c r="AV731" i="2"/>
  <c r="AT731" i="2"/>
  <c r="AP731" i="2"/>
  <c r="AL731" i="2"/>
  <c r="AJ731" i="2"/>
  <c r="AH731" i="2"/>
  <c r="N731" i="2"/>
  <c r="BR730" i="2"/>
  <c r="BQ730" i="2"/>
  <c r="BP730" i="2"/>
  <c r="BO730" i="2"/>
  <c r="BD730" i="2"/>
  <c r="BR729" i="2"/>
  <c r="BQ729" i="2"/>
  <c r="BP729" i="2"/>
  <c r="BO729" i="2"/>
  <c r="BR728" i="2"/>
  <c r="BQ728" i="2"/>
  <c r="BP728" i="2"/>
  <c r="BO728" i="2"/>
  <c r="BR727" i="2"/>
  <c r="BQ727" i="2"/>
  <c r="BP727" i="2"/>
  <c r="BO727" i="2"/>
  <c r="BB727" i="2"/>
  <c r="AF727" i="2"/>
  <c r="BR726" i="2"/>
  <c r="BQ726" i="2"/>
  <c r="BP726" i="2"/>
  <c r="BO726" i="2"/>
  <c r="BD726" i="2"/>
  <c r="BB726" i="2"/>
  <c r="AR726" i="2"/>
  <c r="BR725" i="2"/>
  <c r="BQ725" i="2"/>
  <c r="BP725" i="2"/>
  <c r="BO725" i="2"/>
  <c r="AX725" i="2"/>
  <c r="AV725" i="2"/>
  <c r="Z725" i="2"/>
  <c r="BR724" i="2"/>
  <c r="BQ724" i="2"/>
  <c r="BP724" i="2"/>
  <c r="BO724" i="2"/>
  <c r="AF724" i="2"/>
  <c r="BR723" i="2"/>
  <c r="BQ723" i="2"/>
  <c r="BP723" i="2"/>
  <c r="BO723" i="2"/>
  <c r="BR722" i="2"/>
  <c r="BQ722" i="2"/>
  <c r="BP722" i="2"/>
  <c r="BO722" i="2"/>
  <c r="X722" i="2"/>
  <c r="BR721" i="2"/>
  <c r="BQ721" i="2"/>
  <c r="BP721" i="2"/>
  <c r="BO721" i="2"/>
  <c r="BR720" i="2"/>
  <c r="BQ720" i="2"/>
  <c r="BP720" i="2"/>
  <c r="BO720" i="2"/>
  <c r="BD720" i="2"/>
  <c r="BR719" i="2"/>
  <c r="BQ719" i="2"/>
  <c r="BP719" i="2"/>
  <c r="BO719" i="2"/>
  <c r="AV719" i="2"/>
  <c r="AT719" i="2"/>
  <c r="AL719" i="2"/>
  <c r="AJ719" i="2"/>
  <c r="AH719" i="2"/>
  <c r="P719" i="2"/>
  <c r="BR718" i="2"/>
  <c r="BQ718" i="2"/>
  <c r="BP718" i="2"/>
  <c r="BO718" i="2"/>
  <c r="BD718" i="2"/>
  <c r="AZ718" i="2"/>
  <c r="AX718" i="2"/>
  <c r="AT718" i="2"/>
  <c r="AR718" i="2"/>
  <c r="AP718" i="2"/>
  <c r="AN718" i="2"/>
  <c r="AJ718" i="2"/>
  <c r="AH718" i="2"/>
  <c r="AF718" i="2"/>
  <c r="AB718" i="2"/>
  <c r="X718" i="2"/>
  <c r="V718" i="2"/>
  <c r="R718" i="2"/>
  <c r="P718" i="2"/>
  <c r="BR717" i="2"/>
  <c r="BQ717" i="2"/>
  <c r="BP717" i="2"/>
  <c r="BO717" i="2"/>
  <c r="BR716" i="2"/>
  <c r="BQ716" i="2"/>
  <c r="BP716" i="2"/>
  <c r="BO716" i="2"/>
  <c r="AJ716" i="2"/>
  <c r="BR715" i="2"/>
  <c r="BQ715" i="2"/>
  <c r="BP715" i="2"/>
  <c r="BO715" i="2"/>
  <c r="BR714" i="2"/>
  <c r="BQ714" i="2"/>
  <c r="BP714" i="2"/>
  <c r="BO714" i="2"/>
  <c r="BR713" i="2"/>
  <c r="BQ713" i="2"/>
  <c r="BP713" i="2"/>
  <c r="BO713" i="2"/>
  <c r="BR712" i="2"/>
  <c r="BQ712" i="2"/>
  <c r="BP712" i="2"/>
  <c r="BO712" i="2"/>
  <c r="BB712" i="2"/>
  <c r="AJ712" i="2"/>
  <c r="AH712" i="2"/>
  <c r="N712" i="2"/>
  <c r="BR711" i="2"/>
  <c r="BQ711" i="2"/>
  <c r="BP711" i="2"/>
  <c r="BO711" i="2"/>
  <c r="AH711" i="2"/>
  <c r="BR710" i="2"/>
  <c r="BQ710" i="2"/>
  <c r="BP710" i="2"/>
  <c r="BO710" i="2"/>
  <c r="AV710" i="2"/>
  <c r="AL710" i="2"/>
  <c r="BR709" i="2"/>
  <c r="BQ709" i="2"/>
  <c r="BP709" i="2"/>
  <c r="BO709" i="2"/>
  <c r="BR708" i="2"/>
  <c r="BQ708" i="2"/>
  <c r="BP708" i="2"/>
  <c r="BO708" i="2"/>
  <c r="AH708" i="2"/>
  <c r="AD708" i="2"/>
  <c r="P708" i="2"/>
  <c r="BR707" i="2"/>
  <c r="BQ707" i="2"/>
  <c r="BP707" i="2"/>
  <c r="BO707" i="2"/>
  <c r="BR706" i="2"/>
  <c r="BQ706" i="2"/>
  <c r="BP706" i="2"/>
  <c r="BO706" i="2"/>
  <c r="BR705" i="2"/>
  <c r="BQ705" i="2"/>
  <c r="BP705" i="2"/>
  <c r="BO705" i="2"/>
  <c r="BR703" i="2"/>
  <c r="BQ703" i="2"/>
  <c r="BP703" i="2"/>
  <c r="BO703" i="2"/>
  <c r="BR702" i="2"/>
  <c r="BQ702" i="2"/>
  <c r="BP702" i="2"/>
  <c r="BO702" i="2"/>
  <c r="BR701" i="2"/>
  <c r="BQ701" i="2"/>
  <c r="BP701" i="2"/>
  <c r="BO701" i="2"/>
  <c r="AT701" i="2"/>
  <c r="V701" i="2"/>
  <c r="R701" i="2"/>
  <c r="BR700" i="2"/>
  <c r="BQ700" i="2"/>
  <c r="BP700" i="2"/>
  <c r="BO700" i="2"/>
  <c r="BR699" i="2"/>
  <c r="BQ699" i="2"/>
  <c r="BP699" i="2"/>
  <c r="BO699" i="2"/>
  <c r="BD699" i="2"/>
  <c r="BB699" i="2"/>
  <c r="AT699" i="2"/>
  <c r="AR699" i="2"/>
  <c r="R699" i="2"/>
  <c r="BR698" i="2"/>
  <c r="BQ698" i="2"/>
  <c r="BP698" i="2"/>
  <c r="BO698" i="2"/>
  <c r="BD698" i="2"/>
  <c r="BB698" i="2"/>
  <c r="AZ698" i="2"/>
  <c r="AX698" i="2"/>
  <c r="AT698" i="2"/>
  <c r="AP698" i="2"/>
  <c r="AH698" i="2"/>
  <c r="AD698" i="2"/>
  <c r="AB698" i="2"/>
  <c r="R698" i="2"/>
  <c r="BR697" i="2"/>
  <c r="BQ697" i="2"/>
  <c r="BP697" i="2"/>
  <c r="BO697" i="2"/>
  <c r="AP697" i="2"/>
  <c r="AN697" i="2"/>
  <c r="T697" i="2"/>
  <c r="BR696" i="2"/>
  <c r="BQ696" i="2"/>
  <c r="BP696" i="2"/>
  <c r="BO696" i="2"/>
  <c r="BB696" i="2"/>
  <c r="BR695" i="2"/>
  <c r="BQ695" i="2"/>
  <c r="BP695" i="2"/>
  <c r="BO695" i="2"/>
  <c r="BR694" i="2"/>
  <c r="BQ694" i="2"/>
  <c r="BP694" i="2"/>
  <c r="BO694" i="2"/>
  <c r="BR693" i="2"/>
  <c r="BQ693" i="2"/>
  <c r="BP693" i="2"/>
  <c r="BO693" i="2"/>
  <c r="BR692" i="2"/>
  <c r="BQ692" i="2"/>
  <c r="BP692" i="2"/>
  <c r="BO692" i="2"/>
  <c r="BR691" i="2"/>
  <c r="BQ691" i="2"/>
  <c r="BP691" i="2"/>
  <c r="BO691" i="2"/>
  <c r="BR690" i="2"/>
  <c r="BQ690" i="2"/>
  <c r="BP690" i="2"/>
  <c r="BO690" i="2"/>
  <c r="R690" i="2"/>
  <c r="BR689" i="2"/>
  <c r="BQ689" i="2"/>
  <c r="BP689" i="2"/>
  <c r="BO689" i="2"/>
  <c r="BR688" i="2"/>
  <c r="BQ688" i="2"/>
  <c r="BP688" i="2"/>
  <c r="BO688" i="2"/>
  <c r="AT688" i="2"/>
  <c r="AP688" i="2"/>
  <c r="AD688" i="2"/>
  <c r="Z688" i="2"/>
  <c r="T688" i="2"/>
  <c r="R688" i="2"/>
  <c r="N688" i="2"/>
  <c r="BR687" i="2"/>
  <c r="BQ687" i="2"/>
  <c r="BP687" i="2"/>
  <c r="BO687" i="2"/>
  <c r="BR686" i="2"/>
  <c r="BQ686" i="2"/>
  <c r="BP686" i="2"/>
  <c r="BO686" i="2"/>
  <c r="BR685" i="2"/>
  <c r="BQ685" i="2"/>
  <c r="BP685" i="2"/>
  <c r="BO685" i="2"/>
  <c r="BB685" i="2"/>
  <c r="AX685" i="2"/>
  <c r="AN685" i="2"/>
  <c r="AJ685" i="2"/>
  <c r="P685" i="2"/>
  <c r="BR684" i="2"/>
  <c r="BQ684" i="2"/>
  <c r="BP684" i="2"/>
  <c r="BO684" i="2"/>
  <c r="AD684" i="2"/>
  <c r="AB684" i="2"/>
  <c r="BR683" i="2"/>
  <c r="BQ683" i="2"/>
  <c r="BP683" i="2"/>
  <c r="BO683" i="2"/>
  <c r="BR682" i="2"/>
  <c r="BQ682" i="2"/>
  <c r="BP682" i="2"/>
  <c r="BO682" i="2"/>
  <c r="P682" i="2"/>
  <c r="BR681" i="2"/>
  <c r="BQ681" i="2"/>
  <c r="BP681" i="2"/>
  <c r="BO681" i="2"/>
  <c r="BR680" i="2"/>
  <c r="BQ680" i="2"/>
  <c r="BP680" i="2"/>
  <c r="BO680" i="2"/>
  <c r="BR679" i="2"/>
  <c r="BQ679" i="2"/>
  <c r="BP679" i="2"/>
  <c r="BO679" i="2"/>
  <c r="AR679" i="2"/>
  <c r="BR678" i="2"/>
  <c r="BQ678" i="2"/>
  <c r="BP678" i="2"/>
  <c r="BO678" i="2"/>
  <c r="BR677" i="2"/>
  <c r="BQ677" i="2"/>
  <c r="BP677" i="2"/>
  <c r="BO677" i="2"/>
  <c r="AN677" i="2"/>
  <c r="AL677" i="2"/>
  <c r="AD677" i="2"/>
  <c r="T677" i="2"/>
  <c r="BR676" i="2"/>
  <c r="BQ676" i="2"/>
  <c r="BP676" i="2"/>
  <c r="BO676" i="2"/>
  <c r="BD676" i="2"/>
  <c r="AX676" i="2"/>
  <c r="AT676" i="2"/>
  <c r="AP676" i="2"/>
  <c r="AB676" i="2"/>
  <c r="Z676" i="2"/>
  <c r="BR675" i="2"/>
  <c r="BQ675" i="2"/>
  <c r="BP675" i="2"/>
  <c r="BO675" i="2"/>
  <c r="BR674" i="2"/>
  <c r="BQ674" i="2"/>
  <c r="BP674" i="2"/>
  <c r="BO674" i="2"/>
  <c r="AF674" i="2"/>
  <c r="N674" i="2"/>
  <c r="BR673" i="2"/>
  <c r="BQ673" i="2"/>
  <c r="BP673" i="2"/>
  <c r="BO673" i="2"/>
  <c r="BR672" i="2"/>
  <c r="BQ672" i="2"/>
  <c r="BP672" i="2"/>
  <c r="BO672" i="2"/>
  <c r="AJ672" i="2"/>
  <c r="AF672" i="2"/>
  <c r="V672" i="2"/>
  <c r="BR671" i="2"/>
  <c r="BQ671" i="2"/>
  <c r="BP671" i="2"/>
  <c r="BO671" i="2"/>
  <c r="BD671" i="2"/>
  <c r="BR670" i="2"/>
  <c r="BQ670" i="2"/>
  <c r="BP670" i="2"/>
  <c r="BO670" i="2"/>
  <c r="BR669" i="2"/>
  <c r="BQ669" i="2"/>
  <c r="BP669" i="2"/>
  <c r="BO669" i="2"/>
  <c r="BR668" i="2"/>
  <c r="BQ668" i="2"/>
  <c r="BP668" i="2"/>
  <c r="BO668" i="2"/>
  <c r="AL668" i="2"/>
  <c r="X668" i="2"/>
  <c r="BR667" i="2"/>
  <c r="BQ667" i="2"/>
  <c r="BP667" i="2"/>
  <c r="BO667" i="2"/>
  <c r="AV667" i="2"/>
  <c r="AR667" i="2"/>
  <c r="V667" i="2"/>
  <c r="T667" i="2"/>
  <c r="R667" i="2"/>
  <c r="BR666" i="2"/>
  <c r="BQ666" i="2"/>
  <c r="BP666" i="2"/>
  <c r="BO666" i="2"/>
  <c r="BR665" i="2"/>
  <c r="BQ665" i="2"/>
  <c r="BP665" i="2"/>
  <c r="BO665" i="2"/>
  <c r="BD665" i="2"/>
  <c r="AN665" i="2"/>
  <c r="BR663" i="2"/>
  <c r="BQ663" i="2"/>
  <c r="BP663" i="2"/>
  <c r="BO663" i="2"/>
  <c r="BB663" i="2"/>
  <c r="AX663" i="2"/>
  <c r="AP663" i="2"/>
  <c r="AD663" i="2"/>
  <c r="BR662" i="2"/>
  <c r="BQ662" i="2"/>
  <c r="BP662" i="2"/>
  <c r="BO662" i="2"/>
  <c r="BR661" i="2"/>
  <c r="BQ661" i="2"/>
  <c r="BP661" i="2"/>
  <c r="BO661" i="2"/>
  <c r="BR660" i="2"/>
  <c r="BQ660" i="2"/>
  <c r="BP660" i="2"/>
  <c r="BO660" i="2"/>
  <c r="BR659" i="2"/>
  <c r="BQ659" i="2"/>
  <c r="BP659" i="2"/>
  <c r="BO659" i="2"/>
  <c r="BR658" i="2"/>
  <c r="BQ658" i="2"/>
  <c r="BP658" i="2"/>
  <c r="BO658" i="2"/>
  <c r="BR657" i="2"/>
  <c r="BQ657" i="2"/>
  <c r="BP657" i="2"/>
  <c r="BO657" i="2"/>
  <c r="BD657" i="2"/>
  <c r="AT657" i="2"/>
  <c r="AB657" i="2"/>
  <c r="T657" i="2"/>
  <c r="P657" i="2"/>
  <c r="BR656" i="2"/>
  <c r="BQ656" i="2"/>
  <c r="BP656" i="2"/>
  <c r="BO656" i="2"/>
  <c r="BD656" i="2"/>
  <c r="BB656" i="2"/>
  <c r="AX656" i="2"/>
  <c r="AV656" i="2"/>
  <c r="AP656" i="2"/>
  <c r="AH656" i="2"/>
  <c r="AF656" i="2"/>
  <c r="AB656" i="2"/>
  <c r="R656" i="2"/>
  <c r="P656" i="2"/>
  <c r="BR655" i="2"/>
  <c r="BQ655" i="2"/>
  <c r="BP655" i="2"/>
  <c r="BO655" i="2"/>
  <c r="AN655" i="2"/>
  <c r="BR654" i="2"/>
  <c r="BQ654" i="2"/>
  <c r="BP654" i="2"/>
  <c r="BO654" i="2"/>
  <c r="BD654" i="2"/>
  <c r="BB654" i="2"/>
  <c r="AZ654" i="2"/>
  <c r="AV654" i="2"/>
  <c r="AR654" i="2"/>
  <c r="X654" i="2"/>
  <c r="N654" i="2"/>
  <c r="BR653" i="2"/>
  <c r="BQ653" i="2"/>
  <c r="BP653" i="2"/>
  <c r="BO653" i="2"/>
  <c r="AD653" i="2"/>
  <c r="X653" i="2"/>
  <c r="N653" i="2"/>
  <c r="BR652" i="2"/>
  <c r="BQ652" i="2"/>
  <c r="BP652" i="2"/>
  <c r="BO652" i="2"/>
  <c r="AH652" i="2"/>
  <c r="T652" i="2"/>
  <c r="BR651" i="2"/>
  <c r="BQ651" i="2"/>
  <c r="BP651" i="2"/>
  <c r="BO651" i="2"/>
  <c r="AV651" i="2"/>
  <c r="AT651" i="2"/>
  <c r="AR651" i="2"/>
  <c r="AP651" i="2"/>
  <c r="AN651" i="2"/>
  <c r="AJ651" i="2"/>
  <c r="AH651" i="2"/>
  <c r="AF651" i="2"/>
  <c r="AD651" i="2"/>
  <c r="Z651" i="2"/>
  <c r="X651" i="2"/>
  <c r="V651" i="2"/>
  <c r="T651" i="2"/>
  <c r="BR650" i="2"/>
  <c r="BQ650" i="2"/>
  <c r="BP650" i="2"/>
  <c r="BO650" i="2"/>
  <c r="BD650" i="2"/>
  <c r="BR649" i="2"/>
  <c r="BQ649" i="2"/>
  <c r="BP649" i="2"/>
  <c r="BO649" i="2"/>
  <c r="AX649" i="2"/>
  <c r="AD649" i="2"/>
  <c r="X649" i="2"/>
  <c r="R649" i="2"/>
  <c r="BR648" i="2"/>
  <c r="BQ648" i="2"/>
  <c r="BP648" i="2"/>
  <c r="BO648" i="2"/>
  <c r="BR647" i="2"/>
  <c r="BQ647" i="2"/>
  <c r="BP647" i="2"/>
  <c r="BO647" i="2"/>
  <c r="BD647" i="2"/>
  <c r="BR646" i="2"/>
  <c r="BQ646" i="2"/>
  <c r="BP646" i="2"/>
  <c r="BO646" i="2"/>
  <c r="AR646" i="2"/>
  <c r="BR645" i="2"/>
  <c r="BQ645" i="2"/>
  <c r="BP645" i="2"/>
  <c r="BO645" i="2"/>
  <c r="AX645" i="2"/>
  <c r="BR644" i="2"/>
  <c r="BQ644" i="2"/>
  <c r="BP644" i="2"/>
  <c r="BO644" i="2"/>
  <c r="BR643" i="2"/>
  <c r="BQ643" i="2"/>
  <c r="BP643" i="2"/>
  <c r="BO643" i="2"/>
  <c r="BR642" i="2"/>
  <c r="BQ642" i="2"/>
  <c r="BP642" i="2"/>
  <c r="BO642" i="2"/>
  <c r="BR641" i="2"/>
  <c r="BQ641" i="2"/>
  <c r="BP641" i="2"/>
  <c r="BO641" i="2"/>
  <c r="AH641" i="2"/>
  <c r="Z641" i="2"/>
  <c r="BR640" i="2"/>
  <c r="BQ640" i="2"/>
  <c r="BP640" i="2"/>
  <c r="BO640" i="2"/>
  <c r="AX640" i="2"/>
  <c r="BR639" i="2"/>
  <c r="BQ639" i="2"/>
  <c r="BP639" i="2"/>
  <c r="BO639" i="2"/>
  <c r="AR639" i="2"/>
  <c r="BR638" i="2"/>
  <c r="BQ638" i="2"/>
  <c r="BP638" i="2"/>
  <c r="BO638" i="2"/>
  <c r="BR637" i="2"/>
  <c r="BQ637" i="2"/>
  <c r="BP637" i="2"/>
  <c r="BO637" i="2"/>
  <c r="BR636" i="2"/>
  <c r="BQ636" i="2"/>
  <c r="BP636" i="2"/>
  <c r="BO636" i="2"/>
  <c r="BR635" i="2"/>
  <c r="BQ635" i="2"/>
  <c r="BP635" i="2"/>
  <c r="BO635" i="2"/>
  <c r="BB635" i="2"/>
  <c r="AZ635" i="2"/>
  <c r="AD635" i="2"/>
  <c r="Z635" i="2"/>
  <c r="BR634" i="2"/>
  <c r="BQ634" i="2"/>
  <c r="BP634" i="2"/>
  <c r="BO634" i="2"/>
  <c r="BR633" i="2"/>
  <c r="BQ633" i="2"/>
  <c r="BP633" i="2"/>
  <c r="BO633" i="2"/>
  <c r="AT633" i="2"/>
  <c r="BR632" i="2"/>
  <c r="BQ632" i="2"/>
  <c r="BP632" i="2"/>
  <c r="BO632" i="2"/>
  <c r="BR631" i="2"/>
  <c r="BQ631" i="2"/>
  <c r="BP631" i="2"/>
  <c r="BO631" i="2"/>
  <c r="BR630" i="2"/>
  <c r="BQ630" i="2"/>
  <c r="BP630" i="2"/>
  <c r="BO630" i="2"/>
  <c r="BD630" i="2"/>
  <c r="BB630" i="2"/>
  <c r="AZ630" i="2"/>
  <c r="AX630" i="2"/>
  <c r="AV630" i="2"/>
  <c r="AP630" i="2"/>
  <c r="AN630" i="2"/>
  <c r="AL630" i="2"/>
  <c r="AJ630" i="2"/>
  <c r="AH630" i="2"/>
  <c r="AF630" i="2"/>
  <c r="AD630" i="2"/>
  <c r="Z630" i="2"/>
  <c r="X630" i="2"/>
  <c r="V630" i="2"/>
  <c r="T630" i="2"/>
  <c r="R630" i="2"/>
  <c r="BR629" i="2"/>
  <c r="BQ629" i="2"/>
  <c r="BP629" i="2"/>
  <c r="BO629" i="2"/>
  <c r="AX629" i="2"/>
  <c r="AT629" i="2"/>
  <c r="AD629" i="2"/>
  <c r="N629" i="2"/>
  <c r="BR628" i="2"/>
  <c r="BQ628" i="2"/>
  <c r="BP628" i="2"/>
  <c r="BO628" i="2"/>
  <c r="AX628" i="2"/>
  <c r="AR628" i="2"/>
  <c r="BR627" i="2"/>
  <c r="BQ627" i="2"/>
  <c r="BP627" i="2"/>
  <c r="BO627" i="2"/>
  <c r="BD627" i="2"/>
  <c r="AR627" i="2"/>
  <c r="AP627" i="2"/>
  <c r="X627" i="2"/>
  <c r="T627" i="2"/>
  <c r="N627" i="2"/>
  <c r="BR626" i="2"/>
  <c r="BQ626" i="2"/>
  <c r="BP626" i="2"/>
  <c r="BO626" i="2"/>
  <c r="AR626" i="2"/>
  <c r="AP626" i="2"/>
  <c r="AN626" i="2"/>
  <c r="AF626" i="2"/>
  <c r="BR625" i="2"/>
  <c r="BQ625" i="2"/>
  <c r="BP625" i="2"/>
  <c r="BO625" i="2"/>
  <c r="BD625" i="2"/>
  <c r="AX625" i="2"/>
  <c r="AV625" i="2"/>
  <c r="AT625" i="2"/>
  <c r="AR625" i="2"/>
  <c r="AB625" i="2"/>
  <c r="N625" i="2"/>
  <c r="BR624" i="2"/>
  <c r="BQ624" i="2"/>
  <c r="BP624" i="2"/>
  <c r="BO624" i="2"/>
  <c r="BD624" i="2"/>
  <c r="AJ624" i="2"/>
  <c r="BR623" i="2"/>
  <c r="BQ623" i="2"/>
  <c r="BP623" i="2"/>
  <c r="BO623" i="2"/>
  <c r="AX623" i="2"/>
  <c r="AT623" i="2"/>
  <c r="AP623" i="2"/>
  <c r="AN623" i="2"/>
  <c r="AL623" i="2"/>
  <c r="AH623" i="2"/>
  <c r="BR622" i="2"/>
  <c r="BQ622" i="2"/>
  <c r="BP622" i="2"/>
  <c r="BO622" i="2"/>
  <c r="BD622" i="2"/>
  <c r="AR622" i="2"/>
  <c r="BR621" i="2"/>
  <c r="BQ621" i="2"/>
  <c r="BP621" i="2"/>
  <c r="BO621" i="2"/>
  <c r="AT621" i="2"/>
  <c r="BR620" i="2"/>
  <c r="BQ620" i="2"/>
  <c r="BP620" i="2"/>
  <c r="BO620" i="2"/>
  <c r="AR620" i="2"/>
  <c r="AH620" i="2"/>
  <c r="BR619" i="2"/>
  <c r="BQ619" i="2"/>
  <c r="BP619" i="2"/>
  <c r="BO619" i="2"/>
  <c r="BD619" i="2"/>
  <c r="V619" i="2"/>
  <c r="BR618" i="2"/>
  <c r="BQ618" i="2"/>
  <c r="BP618" i="2"/>
  <c r="BO618" i="2"/>
  <c r="BR617" i="2"/>
  <c r="BQ617" i="2"/>
  <c r="BP617" i="2"/>
  <c r="BO617" i="2"/>
  <c r="BR616" i="2"/>
  <c r="BQ616" i="2"/>
  <c r="BP616" i="2"/>
  <c r="BO616" i="2"/>
  <c r="AZ616" i="2"/>
  <c r="BR615" i="2"/>
  <c r="BQ615" i="2"/>
  <c r="BP615" i="2"/>
  <c r="BO615" i="2"/>
  <c r="BR614" i="2"/>
  <c r="BQ614" i="2"/>
  <c r="BP614" i="2"/>
  <c r="BO614" i="2"/>
  <c r="BR613" i="2"/>
  <c r="BQ613" i="2"/>
  <c r="BP613" i="2"/>
  <c r="BO613" i="2"/>
  <c r="AV613" i="2"/>
  <c r="BR612" i="2"/>
  <c r="BQ612" i="2"/>
  <c r="BP612" i="2"/>
  <c r="BO612" i="2"/>
  <c r="AP612" i="2"/>
  <c r="AH612" i="2"/>
  <c r="AF612" i="2"/>
  <c r="Z612" i="2"/>
  <c r="X612" i="2"/>
  <c r="V612" i="2"/>
  <c r="P612" i="2"/>
  <c r="BR611" i="2"/>
  <c r="BQ611" i="2"/>
  <c r="BP611" i="2"/>
  <c r="BO611" i="2"/>
  <c r="BR610" i="2"/>
  <c r="BQ610" i="2"/>
  <c r="BP610" i="2"/>
  <c r="BO610" i="2"/>
  <c r="BB610" i="2"/>
  <c r="AR610" i="2"/>
  <c r="AL610" i="2"/>
  <c r="AF610" i="2"/>
  <c r="AB610" i="2"/>
  <c r="BR609" i="2"/>
  <c r="BQ609" i="2"/>
  <c r="BP609" i="2"/>
  <c r="BO609" i="2"/>
  <c r="BD609" i="2"/>
  <c r="BR608" i="2"/>
  <c r="BQ608" i="2"/>
  <c r="BP608" i="2"/>
  <c r="BO608" i="2"/>
  <c r="P608" i="2"/>
  <c r="BR607" i="2"/>
  <c r="BQ607" i="2"/>
  <c r="BP607" i="2"/>
  <c r="BO607" i="2"/>
  <c r="AP607" i="2"/>
  <c r="AL607" i="2"/>
  <c r="AB607" i="2"/>
  <c r="BR606" i="2"/>
  <c r="BQ606" i="2"/>
  <c r="BP606" i="2"/>
  <c r="BO606" i="2"/>
  <c r="AR606" i="2"/>
  <c r="BR605" i="2"/>
  <c r="BQ605" i="2"/>
  <c r="BP605" i="2"/>
  <c r="BO605" i="2"/>
  <c r="BD605" i="2"/>
  <c r="AR605" i="2"/>
  <c r="BR604" i="2"/>
  <c r="BQ604" i="2"/>
  <c r="BP604" i="2"/>
  <c r="BO604" i="2"/>
  <c r="BB604" i="2"/>
  <c r="AR604" i="2"/>
  <c r="BR603" i="2"/>
  <c r="BQ603" i="2"/>
  <c r="BP603" i="2"/>
  <c r="BO603" i="2"/>
  <c r="BR602" i="2"/>
  <c r="BQ602" i="2"/>
  <c r="BP602" i="2"/>
  <c r="BO602" i="2"/>
  <c r="AD602" i="2"/>
  <c r="Z602" i="2"/>
  <c r="BR601" i="2"/>
  <c r="BQ601" i="2"/>
  <c r="BP601" i="2"/>
  <c r="BO601" i="2"/>
  <c r="BB601" i="2"/>
  <c r="BR600" i="2"/>
  <c r="BQ600" i="2"/>
  <c r="BP600" i="2"/>
  <c r="BO600" i="2"/>
  <c r="BD600" i="2"/>
  <c r="BB600" i="2"/>
  <c r="AN600" i="2"/>
  <c r="AH600" i="2"/>
  <c r="BR599" i="2"/>
  <c r="BQ599" i="2"/>
  <c r="BP599" i="2"/>
  <c r="BO599" i="2"/>
  <c r="BR598" i="2"/>
  <c r="BQ598" i="2"/>
  <c r="BP598" i="2"/>
  <c r="BO598" i="2"/>
  <c r="AV598" i="2"/>
  <c r="N598" i="2"/>
  <c r="BR597" i="2"/>
  <c r="BQ597" i="2"/>
  <c r="BP597" i="2"/>
  <c r="BO597" i="2"/>
  <c r="BB597" i="2"/>
  <c r="AJ597" i="2"/>
  <c r="BR596" i="2"/>
  <c r="BQ596" i="2"/>
  <c r="BP596" i="2"/>
  <c r="BO596" i="2"/>
  <c r="BD596" i="2"/>
  <c r="AP596" i="2"/>
  <c r="BR595" i="2"/>
  <c r="BQ595" i="2"/>
  <c r="BP595" i="2"/>
  <c r="BO595" i="2"/>
  <c r="BR594" i="2"/>
  <c r="BQ594" i="2"/>
  <c r="BP594" i="2"/>
  <c r="BO594" i="2"/>
  <c r="AV594" i="2"/>
  <c r="AB594" i="2"/>
  <c r="BR593" i="2"/>
  <c r="BQ593" i="2"/>
  <c r="BP593" i="2"/>
  <c r="BO593" i="2"/>
  <c r="BB593" i="2"/>
  <c r="AZ593" i="2"/>
  <c r="AV593" i="2"/>
  <c r="BR592" i="2"/>
  <c r="BQ592" i="2"/>
  <c r="BP592" i="2"/>
  <c r="BO592" i="2"/>
  <c r="BR591" i="2"/>
  <c r="BQ591" i="2"/>
  <c r="BP591" i="2"/>
  <c r="BO591" i="2"/>
  <c r="BR590" i="2"/>
  <c r="BQ590" i="2"/>
  <c r="BP590" i="2"/>
  <c r="BO590" i="2"/>
  <c r="BR589" i="2"/>
  <c r="BQ589" i="2"/>
  <c r="BP589" i="2"/>
  <c r="BO589" i="2"/>
  <c r="BR588" i="2"/>
  <c r="BQ588" i="2"/>
  <c r="BP588" i="2"/>
  <c r="BO588" i="2"/>
  <c r="BR587" i="2"/>
  <c r="BQ587" i="2"/>
  <c r="BP587" i="2"/>
  <c r="BO587" i="2"/>
  <c r="AX587" i="2"/>
  <c r="AV587" i="2"/>
  <c r="V587" i="2"/>
  <c r="T587" i="2"/>
  <c r="R587" i="2"/>
  <c r="P587" i="2"/>
  <c r="BR586" i="2"/>
  <c r="BQ586" i="2"/>
  <c r="BP586" i="2"/>
  <c r="BO586" i="2"/>
  <c r="AX586" i="2"/>
  <c r="AT586" i="2"/>
  <c r="AJ586" i="2"/>
  <c r="AD586" i="2"/>
  <c r="AB586" i="2"/>
  <c r="V586" i="2"/>
  <c r="T586" i="2"/>
  <c r="BR585" i="2"/>
  <c r="BQ585" i="2"/>
  <c r="BP585" i="2"/>
  <c r="BO585" i="2"/>
  <c r="AX585" i="2"/>
  <c r="BR584" i="2"/>
  <c r="BQ584" i="2"/>
  <c r="BP584" i="2"/>
  <c r="BO584" i="2"/>
  <c r="BR583" i="2"/>
  <c r="BQ583" i="2"/>
  <c r="BP583" i="2"/>
  <c r="BO583" i="2"/>
  <c r="BD583" i="2"/>
  <c r="BR582" i="2"/>
  <c r="BQ582" i="2"/>
  <c r="BP582" i="2"/>
  <c r="BO582" i="2"/>
  <c r="BR581" i="2"/>
  <c r="BQ581" i="2"/>
  <c r="BP581" i="2"/>
  <c r="BO581" i="2"/>
  <c r="BB581" i="2"/>
  <c r="AR581" i="2"/>
  <c r="AP581" i="2"/>
  <c r="AH581" i="2"/>
  <c r="AD581" i="2"/>
  <c r="X581" i="2"/>
  <c r="T581" i="2"/>
  <c r="BR580" i="2"/>
  <c r="BQ580" i="2"/>
  <c r="BP580" i="2"/>
  <c r="BO580" i="2"/>
  <c r="N580" i="2"/>
  <c r="BR579" i="2"/>
  <c r="BQ579" i="2"/>
  <c r="BP579" i="2"/>
  <c r="BO579" i="2"/>
  <c r="AX579" i="2"/>
  <c r="AT579" i="2"/>
  <c r="BR578" i="2"/>
  <c r="BQ578" i="2"/>
  <c r="BP578" i="2"/>
  <c r="BO578" i="2"/>
  <c r="AJ578" i="2"/>
  <c r="AH578" i="2"/>
  <c r="BR577" i="2"/>
  <c r="BQ577" i="2"/>
  <c r="BP577" i="2"/>
  <c r="BO577" i="2"/>
  <c r="BD577" i="2"/>
  <c r="BR576" i="2"/>
  <c r="BQ576" i="2"/>
  <c r="BP576" i="2"/>
  <c r="BO576" i="2"/>
  <c r="BR575" i="2"/>
  <c r="BQ575" i="2"/>
  <c r="BP575" i="2"/>
  <c r="BO575" i="2"/>
  <c r="N575" i="2"/>
  <c r="BR574" i="2"/>
  <c r="BQ574" i="2"/>
  <c r="BP574" i="2"/>
  <c r="BO574" i="2"/>
  <c r="T574" i="2"/>
  <c r="BR573" i="2"/>
  <c r="BQ573" i="2"/>
  <c r="BP573" i="2"/>
  <c r="BO573" i="2"/>
  <c r="R573" i="2"/>
  <c r="BR572" i="2"/>
  <c r="BQ572" i="2"/>
  <c r="BP572" i="2"/>
  <c r="BO572" i="2"/>
  <c r="BD572" i="2"/>
  <c r="AZ572" i="2"/>
  <c r="AH572" i="2"/>
  <c r="BR571" i="2"/>
  <c r="BQ571" i="2"/>
  <c r="BP571" i="2"/>
  <c r="BO571" i="2"/>
  <c r="AR571" i="2"/>
  <c r="BR570" i="2"/>
  <c r="BQ570" i="2"/>
  <c r="BP570" i="2"/>
  <c r="BO570" i="2"/>
  <c r="BD570" i="2"/>
  <c r="BB570" i="2"/>
  <c r="AZ570" i="2"/>
  <c r="AX570" i="2"/>
  <c r="AV570" i="2"/>
  <c r="AT570" i="2"/>
  <c r="AR570" i="2"/>
  <c r="AH570" i="2"/>
  <c r="Z570" i="2"/>
  <c r="X570" i="2"/>
  <c r="V570" i="2"/>
  <c r="T570" i="2"/>
  <c r="N570" i="2"/>
  <c r="BR569" i="2"/>
  <c r="BQ569" i="2"/>
  <c r="BP569" i="2"/>
  <c r="BO569" i="2"/>
  <c r="AR569" i="2"/>
  <c r="BR568" i="2"/>
  <c r="BQ568" i="2"/>
  <c r="BP568" i="2"/>
  <c r="BO568" i="2"/>
  <c r="BB568" i="2"/>
  <c r="AV568" i="2"/>
  <c r="BR567" i="2"/>
  <c r="BQ567" i="2"/>
  <c r="BP567" i="2"/>
  <c r="BO567" i="2"/>
  <c r="AF567" i="2"/>
  <c r="AB567" i="2"/>
  <c r="V567" i="2"/>
  <c r="P567" i="2"/>
  <c r="N567" i="2"/>
  <c r="BR566" i="2"/>
  <c r="BQ566" i="2"/>
  <c r="BP566" i="2"/>
  <c r="BO566" i="2"/>
  <c r="BR565" i="2"/>
  <c r="BQ565" i="2"/>
  <c r="BP565" i="2"/>
  <c r="BO565" i="2"/>
  <c r="BR564" i="2"/>
  <c r="BQ564" i="2"/>
  <c r="BP564" i="2"/>
  <c r="BO564" i="2"/>
  <c r="BR563" i="2"/>
  <c r="BQ563" i="2"/>
  <c r="BP563" i="2"/>
  <c r="BO563" i="2"/>
  <c r="BB563" i="2"/>
  <c r="BR562" i="2"/>
  <c r="BQ562" i="2"/>
  <c r="BP562" i="2"/>
  <c r="BO562" i="2"/>
  <c r="BD562" i="2"/>
  <c r="N562" i="2"/>
  <c r="BR561" i="2"/>
  <c r="BQ561" i="2"/>
  <c r="BP561" i="2"/>
  <c r="BO561" i="2"/>
  <c r="BD561" i="2"/>
  <c r="AX561" i="2"/>
  <c r="AL561" i="2"/>
  <c r="X561" i="2"/>
  <c r="BR560" i="2"/>
  <c r="BQ560" i="2"/>
  <c r="BP560" i="2"/>
  <c r="BO560" i="2"/>
  <c r="BB560" i="2"/>
  <c r="AX560" i="2"/>
  <c r="BR559" i="2"/>
  <c r="BQ559" i="2"/>
  <c r="BP559" i="2"/>
  <c r="BO559" i="2"/>
  <c r="AZ559" i="2"/>
  <c r="AT559" i="2"/>
  <c r="AN559" i="2"/>
  <c r="N559" i="2"/>
  <c r="BR558" i="2"/>
  <c r="BQ558" i="2"/>
  <c r="BP558" i="2"/>
  <c r="BO558" i="2"/>
  <c r="BB558" i="2"/>
  <c r="BR557" i="2"/>
  <c r="BQ557" i="2"/>
  <c r="BP557" i="2"/>
  <c r="BO557" i="2"/>
  <c r="BD557" i="2"/>
  <c r="BB557" i="2"/>
  <c r="AX557" i="2"/>
  <c r="AV557" i="2"/>
  <c r="AP557" i="2"/>
  <c r="AN557" i="2"/>
  <c r="AJ557" i="2"/>
  <c r="Z557" i="2"/>
  <c r="V557" i="2"/>
  <c r="R557" i="2"/>
  <c r="BR556" i="2"/>
  <c r="BQ556" i="2"/>
  <c r="BP556" i="2"/>
  <c r="BO556" i="2"/>
  <c r="AP556" i="2"/>
  <c r="BR555" i="2"/>
  <c r="BQ555" i="2"/>
  <c r="BP555" i="2"/>
  <c r="BO555" i="2"/>
  <c r="BR554" i="2"/>
  <c r="BQ554" i="2"/>
  <c r="BP554" i="2"/>
  <c r="BO554" i="2"/>
  <c r="AZ554" i="2"/>
  <c r="AX554" i="2"/>
  <c r="X554" i="2"/>
  <c r="BR553" i="2"/>
  <c r="BQ553" i="2"/>
  <c r="BP553" i="2"/>
  <c r="BO553" i="2"/>
  <c r="BR552" i="2"/>
  <c r="BQ552" i="2"/>
  <c r="BP552" i="2"/>
  <c r="BO552" i="2"/>
  <c r="AL552" i="2"/>
  <c r="AB552" i="2"/>
  <c r="T552" i="2"/>
  <c r="P552" i="2"/>
  <c r="BR551" i="2"/>
  <c r="BQ551" i="2"/>
  <c r="BP551" i="2"/>
  <c r="BO551" i="2"/>
  <c r="AD551" i="2"/>
  <c r="X551" i="2"/>
  <c r="T551" i="2"/>
  <c r="R551" i="2"/>
  <c r="N551" i="2"/>
  <c r="BR550" i="2"/>
  <c r="BQ550" i="2"/>
  <c r="BP550" i="2"/>
  <c r="BO550" i="2"/>
  <c r="AX550" i="2"/>
  <c r="T550" i="2"/>
  <c r="P550" i="2"/>
  <c r="BR549" i="2"/>
  <c r="BQ549" i="2"/>
  <c r="BP549" i="2"/>
  <c r="BO549" i="2"/>
  <c r="AX549" i="2"/>
  <c r="AR549" i="2"/>
  <c r="Z549" i="2"/>
  <c r="BR548" i="2"/>
  <c r="BQ548" i="2"/>
  <c r="BP548" i="2"/>
  <c r="BO548" i="2"/>
  <c r="AR548" i="2"/>
  <c r="BR547" i="2"/>
  <c r="BQ547" i="2"/>
  <c r="BP547" i="2"/>
  <c r="BO547" i="2"/>
  <c r="BB547" i="2"/>
  <c r="AX547" i="2"/>
  <c r="AT547" i="2"/>
  <c r="AD547" i="2"/>
  <c r="X547" i="2"/>
  <c r="P547" i="2"/>
  <c r="BR546" i="2"/>
  <c r="BQ546" i="2"/>
  <c r="BP546" i="2"/>
  <c r="BO546" i="2"/>
  <c r="BR545" i="2"/>
  <c r="BQ545" i="2"/>
  <c r="BP545" i="2"/>
  <c r="BO545" i="2"/>
  <c r="BR544" i="2"/>
  <c r="BQ544" i="2"/>
  <c r="BP544" i="2"/>
  <c r="BO544" i="2"/>
  <c r="N544" i="2"/>
  <c r="BR543" i="2"/>
  <c r="BQ543" i="2"/>
  <c r="BP543" i="2"/>
  <c r="BO543" i="2"/>
  <c r="BB543" i="2"/>
  <c r="AR543" i="2"/>
  <c r="BR542" i="2"/>
  <c r="BQ542" i="2"/>
  <c r="BP542" i="2"/>
  <c r="BO542" i="2"/>
  <c r="BR541" i="2"/>
  <c r="BQ541" i="2"/>
  <c r="BP541" i="2"/>
  <c r="BO541" i="2"/>
  <c r="BB541" i="2"/>
  <c r="AT541" i="2"/>
  <c r="AP541" i="2"/>
  <c r="AF541" i="2"/>
  <c r="BR540" i="2"/>
  <c r="BQ540" i="2"/>
  <c r="BP540" i="2"/>
  <c r="BO540" i="2"/>
  <c r="P540" i="2"/>
  <c r="BR539" i="2"/>
  <c r="BQ539" i="2"/>
  <c r="BP539" i="2"/>
  <c r="BO539" i="2"/>
  <c r="BD539" i="2"/>
  <c r="AF539" i="2"/>
  <c r="AB539" i="2"/>
  <c r="BR538" i="2"/>
  <c r="BQ538" i="2"/>
  <c r="BP538" i="2"/>
  <c r="BO538" i="2"/>
  <c r="AP538" i="2"/>
  <c r="BR537" i="2"/>
  <c r="BQ537" i="2"/>
  <c r="BP537" i="2"/>
  <c r="BO537" i="2"/>
  <c r="AX537" i="2"/>
  <c r="AD537" i="2"/>
  <c r="P537" i="2"/>
  <c r="N537" i="2"/>
  <c r="BR536" i="2"/>
  <c r="BQ536" i="2"/>
  <c r="BP536" i="2"/>
  <c r="BO536" i="2"/>
  <c r="AV536" i="2"/>
  <c r="BR535" i="2"/>
  <c r="BQ535" i="2"/>
  <c r="BP535" i="2"/>
  <c r="BO535" i="2"/>
  <c r="BR534" i="2"/>
  <c r="BQ534" i="2"/>
  <c r="BP534" i="2"/>
  <c r="BO534" i="2"/>
  <c r="AD534" i="2"/>
  <c r="BR533" i="2"/>
  <c r="BQ533" i="2"/>
  <c r="BP533" i="2"/>
  <c r="BO533" i="2"/>
  <c r="BD533" i="2"/>
  <c r="AR533" i="2"/>
  <c r="BR532" i="2"/>
  <c r="BQ532" i="2"/>
  <c r="BP532" i="2"/>
  <c r="BO532" i="2"/>
  <c r="AZ532" i="2"/>
  <c r="AV532" i="2"/>
  <c r="AR532" i="2"/>
  <c r="AL532" i="2"/>
  <c r="AH532" i="2"/>
  <c r="AF532" i="2"/>
  <c r="AD532" i="2"/>
  <c r="Z532" i="2"/>
  <c r="T532" i="2"/>
  <c r="N532" i="2"/>
  <c r="BR531" i="2"/>
  <c r="BQ531" i="2"/>
  <c r="BP531" i="2"/>
  <c r="BO531" i="2"/>
  <c r="AX531" i="2"/>
  <c r="AR531" i="2"/>
  <c r="AJ531" i="2"/>
  <c r="AB531" i="2"/>
  <c r="V531" i="2"/>
  <c r="P531" i="2"/>
  <c r="N531" i="2"/>
  <c r="BR530" i="2"/>
  <c r="BQ530" i="2"/>
  <c r="BP530" i="2"/>
  <c r="BO530" i="2"/>
  <c r="BD530" i="2"/>
  <c r="AT530" i="2"/>
  <c r="AR530" i="2"/>
  <c r="Z530" i="2"/>
  <c r="T530" i="2"/>
  <c r="BR529" i="2"/>
  <c r="BQ529" i="2"/>
  <c r="BP529" i="2"/>
  <c r="BO529" i="2"/>
  <c r="AX529" i="2"/>
  <c r="BR528" i="2"/>
  <c r="BQ528" i="2"/>
  <c r="BP528" i="2"/>
  <c r="BO528" i="2"/>
  <c r="BB528" i="2"/>
  <c r="AX528" i="2"/>
  <c r="BR527" i="2"/>
  <c r="BQ527" i="2"/>
  <c r="BP527" i="2"/>
  <c r="BO527" i="2"/>
  <c r="BR526" i="2"/>
  <c r="BQ526" i="2"/>
  <c r="BP526" i="2"/>
  <c r="BO526" i="2"/>
  <c r="AD526" i="2"/>
  <c r="P526" i="2"/>
  <c r="BR525" i="2"/>
  <c r="BQ525" i="2"/>
  <c r="BP525" i="2"/>
  <c r="BO525" i="2"/>
  <c r="AR525" i="2"/>
  <c r="AP525" i="2"/>
  <c r="BR524" i="2"/>
  <c r="BQ524" i="2"/>
  <c r="BP524" i="2"/>
  <c r="BO524" i="2"/>
  <c r="BR523" i="2"/>
  <c r="BQ523" i="2"/>
  <c r="BP523" i="2"/>
  <c r="BO523" i="2"/>
  <c r="AV523" i="2"/>
  <c r="AN523" i="2"/>
  <c r="AL523" i="2"/>
  <c r="AJ523" i="2"/>
  <c r="V523" i="2"/>
  <c r="N523" i="2"/>
  <c r="BR522" i="2"/>
  <c r="BQ522" i="2"/>
  <c r="BP522" i="2"/>
  <c r="BO522" i="2"/>
  <c r="AV522" i="2"/>
  <c r="BR521" i="2"/>
  <c r="BQ521" i="2"/>
  <c r="BP521" i="2"/>
  <c r="BO521" i="2"/>
  <c r="AP521" i="2"/>
  <c r="BR520" i="2"/>
  <c r="BQ520" i="2"/>
  <c r="BP520" i="2"/>
  <c r="BO520" i="2"/>
  <c r="BB520" i="2"/>
  <c r="AJ520" i="2"/>
  <c r="BR519" i="2"/>
  <c r="BQ519" i="2"/>
  <c r="BP519" i="2"/>
  <c r="BO519" i="2"/>
  <c r="BR518" i="2"/>
  <c r="BQ518" i="2"/>
  <c r="BP518" i="2"/>
  <c r="BO518" i="2"/>
  <c r="BR517" i="2"/>
  <c r="BQ517" i="2"/>
  <c r="BP517" i="2"/>
  <c r="BO517" i="2"/>
  <c r="AN517" i="2"/>
  <c r="AL517" i="2"/>
  <c r="V517" i="2"/>
  <c r="BR516" i="2"/>
  <c r="BQ516" i="2"/>
  <c r="BP516" i="2"/>
  <c r="BO516" i="2"/>
  <c r="AH516" i="2"/>
  <c r="BR515" i="2"/>
  <c r="BQ515" i="2"/>
  <c r="BP515" i="2"/>
  <c r="BO515" i="2"/>
  <c r="BB515" i="2"/>
  <c r="BR514" i="2"/>
  <c r="BQ514" i="2"/>
  <c r="BP514" i="2"/>
  <c r="BO514" i="2"/>
  <c r="AR514" i="2"/>
  <c r="AB514" i="2"/>
  <c r="BR513" i="2"/>
  <c r="BQ513" i="2"/>
  <c r="BP513" i="2"/>
  <c r="BO513" i="2"/>
  <c r="BD513" i="2"/>
  <c r="BB513" i="2"/>
  <c r="AZ513" i="2"/>
  <c r="AX513" i="2"/>
  <c r="AV513" i="2"/>
  <c r="AP513" i="2"/>
  <c r="AL513" i="2"/>
  <c r="AJ513" i="2"/>
  <c r="AF513" i="2"/>
  <c r="AD513" i="2"/>
  <c r="AB513" i="2"/>
  <c r="Z513" i="2"/>
  <c r="X513" i="2"/>
  <c r="V513" i="2"/>
  <c r="T513" i="2"/>
  <c r="R513" i="2"/>
  <c r="P513" i="2"/>
  <c r="N513" i="2"/>
  <c r="BR512" i="2"/>
  <c r="BQ512" i="2"/>
  <c r="BP512" i="2"/>
  <c r="BO512" i="2"/>
  <c r="R512" i="2"/>
  <c r="BR511" i="2"/>
  <c r="BQ511" i="2"/>
  <c r="BP511" i="2"/>
  <c r="BO511" i="2"/>
  <c r="AX511" i="2"/>
  <c r="T511" i="2"/>
  <c r="BR510" i="2"/>
  <c r="BQ510" i="2"/>
  <c r="BP510" i="2"/>
  <c r="BO510" i="2"/>
  <c r="AT510" i="2"/>
  <c r="AL510" i="2"/>
  <c r="AJ510" i="2"/>
  <c r="V510" i="2"/>
  <c r="BR509" i="2"/>
  <c r="BQ509" i="2"/>
  <c r="BP509" i="2"/>
  <c r="BO509" i="2"/>
  <c r="BD509" i="2"/>
  <c r="BB509" i="2"/>
  <c r="AZ509" i="2"/>
  <c r="AX509" i="2"/>
  <c r="AV509" i="2"/>
  <c r="AT509" i="2"/>
  <c r="AR509" i="2"/>
  <c r="AP509" i="2"/>
  <c r="AN509" i="2"/>
  <c r="AL509" i="2"/>
  <c r="AJ509" i="2"/>
  <c r="AH509" i="2"/>
  <c r="AF509" i="2"/>
  <c r="T509" i="2"/>
  <c r="P509" i="2"/>
  <c r="BR508" i="2"/>
  <c r="BQ508" i="2"/>
  <c r="BP508" i="2"/>
  <c r="BO508" i="2"/>
  <c r="BD508" i="2"/>
  <c r="AT508" i="2"/>
  <c r="AR508" i="2"/>
  <c r="AP508" i="2"/>
  <c r="AN508" i="2"/>
  <c r="AL508" i="2"/>
  <c r="AH508" i="2"/>
  <c r="AF508" i="2"/>
  <c r="AB508" i="2"/>
  <c r="Z508" i="2"/>
  <c r="X508" i="2"/>
  <c r="V508" i="2"/>
  <c r="R508" i="2"/>
  <c r="P508" i="2"/>
  <c r="BR507" i="2"/>
  <c r="BQ507" i="2"/>
  <c r="BP507" i="2"/>
  <c r="BO507" i="2"/>
  <c r="BD507" i="2"/>
  <c r="X507" i="2"/>
  <c r="BR506" i="2"/>
  <c r="BQ506" i="2"/>
  <c r="BP506" i="2"/>
  <c r="BO506" i="2"/>
  <c r="BR505" i="2"/>
  <c r="BQ505" i="2"/>
  <c r="BP505" i="2"/>
  <c r="BO505" i="2"/>
  <c r="BR504" i="2"/>
  <c r="BQ504" i="2"/>
  <c r="BP504" i="2"/>
  <c r="BO504" i="2"/>
  <c r="AX504" i="2"/>
  <c r="BR503" i="2"/>
  <c r="BQ503" i="2"/>
  <c r="BP503" i="2"/>
  <c r="BO503" i="2"/>
  <c r="AX503" i="2"/>
  <c r="AP503" i="2"/>
  <c r="BR502" i="2"/>
  <c r="BQ502" i="2"/>
  <c r="BP502" i="2"/>
  <c r="BO502" i="2"/>
  <c r="AZ502" i="2"/>
  <c r="AV502" i="2"/>
  <c r="X502" i="2"/>
  <c r="T502" i="2"/>
  <c r="R502" i="2"/>
  <c r="N502" i="2"/>
  <c r="BR501" i="2"/>
  <c r="BQ501" i="2"/>
  <c r="BP501" i="2"/>
  <c r="BO501" i="2"/>
  <c r="BB501" i="2"/>
  <c r="AT501" i="2"/>
  <c r="AR501" i="2"/>
  <c r="AJ501" i="2"/>
  <c r="X501" i="2"/>
  <c r="T501" i="2"/>
  <c r="BR500" i="2"/>
  <c r="BQ500" i="2"/>
  <c r="BP500" i="2"/>
  <c r="BO500" i="2"/>
  <c r="AZ500" i="2"/>
  <c r="AV500" i="2"/>
  <c r="AT500" i="2"/>
  <c r="AR500" i="2"/>
  <c r="AN500" i="2"/>
  <c r="AL500" i="2"/>
  <c r="AH500" i="2"/>
  <c r="AF500" i="2"/>
  <c r="AD500" i="2"/>
  <c r="AB500" i="2"/>
  <c r="Z500" i="2"/>
  <c r="X500" i="2"/>
  <c r="T500" i="2"/>
  <c r="BR499" i="2"/>
  <c r="BQ499" i="2"/>
  <c r="BP499" i="2"/>
  <c r="BO499" i="2"/>
  <c r="AV499" i="2"/>
  <c r="AP499" i="2"/>
  <c r="AN499" i="2"/>
  <c r="AH499" i="2"/>
  <c r="Z499" i="2"/>
  <c r="P499" i="2"/>
  <c r="BR498" i="2"/>
  <c r="BQ498" i="2"/>
  <c r="BP498" i="2"/>
  <c r="BO498" i="2"/>
  <c r="BD498" i="2"/>
  <c r="AP498" i="2"/>
  <c r="P498" i="2"/>
  <c r="BR497" i="2"/>
  <c r="BQ497" i="2"/>
  <c r="BP497" i="2"/>
  <c r="BO497" i="2"/>
  <c r="AF497" i="2"/>
  <c r="R497" i="2"/>
  <c r="BR496" i="2"/>
  <c r="BQ496" i="2"/>
  <c r="BP496" i="2"/>
  <c r="BO496" i="2"/>
  <c r="BB496" i="2"/>
  <c r="AT496" i="2"/>
  <c r="BR495" i="2"/>
  <c r="BQ495" i="2"/>
  <c r="BP495" i="2"/>
  <c r="BO495" i="2"/>
  <c r="BR494" i="2"/>
  <c r="BQ494" i="2"/>
  <c r="BP494" i="2"/>
  <c r="BO494" i="2"/>
  <c r="BD494" i="2"/>
  <c r="AX494" i="2"/>
  <c r="AL494" i="2"/>
  <c r="BR493" i="2"/>
  <c r="BQ493" i="2"/>
  <c r="BP493" i="2"/>
  <c r="BO493" i="2"/>
  <c r="BR492" i="2"/>
  <c r="BQ492" i="2"/>
  <c r="BP492" i="2"/>
  <c r="BO492" i="2"/>
  <c r="BR491" i="2"/>
  <c r="BQ491" i="2"/>
  <c r="BP491" i="2"/>
  <c r="BO491" i="2"/>
  <c r="BR490" i="2"/>
  <c r="BQ490" i="2"/>
  <c r="BP490" i="2"/>
  <c r="BO490" i="2"/>
  <c r="AF490" i="2"/>
  <c r="BR489" i="2"/>
  <c r="BQ489" i="2"/>
  <c r="BP489" i="2"/>
  <c r="BO489" i="2"/>
  <c r="BR488" i="2"/>
  <c r="BQ488" i="2"/>
  <c r="BP488" i="2"/>
  <c r="BO488" i="2"/>
  <c r="BB488" i="2"/>
  <c r="AR488" i="2"/>
  <c r="AB488" i="2"/>
  <c r="N488" i="2"/>
  <c r="BR487" i="2"/>
  <c r="BQ487" i="2"/>
  <c r="BP487" i="2"/>
  <c r="BO487" i="2"/>
  <c r="AN487" i="2"/>
  <c r="BR486" i="2"/>
  <c r="BQ486" i="2"/>
  <c r="BP486" i="2"/>
  <c r="BO486" i="2"/>
  <c r="BB486" i="2"/>
  <c r="BR485" i="2"/>
  <c r="BQ485" i="2"/>
  <c r="BP485" i="2"/>
  <c r="BO485" i="2"/>
  <c r="BD485" i="2"/>
  <c r="BR484" i="2"/>
  <c r="BQ484" i="2"/>
  <c r="BP484" i="2"/>
  <c r="BO484" i="2"/>
  <c r="AR484" i="2"/>
  <c r="BR483" i="2"/>
  <c r="BQ483" i="2"/>
  <c r="BP483" i="2"/>
  <c r="BO483" i="2"/>
  <c r="BD483" i="2"/>
  <c r="AP483" i="2"/>
  <c r="BR482" i="2"/>
  <c r="BQ482" i="2"/>
  <c r="BP482" i="2"/>
  <c r="BO482" i="2"/>
  <c r="BD482" i="2"/>
  <c r="AX482" i="2"/>
  <c r="AF482" i="2"/>
  <c r="AD482" i="2"/>
  <c r="BR481" i="2"/>
  <c r="BQ481" i="2"/>
  <c r="BP481" i="2"/>
  <c r="BO481" i="2"/>
  <c r="BD481" i="2"/>
  <c r="BB481" i="2"/>
  <c r="AX481" i="2"/>
  <c r="AF481" i="2"/>
  <c r="Z481" i="2"/>
  <c r="V481" i="2"/>
  <c r="BR480" i="2"/>
  <c r="BQ480" i="2"/>
  <c r="BP480" i="2"/>
  <c r="BO480" i="2"/>
  <c r="BB480" i="2"/>
  <c r="BR479" i="2"/>
  <c r="BQ479" i="2"/>
  <c r="BP479" i="2"/>
  <c r="BO479" i="2"/>
  <c r="BR478" i="2"/>
  <c r="BQ478" i="2"/>
  <c r="BP478" i="2"/>
  <c r="BO478" i="2"/>
  <c r="BR477" i="2"/>
  <c r="BQ477" i="2"/>
  <c r="BP477" i="2"/>
  <c r="BO477" i="2"/>
  <c r="AV477" i="2"/>
  <c r="T477" i="2"/>
  <c r="P477" i="2"/>
  <c r="BR476" i="2"/>
  <c r="BQ476" i="2"/>
  <c r="BP476" i="2"/>
  <c r="BO476" i="2"/>
  <c r="AZ476" i="2"/>
  <c r="AV476" i="2"/>
  <c r="AR476" i="2"/>
  <c r="AN476" i="2"/>
  <c r="Z476" i="2"/>
  <c r="X476" i="2"/>
  <c r="BR475" i="2"/>
  <c r="BQ475" i="2"/>
  <c r="BP475" i="2"/>
  <c r="BO475" i="2"/>
  <c r="BD475" i="2"/>
  <c r="AV475" i="2"/>
  <c r="AB475" i="2"/>
  <c r="N475" i="2"/>
  <c r="BR474" i="2"/>
  <c r="BQ474" i="2"/>
  <c r="BP474" i="2"/>
  <c r="BO474" i="2"/>
  <c r="AF474" i="2"/>
  <c r="BR473" i="2"/>
  <c r="BQ473" i="2"/>
  <c r="BP473" i="2"/>
  <c r="BO473" i="2"/>
  <c r="BR472" i="2"/>
  <c r="BQ472" i="2"/>
  <c r="BP472" i="2"/>
  <c r="BO472" i="2"/>
  <c r="BR471" i="2"/>
  <c r="BQ471" i="2"/>
  <c r="BP471" i="2"/>
  <c r="BO471" i="2"/>
  <c r="BR470" i="2"/>
  <c r="BQ470" i="2"/>
  <c r="BP470" i="2"/>
  <c r="BO470" i="2"/>
  <c r="BR469" i="2"/>
  <c r="BQ469" i="2"/>
  <c r="BP469" i="2"/>
  <c r="BO469" i="2"/>
  <c r="BR468" i="2"/>
  <c r="BQ468" i="2"/>
  <c r="BP468" i="2"/>
  <c r="BO468" i="2"/>
  <c r="BD468" i="2"/>
  <c r="AZ468" i="2"/>
  <c r="AV468" i="2"/>
  <c r="AR468" i="2"/>
  <c r="AP468" i="2"/>
  <c r="AN468" i="2"/>
  <c r="AJ468" i="2"/>
  <c r="AH468" i="2"/>
  <c r="AF468" i="2"/>
  <c r="AD468" i="2"/>
  <c r="AB468" i="2"/>
  <c r="V468" i="2"/>
  <c r="R468" i="2"/>
  <c r="P468" i="2"/>
  <c r="N468" i="2"/>
  <c r="BR467" i="2"/>
  <c r="BQ467" i="2"/>
  <c r="BP467" i="2"/>
  <c r="BO467" i="2"/>
  <c r="BD467" i="2"/>
  <c r="AR467" i="2"/>
  <c r="AD467" i="2"/>
  <c r="R467" i="2"/>
  <c r="BR466" i="2"/>
  <c r="BQ466" i="2"/>
  <c r="BP466" i="2"/>
  <c r="BO466" i="2"/>
  <c r="BB466" i="2"/>
  <c r="Z466" i="2"/>
  <c r="BR465" i="2"/>
  <c r="BQ465" i="2"/>
  <c r="BP465" i="2"/>
  <c r="BO465" i="2"/>
  <c r="AT465" i="2"/>
  <c r="AL465" i="2"/>
  <c r="BR464" i="2"/>
  <c r="BQ464" i="2"/>
  <c r="BP464" i="2"/>
  <c r="BO464" i="2"/>
  <c r="BD464" i="2"/>
  <c r="AP464" i="2"/>
  <c r="AD464" i="2"/>
  <c r="AB464" i="2"/>
  <c r="BR463" i="2"/>
  <c r="BQ463" i="2"/>
  <c r="BP463" i="2"/>
  <c r="BO463" i="2"/>
  <c r="BB463" i="2"/>
  <c r="AX463" i="2"/>
  <c r="AP463" i="2"/>
  <c r="AF463" i="2"/>
  <c r="X463" i="2"/>
  <c r="BR462" i="2"/>
  <c r="BQ462" i="2"/>
  <c r="BP462" i="2"/>
  <c r="BO462" i="2"/>
  <c r="BD462" i="2"/>
  <c r="BB462" i="2"/>
  <c r="AZ462" i="2"/>
  <c r="AN462" i="2"/>
  <c r="AJ462" i="2"/>
  <c r="P462" i="2"/>
  <c r="BR461" i="2"/>
  <c r="BQ461" i="2"/>
  <c r="BP461" i="2"/>
  <c r="BO461" i="2"/>
  <c r="AP461" i="2"/>
  <c r="BR460" i="2"/>
  <c r="BQ460" i="2"/>
  <c r="BP460" i="2"/>
  <c r="BO460" i="2"/>
  <c r="AV460" i="2"/>
  <c r="BR459" i="2"/>
  <c r="BQ459" i="2"/>
  <c r="BP459" i="2"/>
  <c r="BO459" i="2"/>
  <c r="AT459" i="2"/>
  <c r="BR458" i="2"/>
  <c r="BQ458" i="2"/>
  <c r="BP458" i="2"/>
  <c r="BO458" i="2"/>
  <c r="AR458" i="2"/>
  <c r="BR457" i="2"/>
  <c r="BQ457" i="2"/>
  <c r="BP457" i="2"/>
  <c r="BO457" i="2"/>
  <c r="AX457" i="2"/>
  <c r="X457" i="2"/>
  <c r="BR456" i="2"/>
  <c r="BQ456" i="2"/>
  <c r="BP456" i="2"/>
  <c r="BO456" i="2"/>
  <c r="AX456" i="2"/>
  <c r="AB456" i="2"/>
  <c r="P456" i="2"/>
  <c r="BR455" i="2"/>
  <c r="BQ455" i="2"/>
  <c r="BP455" i="2"/>
  <c r="BO455" i="2"/>
  <c r="AX455" i="2"/>
  <c r="AP455" i="2"/>
  <c r="BR454" i="2"/>
  <c r="BQ454" i="2"/>
  <c r="BP454" i="2"/>
  <c r="BO454" i="2"/>
  <c r="BD454" i="2"/>
  <c r="BB454" i="2"/>
  <c r="AN454" i="2"/>
  <c r="AD454" i="2"/>
  <c r="BR453" i="2"/>
  <c r="BQ453" i="2"/>
  <c r="BP453" i="2"/>
  <c r="BO453" i="2"/>
  <c r="AB453" i="2"/>
  <c r="R453" i="2"/>
  <c r="BR452" i="2"/>
  <c r="BQ452" i="2"/>
  <c r="BP452" i="2"/>
  <c r="BO452" i="2"/>
  <c r="AZ452" i="2"/>
  <c r="Z452" i="2"/>
  <c r="R452" i="2"/>
  <c r="BR451" i="2"/>
  <c r="BQ451" i="2"/>
  <c r="BP451" i="2"/>
  <c r="BO451" i="2"/>
  <c r="BB451" i="2"/>
  <c r="AH451" i="2"/>
  <c r="AB451" i="2"/>
  <c r="V451" i="2"/>
  <c r="BR450" i="2"/>
  <c r="BQ450" i="2"/>
  <c r="BP450" i="2"/>
  <c r="BO450" i="2"/>
  <c r="AX450" i="2"/>
  <c r="AT450" i="2"/>
  <c r="AL450" i="2"/>
  <c r="AJ450" i="2"/>
  <c r="AF450" i="2"/>
  <c r="AD450" i="2"/>
  <c r="X450" i="2"/>
  <c r="BR449" i="2"/>
  <c r="BQ449" i="2"/>
  <c r="BP449" i="2"/>
  <c r="BO449" i="2"/>
  <c r="AP449" i="2"/>
  <c r="AB449" i="2"/>
  <c r="BR448" i="2"/>
  <c r="BQ448" i="2"/>
  <c r="BP448" i="2"/>
  <c r="BO448" i="2"/>
  <c r="BR447" i="2"/>
  <c r="BQ447" i="2"/>
  <c r="BP447" i="2"/>
  <c r="BO447" i="2"/>
  <c r="AN447" i="2"/>
  <c r="AJ447" i="2"/>
  <c r="BR446" i="2"/>
  <c r="BQ446" i="2"/>
  <c r="BP446" i="2"/>
  <c r="BO446" i="2"/>
  <c r="AJ446" i="2"/>
  <c r="AH446" i="2"/>
  <c r="BR445" i="2"/>
  <c r="BQ445" i="2"/>
  <c r="BP445" i="2"/>
  <c r="BO445" i="2"/>
  <c r="BR444" i="2"/>
  <c r="BQ444" i="2"/>
  <c r="BP444" i="2"/>
  <c r="BO444" i="2"/>
  <c r="V444" i="2"/>
  <c r="BR443" i="2"/>
  <c r="BQ443" i="2"/>
  <c r="BP443" i="2"/>
  <c r="BO443" i="2"/>
  <c r="AD443" i="2"/>
  <c r="BR442" i="2"/>
  <c r="BQ442" i="2"/>
  <c r="BP442" i="2"/>
  <c r="BO442" i="2"/>
  <c r="AB442" i="2"/>
  <c r="BR441" i="2"/>
  <c r="BQ441" i="2"/>
  <c r="BP441" i="2"/>
  <c r="BO441" i="2"/>
  <c r="BD441" i="2"/>
  <c r="AX441" i="2"/>
  <c r="AR441" i="2"/>
  <c r="AL441" i="2"/>
  <c r="BR440" i="2"/>
  <c r="BQ440" i="2"/>
  <c r="BP440" i="2"/>
  <c r="BO440" i="2"/>
  <c r="AP440" i="2"/>
  <c r="AN440" i="2"/>
  <c r="AJ440" i="2"/>
  <c r="BR439" i="2"/>
  <c r="BQ439" i="2"/>
  <c r="BP439" i="2"/>
  <c r="BO439" i="2"/>
  <c r="BD439" i="2"/>
  <c r="AD439" i="2"/>
  <c r="BR438" i="2"/>
  <c r="BQ438" i="2"/>
  <c r="BP438" i="2"/>
  <c r="BO438" i="2"/>
  <c r="BD438" i="2"/>
  <c r="AZ438" i="2"/>
  <c r="AX438" i="2"/>
  <c r="AT438" i="2"/>
  <c r="AR438" i="2"/>
  <c r="AN438" i="2"/>
  <c r="AL438" i="2"/>
  <c r="X438" i="2"/>
  <c r="V438" i="2"/>
  <c r="T438" i="2"/>
  <c r="R438" i="2"/>
  <c r="P438" i="2"/>
  <c r="N438" i="2"/>
  <c r="BR437" i="2"/>
  <c r="BQ437" i="2"/>
  <c r="BP437" i="2"/>
  <c r="BO437" i="2"/>
  <c r="BR436" i="2"/>
  <c r="BQ436" i="2"/>
  <c r="BP436" i="2"/>
  <c r="BO436" i="2"/>
  <c r="AR436" i="2"/>
  <c r="AL436" i="2"/>
  <c r="BR435" i="2"/>
  <c r="BQ435" i="2"/>
  <c r="BP435" i="2"/>
  <c r="BO435" i="2"/>
  <c r="BD435" i="2"/>
  <c r="AZ435" i="2"/>
  <c r="AX435" i="2"/>
  <c r="AV435" i="2"/>
  <c r="AT435" i="2"/>
  <c r="AP435" i="2"/>
  <c r="AN435" i="2"/>
  <c r="AH435" i="2"/>
  <c r="AD435" i="2"/>
  <c r="Z435" i="2"/>
  <c r="R435" i="2"/>
  <c r="P435" i="2"/>
  <c r="BR434" i="2"/>
  <c r="BQ434" i="2"/>
  <c r="BP434" i="2"/>
  <c r="BO434" i="2"/>
  <c r="AZ434" i="2"/>
  <c r="AX434" i="2"/>
  <c r="AV434" i="2"/>
  <c r="AN434" i="2"/>
  <c r="AH434" i="2"/>
  <c r="AF434" i="2"/>
  <c r="AD434" i="2"/>
  <c r="AB434" i="2"/>
  <c r="Z434" i="2"/>
  <c r="P434" i="2"/>
  <c r="BR433" i="2"/>
  <c r="BQ433" i="2"/>
  <c r="BP433" i="2"/>
  <c r="BO433" i="2"/>
  <c r="BR432" i="2"/>
  <c r="BQ432" i="2"/>
  <c r="BP432" i="2"/>
  <c r="BO432" i="2"/>
  <c r="BR431" i="2"/>
  <c r="BQ431" i="2"/>
  <c r="BP431" i="2"/>
  <c r="BO431" i="2"/>
  <c r="BD431" i="2"/>
  <c r="BB431" i="2"/>
  <c r="AR431" i="2"/>
  <c r="AP431" i="2"/>
  <c r="AN431" i="2"/>
  <c r="AL431" i="2"/>
  <c r="AJ431" i="2"/>
  <c r="AH431" i="2"/>
  <c r="AF431" i="2"/>
  <c r="Z431" i="2"/>
  <c r="X431" i="2"/>
  <c r="V431" i="2"/>
  <c r="T431" i="2"/>
  <c r="P431" i="2"/>
  <c r="N431" i="2"/>
  <c r="BR430" i="2"/>
  <c r="BQ430" i="2"/>
  <c r="BP430" i="2"/>
  <c r="BO430" i="2"/>
  <c r="AV430" i="2"/>
  <c r="AR430" i="2"/>
  <c r="AJ430" i="2"/>
  <c r="T430" i="2"/>
  <c r="BR429" i="2"/>
  <c r="BQ429" i="2"/>
  <c r="BP429" i="2"/>
  <c r="BO429" i="2"/>
  <c r="BB429" i="2"/>
  <c r="AD429" i="2"/>
  <c r="BR428" i="2"/>
  <c r="BQ428" i="2"/>
  <c r="BP428" i="2"/>
  <c r="BO428" i="2"/>
  <c r="BB428" i="2"/>
  <c r="AX428" i="2"/>
  <c r="AT428" i="2"/>
  <c r="AR428" i="2"/>
  <c r="AN428" i="2"/>
  <c r="R428" i="2"/>
  <c r="BR427" i="2"/>
  <c r="BQ427" i="2"/>
  <c r="BP427" i="2"/>
  <c r="BO427" i="2"/>
  <c r="AX427" i="2"/>
  <c r="AR427" i="2"/>
  <c r="BR426" i="2"/>
  <c r="BQ426" i="2"/>
  <c r="BP426" i="2"/>
  <c r="BO426" i="2"/>
  <c r="R426" i="2"/>
  <c r="BR425" i="2"/>
  <c r="BQ425" i="2"/>
  <c r="BP425" i="2"/>
  <c r="BO425" i="2"/>
  <c r="AV425" i="2"/>
  <c r="BR424" i="2"/>
  <c r="BQ424" i="2"/>
  <c r="BP424" i="2"/>
  <c r="BO424" i="2"/>
  <c r="BB424" i="2"/>
  <c r="AP424" i="2"/>
  <c r="AH424" i="2"/>
  <c r="R424" i="2"/>
  <c r="BR423" i="2"/>
  <c r="BQ423" i="2"/>
  <c r="BP423" i="2"/>
  <c r="BO423" i="2"/>
  <c r="R423" i="2"/>
  <c r="BR422" i="2"/>
  <c r="BQ422" i="2"/>
  <c r="BP422" i="2"/>
  <c r="BO422" i="2"/>
  <c r="BR421" i="2"/>
  <c r="BQ421" i="2"/>
  <c r="BP421" i="2"/>
  <c r="BO421" i="2"/>
  <c r="BB421" i="2"/>
  <c r="AT421" i="2"/>
  <c r="AB421" i="2"/>
  <c r="BR420" i="2"/>
  <c r="BQ420" i="2"/>
  <c r="BP420" i="2"/>
  <c r="BO420" i="2"/>
  <c r="AT420" i="2"/>
  <c r="AP420" i="2"/>
  <c r="AN420" i="2"/>
  <c r="AD420" i="2"/>
  <c r="BR419" i="2"/>
  <c r="BQ419" i="2"/>
  <c r="BP419" i="2"/>
  <c r="BO419" i="2"/>
  <c r="BR418" i="2"/>
  <c r="BQ418" i="2"/>
  <c r="BP418" i="2"/>
  <c r="BO418" i="2"/>
  <c r="AX418" i="2"/>
  <c r="AT418" i="2"/>
  <c r="AJ418" i="2"/>
  <c r="AH418" i="2"/>
  <c r="AB418" i="2"/>
  <c r="BR417" i="2"/>
  <c r="BQ417" i="2"/>
  <c r="BP417" i="2"/>
  <c r="BO417" i="2"/>
  <c r="AF417" i="2"/>
  <c r="T417" i="2"/>
  <c r="BR416" i="2"/>
  <c r="BQ416" i="2"/>
  <c r="BP416" i="2"/>
  <c r="BO416" i="2"/>
  <c r="AF416" i="2"/>
  <c r="AB416" i="2"/>
  <c r="X416" i="2"/>
  <c r="T416" i="2"/>
  <c r="BR415" i="2"/>
  <c r="BQ415" i="2"/>
  <c r="BP415" i="2"/>
  <c r="BO415" i="2"/>
  <c r="AD415" i="2"/>
  <c r="BR414" i="2"/>
  <c r="BQ414" i="2"/>
  <c r="BP414" i="2"/>
  <c r="BO414" i="2"/>
  <c r="AR414" i="2"/>
  <c r="BR413" i="2"/>
  <c r="BQ413" i="2"/>
  <c r="BP413" i="2"/>
  <c r="BO413" i="2"/>
  <c r="AR413" i="2"/>
  <c r="AN413" i="2"/>
  <c r="T413" i="2"/>
  <c r="P413" i="2"/>
  <c r="BR412" i="2"/>
  <c r="BQ412" i="2"/>
  <c r="BP412" i="2"/>
  <c r="BO412" i="2"/>
  <c r="AL412" i="2"/>
  <c r="AJ412" i="2"/>
  <c r="AD412" i="2"/>
  <c r="N412" i="2"/>
  <c r="BR411" i="2"/>
  <c r="BQ411" i="2"/>
  <c r="BP411" i="2"/>
  <c r="BO411" i="2"/>
  <c r="BR410" i="2"/>
  <c r="BQ410" i="2"/>
  <c r="BP410" i="2"/>
  <c r="BO410" i="2"/>
  <c r="BR409" i="2"/>
  <c r="BQ409" i="2"/>
  <c r="BP409" i="2"/>
  <c r="BO409" i="2"/>
  <c r="BR408" i="2"/>
  <c r="BQ408" i="2"/>
  <c r="BP408" i="2"/>
  <c r="BO408" i="2"/>
  <c r="AV408" i="2"/>
  <c r="AT408" i="2"/>
  <c r="AR408" i="2"/>
  <c r="AP408" i="2"/>
  <c r="AN408" i="2"/>
  <c r="AL408" i="2"/>
  <c r="AD408" i="2"/>
  <c r="AB408" i="2"/>
  <c r="Z408" i="2"/>
  <c r="T408" i="2"/>
  <c r="BR407" i="2"/>
  <c r="BQ407" i="2"/>
  <c r="BP407" i="2"/>
  <c r="BO407" i="2"/>
  <c r="AV407" i="2"/>
  <c r="Z407" i="2"/>
  <c r="P407" i="2"/>
  <c r="BR406" i="2"/>
  <c r="BQ406" i="2"/>
  <c r="BP406" i="2"/>
  <c r="BO406" i="2"/>
  <c r="BD406" i="2"/>
  <c r="BB406" i="2"/>
  <c r="X406" i="2"/>
  <c r="R406" i="2"/>
  <c r="BR405" i="2"/>
  <c r="BQ405" i="2"/>
  <c r="BP405" i="2"/>
  <c r="BO405" i="2"/>
  <c r="BR404" i="2"/>
  <c r="BQ404" i="2"/>
  <c r="BP404" i="2"/>
  <c r="BO404" i="2"/>
  <c r="BD404" i="2"/>
  <c r="AT404" i="2"/>
  <c r="AN404" i="2"/>
  <c r="AB404" i="2"/>
  <c r="Z404" i="2"/>
  <c r="X404" i="2"/>
  <c r="BR403" i="2"/>
  <c r="BQ403" i="2"/>
  <c r="BP403" i="2"/>
  <c r="BO403" i="2"/>
  <c r="BD403" i="2"/>
  <c r="BB403" i="2"/>
  <c r="AZ403" i="2"/>
  <c r="AX403" i="2"/>
  <c r="AV403" i="2"/>
  <c r="AT403" i="2"/>
  <c r="AR403" i="2"/>
  <c r="AP403" i="2"/>
  <c r="AN403" i="2"/>
  <c r="AL403" i="2"/>
  <c r="AJ403" i="2"/>
  <c r="AH403" i="2"/>
  <c r="AF403" i="2"/>
  <c r="AD403" i="2"/>
  <c r="AB403" i="2"/>
  <c r="Z403" i="2"/>
  <c r="X403" i="2"/>
  <c r="V403" i="2"/>
  <c r="R403" i="2"/>
  <c r="P403" i="2"/>
  <c r="N403" i="2"/>
  <c r="BR402" i="2"/>
  <c r="BQ402" i="2"/>
  <c r="BP402" i="2"/>
  <c r="BO402" i="2"/>
  <c r="AR402" i="2"/>
  <c r="BR401" i="2"/>
  <c r="BQ401" i="2"/>
  <c r="BP401" i="2"/>
  <c r="BO401" i="2"/>
  <c r="BD401" i="2"/>
  <c r="AN401" i="2"/>
  <c r="AJ401" i="2"/>
  <c r="BR400" i="2"/>
  <c r="BQ400" i="2"/>
  <c r="BP400" i="2"/>
  <c r="BO400" i="2"/>
  <c r="AV400" i="2"/>
  <c r="AL400" i="2"/>
  <c r="AF400" i="2"/>
  <c r="BR399" i="2"/>
  <c r="BQ399" i="2"/>
  <c r="BP399" i="2"/>
  <c r="BO399" i="2"/>
  <c r="BD399" i="2"/>
  <c r="BB399" i="2"/>
  <c r="AZ399" i="2"/>
  <c r="AX399" i="2"/>
  <c r="AV399" i="2"/>
  <c r="AT399" i="2"/>
  <c r="AR399" i="2"/>
  <c r="AP399" i="2"/>
  <c r="AN399" i="2"/>
  <c r="AL399" i="2"/>
  <c r="AJ399" i="2"/>
  <c r="AH399" i="2"/>
  <c r="AD399" i="2"/>
  <c r="Z399" i="2"/>
  <c r="X399" i="2"/>
  <c r="V399" i="2"/>
  <c r="R399" i="2"/>
  <c r="P399" i="2"/>
  <c r="BR398" i="2"/>
  <c r="BQ398" i="2"/>
  <c r="BP398" i="2"/>
  <c r="BO398" i="2"/>
  <c r="P398" i="2"/>
  <c r="BR397" i="2"/>
  <c r="BQ397" i="2"/>
  <c r="BP397" i="2"/>
  <c r="BO397" i="2"/>
  <c r="AX397" i="2"/>
  <c r="AJ397" i="2"/>
  <c r="X397" i="2"/>
  <c r="BR396" i="2"/>
  <c r="BQ396" i="2"/>
  <c r="BP396" i="2"/>
  <c r="BO396" i="2"/>
  <c r="AZ396" i="2"/>
  <c r="AV396" i="2"/>
  <c r="AL396" i="2"/>
  <c r="Z396" i="2"/>
  <c r="BR395" i="2"/>
  <c r="BQ395" i="2"/>
  <c r="BP395" i="2"/>
  <c r="BO395" i="2"/>
  <c r="AR395" i="2"/>
  <c r="BR394" i="2"/>
  <c r="BQ394" i="2"/>
  <c r="BP394" i="2"/>
  <c r="BO394" i="2"/>
  <c r="AF394" i="2"/>
  <c r="AD394" i="2"/>
  <c r="T394" i="2"/>
  <c r="BR393" i="2"/>
  <c r="BQ393" i="2"/>
  <c r="BP393" i="2"/>
  <c r="BO393" i="2"/>
  <c r="BD393" i="2"/>
  <c r="BR392" i="2"/>
  <c r="BQ392" i="2"/>
  <c r="BP392" i="2"/>
  <c r="BO392" i="2"/>
  <c r="BB392" i="2"/>
  <c r="AL392" i="2"/>
  <c r="Z392" i="2"/>
  <c r="X392" i="2"/>
  <c r="BR391" i="2"/>
  <c r="BQ391" i="2"/>
  <c r="BP391" i="2"/>
  <c r="BO391" i="2"/>
  <c r="AJ391" i="2"/>
  <c r="BR390" i="2"/>
  <c r="BQ390" i="2"/>
  <c r="BP390" i="2"/>
  <c r="BO390" i="2"/>
  <c r="BD390" i="2"/>
  <c r="AT390" i="2"/>
  <c r="AP390" i="2"/>
  <c r="AN390" i="2"/>
  <c r="X390" i="2"/>
  <c r="T390" i="2"/>
  <c r="BR389" i="2"/>
  <c r="BQ389" i="2"/>
  <c r="BP389" i="2"/>
  <c r="BO389" i="2"/>
  <c r="BD389" i="2"/>
  <c r="AL389" i="2"/>
  <c r="BR388" i="2"/>
  <c r="BQ388" i="2"/>
  <c r="BP388" i="2"/>
  <c r="BO388" i="2"/>
  <c r="AP388" i="2"/>
  <c r="AF388" i="2"/>
  <c r="V388" i="2"/>
  <c r="BR387" i="2"/>
  <c r="BQ387" i="2"/>
  <c r="BP387" i="2"/>
  <c r="BO387" i="2"/>
  <c r="AT387" i="2"/>
  <c r="AR387" i="2"/>
  <c r="BR386" i="2"/>
  <c r="BQ386" i="2"/>
  <c r="BP386" i="2"/>
  <c r="BO386" i="2"/>
  <c r="AZ386" i="2"/>
  <c r="AV386" i="2"/>
  <c r="AT386" i="2"/>
  <c r="AR386" i="2"/>
  <c r="AL386" i="2"/>
  <c r="AJ386" i="2"/>
  <c r="AF386" i="2"/>
  <c r="AD386" i="2"/>
  <c r="AB386" i="2"/>
  <c r="V386" i="2"/>
  <c r="P386" i="2"/>
  <c r="N386" i="2"/>
  <c r="BR385" i="2"/>
  <c r="BQ385" i="2"/>
  <c r="BP385" i="2"/>
  <c r="BO385" i="2"/>
  <c r="BR384" i="2"/>
  <c r="BQ384" i="2"/>
  <c r="BP384" i="2"/>
  <c r="BO384" i="2"/>
  <c r="AR384" i="2"/>
  <c r="BR383" i="2"/>
  <c r="BQ383" i="2"/>
  <c r="BP383" i="2"/>
  <c r="BO383" i="2"/>
  <c r="BD383" i="2"/>
  <c r="AZ383" i="2"/>
  <c r="AV383" i="2"/>
  <c r="AT383" i="2"/>
  <c r="AP383" i="2"/>
  <c r="AL383" i="2"/>
  <c r="AB383" i="2"/>
  <c r="Z383" i="2"/>
  <c r="X383" i="2"/>
  <c r="T383" i="2"/>
  <c r="N383" i="2"/>
  <c r="BR382" i="2"/>
  <c r="BQ382" i="2"/>
  <c r="BP382" i="2"/>
  <c r="BO382" i="2"/>
  <c r="N382" i="2"/>
  <c r="BR381" i="2"/>
  <c r="BQ381" i="2"/>
  <c r="BP381" i="2"/>
  <c r="BO381" i="2"/>
  <c r="AT381" i="2"/>
  <c r="AR381" i="2"/>
  <c r="AP380" i="2"/>
  <c r="BD378" i="2"/>
  <c r="BB378" i="2"/>
  <c r="AR378" i="2"/>
  <c r="AL378" i="2"/>
  <c r="T378" i="2"/>
  <c r="R378" i="2"/>
  <c r="BD377" i="2"/>
  <c r="Z377" i="2"/>
  <c r="N377" i="2"/>
  <c r="BR376" i="2"/>
  <c r="BQ376" i="2"/>
  <c r="BP376" i="2"/>
  <c r="BO376" i="2"/>
  <c r="BR375" i="2"/>
  <c r="BQ375" i="2"/>
  <c r="BP375" i="2"/>
  <c r="BO375" i="2"/>
  <c r="BD375" i="2"/>
  <c r="BR374" i="2"/>
  <c r="BQ374" i="2"/>
  <c r="BP374" i="2"/>
  <c r="BO374" i="2"/>
  <c r="AP374" i="2"/>
  <c r="BR373" i="2"/>
  <c r="BQ373" i="2"/>
  <c r="BP373" i="2"/>
  <c r="BO373" i="2"/>
  <c r="Z373" i="2"/>
  <c r="BR372" i="2"/>
  <c r="BQ372" i="2"/>
  <c r="BP372" i="2"/>
  <c r="BO372" i="2"/>
  <c r="BR371" i="2"/>
  <c r="BQ371" i="2"/>
  <c r="BP371" i="2"/>
  <c r="BO371" i="2"/>
  <c r="BD371" i="2"/>
  <c r="AR371" i="2"/>
  <c r="AL371" i="2"/>
  <c r="BR370" i="2"/>
  <c r="BQ370" i="2"/>
  <c r="BP370" i="2"/>
  <c r="BO370" i="2"/>
  <c r="AL370" i="2"/>
  <c r="BR369" i="2"/>
  <c r="BQ369" i="2"/>
  <c r="BP369" i="2"/>
  <c r="BO369" i="2"/>
  <c r="AX369" i="2"/>
  <c r="AL369" i="2"/>
  <c r="AH369" i="2"/>
  <c r="AB369" i="2"/>
  <c r="V369" i="2"/>
  <c r="BR368" i="2"/>
  <c r="BQ368" i="2"/>
  <c r="BP368" i="2"/>
  <c r="BO368" i="2"/>
  <c r="BR367" i="2"/>
  <c r="BQ367" i="2"/>
  <c r="BP367" i="2"/>
  <c r="BO367" i="2"/>
  <c r="AV367" i="2"/>
  <c r="AJ367" i="2"/>
  <c r="AF367" i="2"/>
  <c r="X367" i="2"/>
  <c r="BR366" i="2"/>
  <c r="BQ366" i="2"/>
  <c r="BP366" i="2"/>
  <c r="BO366" i="2"/>
  <c r="BD366" i="2"/>
  <c r="AZ366" i="2"/>
  <c r="AX366" i="2"/>
  <c r="AR366" i="2"/>
  <c r="BR365" i="2"/>
  <c r="BQ365" i="2"/>
  <c r="BP365" i="2"/>
  <c r="BO365" i="2"/>
  <c r="BB365" i="2"/>
  <c r="AX365" i="2"/>
  <c r="AR365" i="2"/>
  <c r="AN365" i="2"/>
  <c r="AF365" i="2"/>
  <c r="Z365" i="2"/>
  <c r="V365" i="2"/>
  <c r="BR364" i="2"/>
  <c r="BQ364" i="2"/>
  <c r="BP364" i="2"/>
  <c r="BO364" i="2"/>
  <c r="X364" i="2"/>
  <c r="P364" i="2"/>
  <c r="BR363" i="2"/>
  <c r="BQ363" i="2"/>
  <c r="BP363" i="2"/>
  <c r="BO363" i="2"/>
  <c r="AT363" i="2"/>
  <c r="AR363" i="2"/>
  <c r="BR362" i="2"/>
  <c r="BQ362" i="2"/>
  <c r="BP362" i="2"/>
  <c r="BO362" i="2"/>
  <c r="BB362" i="2"/>
  <c r="AZ362" i="2"/>
  <c r="AR362" i="2"/>
  <c r="BR361" i="2"/>
  <c r="BQ361" i="2"/>
  <c r="BP361" i="2"/>
  <c r="BO361" i="2"/>
  <c r="BB361" i="2"/>
  <c r="AH361" i="2"/>
  <c r="R361" i="2"/>
  <c r="BR360" i="2"/>
  <c r="BQ360" i="2"/>
  <c r="BP360" i="2"/>
  <c r="BO360" i="2"/>
  <c r="BD360" i="2"/>
  <c r="AV360" i="2"/>
  <c r="R360" i="2"/>
  <c r="BR359" i="2"/>
  <c r="BQ359" i="2"/>
  <c r="BP359" i="2"/>
  <c r="BO359" i="2"/>
  <c r="AZ359" i="2"/>
  <c r="AX359" i="2"/>
  <c r="AP359" i="2"/>
  <c r="AN359" i="2"/>
  <c r="V359" i="2"/>
  <c r="BR358" i="2"/>
  <c r="BQ358" i="2"/>
  <c r="BP358" i="2"/>
  <c r="BO358" i="2"/>
  <c r="BD358" i="2"/>
  <c r="AP358" i="2"/>
  <c r="AN358" i="2"/>
  <c r="AB358" i="2"/>
  <c r="V358" i="2"/>
  <c r="BR357" i="2"/>
  <c r="BQ357" i="2"/>
  <c r="BP357" i="2"/>
  <c r="BO357" i="2"/>
  <c r="BD357" i="2"/>
  <c r="BB357" i="2"/>
  <c r="BR356" i="2"/>
  <c r="BQ356" i="2"/>
  <c r="BP356" i="2"/>
  <c r="BO356" i="2"/>
  <c r="BR355" i="2"/>
  <c r="BQ355" i="2"/>
  <c r="BP355" i="2"/>
  <c r="BO355" i="2"/>
  <c r="BB355" i="2"/>
  <c r="AT355" i="2"/>
  <c r="AR355" i="2"/>
  <c r="AH355" i="2"/>
  <c r="T355" i="2"/>
  <c r="P355" i="2"/>
  <c r="BR354" i="2"/>
  <c r="BQ354" i="2"/>
  <c r="BP354" i="2"/>
  <c r="BO354" i="2"/>
  <c r="AV354" i="2"/>
  <c r="AT354" i="2"/>
  <c r="AP354" i="2"/>
  <c r="AJ354" i="2"/>
  <c r="Z354" i="2"/>
  <c r="X354" i="2"/>
  <c r="BR353" i="2"/>
  <c r="BQ353" i="2"/>
  <c r="BP353" i="2"/>
  <c r="BO353" i="2"/>
  <c r="BD353" i="2"/>
  <c r="AT353" i="2"/>
  <c r="R353" i="2"/>
  <c r="BR352" i="2"/>
  <c r="BQ352" i="2"/>
  <c r="BP352" i="2"/>
  <c r="BO352" i="2"/>
  <c r="V352" i="2"/>
  <c r="P352" i="2"/>
  <c r="BR351" i="2"/>
  <c r="BQ351" i="2"/>
  <c r="BP351" i="2"/>
  <c r="BO351" i="2"/>
  <c r="BB351" i="2"/>
  <c r="V351" i="2"/>
  <c r="BR350" i="2"/>
  <c r="BQ350" i="2"/>
  <c r="BP350" i="2"/>
  <c r="BO350" i="2"/>
  <c r="BB350" i="2"/>
  <c r="AZ350" i="2"/>
  <c r="AT350" i="2"/>
  <c r="AR350" i="2"/>
  <c r="AP350" i="2"/>
  <c r="AN350" i="2"/>
  <c r="V350" i="2"/>
  <c r="BR349" i="2"/>
  <c r="BQ349" i="2"/>
  <c r="BP349" i="2"/>
  <c r="BO349" i="2"/>
  <c r="BD349" i="2"/>
  <c r="AZ349" i="2"/>
  <c r="AV349" i="2"/>
  <c r="AT349" i="2"/>
  <c r="AP349" i="2"/>
  <c r="AD349" i="2"/>
  <c r="AB349" i="2"/>
  <c r="X349" i="2"/>
  <c r="N349" i="2"/>
  <c r="BR348" i="2"/>
  <c r="BQ348" i="2"/>
  <c r="BP348" i="2"/>
  <c r="BO348" i="2"/>
  <c r="BR347" i="2"/>
  <c r="BQ347" i="2"/>
  <c r="BP347" i="2"/>
  <c r="BO347" i="2"/>
  <c r="BD347" i="2"/>
  <c r="AX347" i="2"/>
  <c r="AT347" i="2"/>
  <c r="AR347" i="2"/>
  <c r="AN347" i="2"/>
  <c r="AL347" i="2"/>
  <c r="AJ347" i="2"/>
  <c r="AF347" i="2"/>
  <c r="R347" i="2"/>
  <c r="BR346" i="2"/>
  <c r="BQ346" i="2"/>
  <c r="BP346" i="2"/>
  <c r="BO346" i="2"/>
  <c r="AX346" i="2"/>
  <c r="V346" i="2"/>
  <c r="N346" i="2"/>
  <c r="BR345" i="2"/>
  <c r="BQ345" i="2"/>
  <c r="BP345" i="2"/>
  <c r="BO345" i="2"/>
  <c r="AX345" i="2"/>
  <c r="Z345" i="2"/>
  <c r="BR344" i="2"/>
  <c r="BQ344" i="2"/>
  <c r="BP344" i="2"/>
  <c r="BO344" i="2"/>
  <c r="BD344" i="2"/>
  <c r="BR343" i="2"/>
  <c r="BQ343" i="2"/>
  <c r="BP343" i="2"/>
  <c r="BO343" i="2"/>
  <c r="BB343" i="2"/>
  <c r="AP343" i="2"/>
  <c r="BR342" i="2"/>
  <c r="BQ342" i="2"/>
  <c r="BP342" i="2"/>
  <c r="BO342" i="2"/>
  <c r="V342" i="2"/>
  <c r="N342" i="2"/>
  <c r="BR341" i="2"/>
  <c r="BQ341" i="2"/>
  <c r="BP341" i="2"/>
  <c r="BO341" i="2"/>
  <c r="BB341" i="2"/>
  <c r="AV341" i="2"/>
  <c r="AT341" i="2"/>
  <c r="AB341" i="2"/>
  <c r="BR340" i="2"/>
  <c r="BQ340" i="2"/>
  <c r="BP340" i="2"/>
  <c r="BO340" i="2"/>
  <c r="X340" i="2"/>
  <c r="R340" i="2"/>
  <c r="BR339" i="2"/>
  <c r="BQ339" i="2"/>
  <c r="BP339" i="2"/>
  <c r="BO339" i="2"/>
  <c r="AZ339" i="2"/>
  <c r="AR339" i="2"/>
  <c r="AL339" i="2"/>
  <c r="AJ339" i="2"/>
  <c r="Z339" i="2"/>
  <c r="BR338" i="2"/>
  <c r="BQ338" i="2"/>
  <c r="BP338" i="2"/>
  <c r="BO338" i="2"/>
  <c r="BB338" i="2"/>
  <c r="AZ338" i="2"/>
  <c r="AX338" i="2"/>
  <c r="AV338" i="2"/>
  <c r="AL338" i="2"/>
  <c r="AJ338" i="2"/>
  <c r="P338" i="2"/>
  <c r="BR337" i="2"/>
  <c r="BQ337" i="2"/>
  <c r="BP337" i="2"/>
  <c r="BO337" i="2"/>
  <c r="BD337" i="2"/>
  <c r="AH337" i="2"/>
  <c r="X337" i="2"/>
  <c r="V337" i="2"/>
  <c r="P337" i="2"/>
  <c r="BR336" i="2"/>
  <c r="BQ336" i="2"/>
  <c r="BP336" i="2"/>
  <c r="BO336" i="2"/>
  <c r="AN336" i="2"/>
  <c r="AH336" i="2"/>
  <c r="BR335" i="2"/>
  <c r="BQ335" i="2"/>
  <c r="BP335" i="2"/>
  <c r="BO335" i="2"/>
  <c r="BB335" i="2"/>
  <c r="AP335" i="2"/>
  <c r="Z335" i="2"/>
  <c r="BR334" i="2"/>
  <c r="BQ334" i="2"/>
  <c r="BP334" i="2"/>
  <c r="BO334" i="2"/>
  <c r="BD334" i="2"/>
  <c r="BB334" i="2"/>
  <c r="AZ334" i="2"/>
  <c r="AX334" i="2"/>
  <c r="AR334" i="2"/>
  <c r="AP334" i="2"/>
  <c r="AN334" i="2"/>
  <c r="AH334" i="2"/>
  <c r="AB334" i="2"/>
  <c r="BR333" i="2"/>
  <c r="BQ333" i="2"/>
  <c r="BP333" i="2"/>
  <c r="BO333" i="2"/>
  <c r="AX333" i="2"/>
  <c r="AT333" i="2"/>
  <c r="AR333" i="2"/>
  <c r="AJ333" i="2"/>
  <c r="V333" i="2"/>
  <c r="BR332" i="2"/>
  <c r="BQ332" i="2"/>
  <c r="BP332" i="2"/>
  <c r="BO332" i="2"/>
  <c r="AF332" i="2"/>
  <c r="X332" i="2"/>
  <c r="P332" i="2"/>
  <c r="BR331" i="2"/>
  <c r="BQ331" i="2"/>
  <c r="BP331" i="2"/>
  <c r="BO331" i="2"/>
  <c r="BB331" i="2"/>
  <c r="AR331" i="2"/>
  <c r="N331" i="2"/>
  <c r="BR330" i="2"/>
  <c r="BQ330" i="2"/>
  <c r="BP330" i="2"/>
  <c r="BO330" i="2"/>
  <c r="AB330" i="2"/>
  <c r="BR329" i="2"/>
  <c r="BQ329" i="2"/>
  <c r="BP329" i="2"/>
  <c r="BO329" i="2"/>
  <c r="AR329" i="2"/>
  <c r="AP329" i="2"/>
  <c r="T329" i="2"/>
  <c r="BR328" i="2"/>
  <c r="BQ328" i="2"/>
  <c r="BP328" i="2"/>
  <c r="BO328" i="2"/>
  <c r="BB328" i="2"/>
  <c r="AP328" i="2"/>
  <c r="BR327" i="2"/>
  <c r="BQ327" i="2"/>
  <c r="BP327" i="2"/>
  <c r="BO327" i="2"/>
  <c r="AN327" i="2"/>
  <c r="AL327" i="2"/>
  <c r="AH327" i="2"/>
  <c r="AF327" i="2"/>
  <c r="AD327" i="2"/>
  <c r="AB327" i="2"/>
  <c r="P327" i="2"/>
  <c r="BR326" i="2"/>
  <c r="BQ326" i="2"/>
  <c r="BP326" i="2"/>
  <c r="BO326" i="2"/>
  <c r="AX326" i="2"/>
  <c r="AH326" i="2"/>
  <c r="V326" i="2"/>
  <c r="BR325" i="2"/>
  <c r="BQ325" i="2"/>
  <c r="BP325" i="2"/>
  <c r="BO325" i="2"/>
  <c r="BB325" i="2"/>
  <c r="AZ325" i="2"/>
  <c r="AV325" i="2"/>
  <c r="AT325" i="2"/>
  <c r="AP325" i="2"/>
  <c r="AL325" i="2"/>
  <c r="Z325" i="2"/>
  <c r="P325" i="2"/>
  <c r="BR324" i="2"/>
  <c r="BQ324" i="2"/>
  <c r="BP324" i="2"/>
  <c r="BO324" i="2"/>
  <c r="AR324" i="2"/>
  <c r="AP324" i="2"/>
  <c r="AL324" i="2"/>
  <c r="BR323" i="2"/>
  <c r="BQ323" i="2"/>
  <c r="BP323" i="2"/>
  <c r="BO323" i="2"/>
  <c r="AX323" i="2"/>
  <c r="AH323" i="2"/>
  <c r="BR322" i="2"/>
  <c r="BQ322" i="2"/>
  <c r="BP322" i="2"/>
  <c r="BO322" i="2"/>
  <c r="BD322" i="2"/>
  <c r="AX322" i="2"/>
  <c r="AT322" i="2"/>
  <c r="AR322" i="2"/>
  <c r="AJ322" i="2"/>
  <c r="AB322" i="2"/>
  <c r="Z322" i="2"/>
  <c r="V322" i="2"/>
  <c r="BR321" i="2"/>
  <c r="BQ321" i="2"/>
  <c r="BP321" i="2"/>
  <c r="BO321" i="2"/>
  <c r="AP321" i="2"/>
  <c r="T321" i="2"/>
  <c r="BR320" i="2"/>
  <c r="BQ320" i="2"/>
  <c r="BP320" i="2"/>
  <c r="BO320" i="2"/>
  <c r="BR319" i="2"/>
  <c r="BQ319" i="2"/>
  <c r="BP319" i="2"/>
  <c r="BO319" i="2"/>
  <c r="AD319" i="2"/>
  <c r="P319" i="2"/>
  <c r="BR318" i="2"/>
  <c r="BQ318" i="2"/>
  <c r="BP318" i="2"/>
  <c r="BO318" i="2"/>
  <c r="BR317" i="2"/>
  <c r="BQ317" i="2"/>
  <c r="BP317" i="2"/>
  <c r="BO317" i="2"/>
  <c r="BR316" i="2"/>
  <c r="BQ316" i="2"/>
  <c r="BP316" i="2"/>
  <c r="BO316" i="2"/>
  <c r="AR316" i="2"/>
  <c r="N316" i="2"/>
  <c r="BR315" i="2"/>
  <c r="BQ315" i="2"/>
  <c r="BP315" i="2"/>
  <c r="BO315" i="2"/>
  <c r="N315" i="2"/>
  <c r="BR314" i="2"/>
  <c r="BQ314" i="2"/>
  <c r="BP314" i="2"/>
  <c r="BO314" i="2"/>
  <c r="AD314" i="2"/>
  <c r="V314" i="2"/>
  <c r="BR313" i="2"/>
  <c r="BQ313" i="2"/>
  <c r="BP313" i="2"/>
  <c r="BO313" i="2"/>
  <c r="BR312" i="2"/>
  <c r="BQ312" i="2"/>
  <c r="BP312" i="2"/>
  <c r="BO312" i="2"/>
  <c r="AR312" i="2"/>
  <c r="V312" i="2"/>
  <c r="BR311" i="2"/>
  <c r="BQ311" i="2"/>
  <c r="BP311" i="2"/>
  <c r="BO311" i="2"/>
  <c r="BD311" i="2"/>
  <c r="AX311" i="2"/>
  <c r="AT311" i="2"/>
  <c r="AL311" i="2"/>
  <c r="AJ311" i="2"/>
  <c r="AB311" i="2"/>
  <c r="X311" i="2"/>
  <c r="V311" i="2"/>
  <c r="T311" i="2"/>
  <c r="R311" i="2"/>
  <c r="BR310" i="2"/>
  <c r="BQ310" i="2"/>
  <c r="BP310" i="2"/>
  <c r="BO310" i="2"/>
  <c r="Z310" i="2"/>
  <c r="BR309" i="2"/>
  <c r="BQ309" i="2"/>
  <c r="BP309" i="2"/>
  <c r="BO309" i="2"/>
  <c r="AT309" i="2"/>
  <c r="AB309" i="2"/>
  <c r="R309" i="2"/>
  <c r="BR308" i="2"/>
  <c r="BQ308" i="2"/>
  <c r="BP308" i="2"/>
  <c r="BO308" i="2"/>
  <c r="V308" i="2"/>
  <c r="P308" i="2"/>
  <c r="BR307" i="2"/>
  <c r="BQ307" i="2"/>
  <c r="BP307" i="2"/>
  <c r="BO307" i="2"/>
  <c r="AR307" i="2"/>
  <c r="BR306" i="2"/>
  <c r="BQ306" i="2"/>
  <c r="BP306" i="2"/>
  <c r="BO306" i="2"/>
  <c r="BR305" i="2"/>
  <c r="BQ305" i="2"/>
  <c r="BP305" i="2"/>
  <c r="BO305" i="2"/>
  <c r="BR304" i="2"/>
  <c r="BQ304" i="2"/>
  <c r="BP304" i="2"/>
  <c r="BO304" i="2"/>
  <c r="BR303" i="2"/>
  <c r="BQ303" i="2"/>
  <c r="BP303" i="2"/>
  <c r="BO303" i="2"/>
  <c r="BR302" i="2"/>
  <c r="BQ302" i="2"/>
  <c r="BP302" i="2"/>
  <c r="BO302" i="2"/>
  <c r="BR301" i="2"/>
  <c r="BQ301" i="2"/>
  <c r="BP301" i="2"/>
  <c r="BO301" i="2"/>
  <c r="BD301" i="2"/>
  <c r="R301" i="2"/>
  <c r="BR300" i="2"/>
  <c r="BQ300" i="2"/>
  <c r="BP300" i="2"/>
  <c r="BO300" i="2"/>
  <c r="BD300" i="2"/>
  <c r="AX300" i="2"/>
  <c r="AN300" i="2"/>
  <c r="AL300" i="2"/>
  <c r="Z300" i="2"/>
  <c r="X300" i="2"/>
  <c r="V300" i="2"/>
  <c r="N300" i="2"/>
  <c r="BR299" i="2"/>
  <c r="BQ299" i="2"/>
  <c r="BP299" i="2"/>
  <c r="BO299" i="2"/>
  <c r="Z299" i="2"/>
  <c r="BR298" i="2"/>
  <c r="BQ298" i="2"/>
  <c r="BP298" i="2"/>
  <c r="BO298" i="2"/>
  <c r="BR297" i="2"/>
  <c r="BQ297" i="2"/>
  <c r="BP297" i="2"/>
  <c r="BO297" i="2"/>
  <c r="AF297" i="2"/>
  <c r="AB297" i="2"/>
  <c r="N297" i="2"/>
  <c r="BR296" i="2"/>
  <c r="BQ296" i="2"/>
  <c r="BP296" i="2"/>
  <c r="BO296" i="2"/>
  <c r="BR295" i="2"/>
  <c r="BQ295" i="2"/>
  <c r="BP295" i="2"/>
  <c r="BO295" i="2"/>
  <c r="BR294" i="2"/>
  <c r="BQ294" i="2"/>
  <c r="BP294" i="2"/>
  <c r="BO294" i="2"/>
  <c r="BR293" i="2"/>
  <c r="BQ293" i="2"/>
  <c r="BP293" i="2"/>
  <c r="BO293" i="2"/>
  <c r="AR293" i="2"/>
  <c r="BR292" i="2"/>
  <c r="BQ292" i="2"/>
  <c r="BP292" i="2"/>
  <c r="BO292" i="2"/>
  <c r="AX292" i="2"/>
  <c r="BR291" i="2"/>
  <c r="BQ291" i="2"/>
  <c r="BP291" i="2"/>
  <c r="BO291" i="2"/>
  <c r="BR290" i="2"/>
  <c r="BQ290" i="2"/>
  <c r="BP290" i="2"/>
  <c r="BO290" i="2"/>
  <c r="AR290" i="2"/>
  <c r="BR289" i="2"/>
  <c r="BQ289" i="2"/>
  <c r="BP289" i="2"/>
  <c r="BO289" i="2"/>
  <c r="BD289" i="2"/>
  <c r="Z289" i="2"/>
  <c r="BR288" i="2"/>
  <c r="BQ288" i="2"/>
  <c r="BP288" i="2"/>
  <c r="BO288" i="2"/>
  <c r="BR287" i="2"/>
  <c r="BQ287" i="2"/>
  <c r="BP287" i="2"/>
  <c r="BO287" i="2"/>
  <c r="AR287" i="2"/>
  <c r="AH287" i="2"/>
  <c r="N287" i="2"/>
  <c r="BR286" i="2"/>
  <c r="BQ286" i="2"/>
  <c r="BP286" i="2"/>
  <c r="BO286" i="2"/>
  <c r="Z286" i="2"/>
  <c r="BR285" i="2"/>
  <c r="BQ285" i="2"/>
  <c r="BP285" i="2"/>
  <c r="BO285" i="2"/>
  <c r="Z285" i="2"/>
  <c r="BR284" i="2"/>
  <c r="BQ284" i="2"/>
  <c r="BP284" i="2"/>
  <c r="BO284" i="2"/>
  <c r="BR283" i="2"/>
  <c r="BQ283" i="2"/>
  <c r="BP283" i="2"/>
  <c r="BO283" i="2"/>
  <c r="BR282" i="2"/>
  <c r="BQ282" i="2"/>
  <c r="BP282" i="2"/>
  <c r="BO282" i="2"/>
  <c r="BR281" i="2"/>
  <c r="BQ281" i="2"/>
  <c r="BP281" i="2"/>
  <c r="BO281" i="2"/>
  <c r="BR280" i="2"/>
  <c r="BQ280" i="2"/>
  <c r="BP280" i="2"/>
  <c r="BO280" i="2"/>
  <c r="AR280" i="2"/>
  <c r="X280" i="2"/>
  <c r="BR279" i="2"/>
  <c r="BQ279" i="2"/>
  <c r="BP279" i="2"/>
  <c r="BO279" i="2"/>
  <c r="BR278" i="2"/>
  <c r="BQ278" i="2"/>
  <c r="BP278" i="2"/>
  <c r="BO278" i="2"/>
  <c r="BR277" i="2"/>
  <c r="BQ277" i="2"/>
  <c r="BP277" i="2"/>
  <c r="BO277" i="2"/>
  <c r="BR276" i="2"/>
  <c r="BQ276" i="2"/>
  <c r="BP276" i="2"/>
  <c r="BO276" i="2"/>
  <c r="AR276" i="2"/>
  <c r="BR275" i="2"/>
  <c r="BQ275" i="2"/>
  <c r="BP275" i="2"/>
  <c r="BO275" i="2"/>
  <c r="BR274" i="2"/>
  <c r="BQ274" i="2"/>
  <c r="BP274" i="2"/>
  <c r="BO274" i="2"/>
  <c r="AX274" i="2"/>
  <c r="T274" i="2"/>
  <c r="BR273" i="2"/>
  <c r="BQ273" i="2"/>
  <c r="BP273" i="2"/>
  <c r="BO273" i="2"/>
  <c r="BR272" i="2"/>
  <c r="BQ272" i="2"/>
  <c r="BP272" i="2"/>
  <c r="BO272" i="2"/>
  <c r="BD272" i="2"/>
  <c r="BB272" i="2"/>
  <c r="AT272" i="2"/>
  <c r="T272" i="2"/>
  <c r="N272" i="2"/>
  <c r="BR271" i="2"/>
  <c r="BQ271" i="2"/>
  <c r="BP271" i="2"/>
  <c r="BO271" i="2"/>
  <c r="AT271" i="2"/>
  <c r="AP271" i="2"/>
  <c r="BR270" i="2"/>
  <c r="BQ270" i="2"/>
  <c r="BP270" i="2"/>
  <c r="BO270" i="2"/>
  <c r="N270" i="2"/>
  <c r="BR269" i="2"/>
  <c r="BQ269" i="2"/>
  <c r="BP269" i="2"/>
  <c r="BO269" i="2"/>
  <c r="AN269" i="2"/>
  <c r="P269" i="2"/>
  <c r="BR268" i="2"/>
  <c r="BQ268" i="2"/>
  <c r="BP268" i="2"/>
  <c r="BO268" i="2"/>
  <c r="BR267" i="2"/>
  <c r="BQ267" i="2"/>
  <c r="BP267" i="2"/>
  <c r="BO267" i="2"/>
  <c r="BB267" i="2"/>
  <c r="AX267" i="2"/>
  <c r="AV267" i="2"/>
  <c r="R267" i="2"/>
  <c r="BR266" i="2"/>
  <c r="BQ266" i="2"/>
  <c r="BP266" i="2"/>
  <c r="BO266" i="2"/>
  <c r="BR265" i="2"/>
  <c r="BQ265" i="2"/>
  <c r="BP265" i="2"/>
  <c r="BO265" i="2"/>
  <c r="AT265" i="2"/>
  <c r="AL265" i="2"/>
  <c r="AJ265" i="2"/>
  <c r="V265" i="2"/>
  <c r="P265" i="2"/>
  <c r="BR264" i="2"/>
  <c r="BQ264" i="2"/>
  <c r="BP264" i="2"/>
  <c r="BO264" i="2"/>
  <c r="BR263" i="2"/>
  <c r="BQ263" i="2"/>
  <c r="BP263" i="2"/>
  <c r="BO263" i="2"/>
  <c r="BB263" i="2"/>
  <c r="AX263" i="2"/>
  <c r="AV263" i="2"/>
  <c r="AN263" i="2"/>
  <c r="AD263" i="2"/>
  <c r="AB263" i="2"/>
  <c r="Z263" i="2"/>
  <c r="X263" i="2"/>
  <c r="T263" i="2"/>
  <c r="N263" i="2"/>
  <c r="BR262" i="2"/>
  <c r="BQ262" i="2"/>
  <c r="BP262" i="2"/>
  <c r="BO262" i="2"/>
  <c r="BR261" i="2"/>
  <c r="BQ261" i="2"/>
  <c r="BP261" i="2"/>
  <c r="BO261" i="2"/>
  <c r="BD261" i="2"/>
  <c r="BR260" i="2"/>
  <c r="BQ260" i="2"/>
  <c r="BP260" i="2"/>
  <c r="BO260" i="2"/>
  <c r="BR259" i="2"/>
  <c r="BQ259" i="2"/>
  <c r="BP259" i="2"/>
  <c r="BO259" i="2"/>
  <c r="BD259" i="2"/>
  <c r="AX259" i="2"/>
  <c r="AP259" i="2"/>
  <c r="AJ259" i="2"/>
  <c r="AH259" i="2"/>
  <c r="AF259" i="2"/>
  <c r="AB259" i="2"/>
  <c r="V259" i="2"/>
  <c r="BR258" i="2"/>
  <c r="BQ258" i="2"/>
  <c r="BP258" i="2"/>
  <c r="BO258" i="2"/>
  <c r="BR257" i="2"/>
  <c r="BQ257" i="2"/>
  <c r="BP257" i="2"/>
  <c r="BO257" i="2"/>
  <c r="AX257" i="2"/>
  <c r="AF257" i="2"/>
  <c r="X257" i="2"/>
  <c r="P257" i="2"/>
  <c r="N257" i="2"/>
  <c r="BR256" i="2"/>
  <c r="BQ256" i="2"/>
  <c r="BP256" i="2"/>
  <c r="BO256" i="2"/>
  <c r="AX256" i="2"/>
  <c r="AT256" i="2"/>
  <c r="AR256" i="2"/>
  <c r="AN256" i="2"/>
  <c r="AJ256" i="2"/>
  <c r="AF256" i="2"/>
  <c r="X256" i="2"/>
  <c r="T256" i="2"/>
  <c r="P256" i="2"/>
  <c r="BR255" i="2"/>
  <c r="BQ255" i="2"/>
  <c r="BP255" i="2"/>
  <c r="BO255" i="2"/>
  <c r="BB255" i="2"/>
  <c r="AZ255" i="2"/>
  <c r="AX255" i="2"/>
  <c r="AV255" i="2"/>
  <c r="AR255" i="2"/>
  <c r="AL255" i="2"/>
  <c r="AJ255" i="2"/>
  <c r="AH255" i="2"/>
  <c r="AD255" i="2"/>
  <c r="V255" i="2"/>
  <c r="T255" i="2"/>
  <c r="N255" i="2"/>
  <c r="BR254" i="2"/>
  <c r="BQ254" i="2"/>
  <c r="BP254" i="2"/>
  <c r="BO254" i="2"/>
  <c r="AX254" i="2"/>
  <c r="AV254" i="2"/>
  <c r="AT254" i="2"/>
  <c r="AR254" i="2"/>
  <c r="AL254" i="2"/>
  <c r="AJ254" i="2"/>
  <c r="Z254" i="2"/>
  <c r="X254" i="2"/>
  <c r="V254" i="2"/>
  <c r="BR253" i="2"/>
  <c r="BQ253" i="2"/>
  <c r="BP253" i="2"/>
  <c r="BO253" i="2"/>
  <c r="BD253" i="2"/>
  <c r="AZ253" i="2"/>
  <c r="AX253" i="2"/>
  <c r="AP253" i="2"/>
  <c r="AN253" i="2"/>
  <c r="AL253" i="2"/>
  <c r="AF253" i="2"/>
  <c r="AD253" i="2"/>
  <c r="V253" i="2"/>
  <c r="N253" i="2"/>
  <c r="BR252" i="2"/>
  <c r="BQ252" i="2"/>
  <c r="BP252" i="2"/>
  <c r="BO252" i="2"/>
  <c r="BR251" i="2"/>
  <c r="BQ251" i="2"/>
  <c r="BP251" i="2"/>
  <c r="BO251" i="2"/>
  <c r="AR251" i="2"/>
  <c r="BR250" i="2"/>
  <c r="BQ250" i="2"/>
  <c r="BP250" i="2"/>
  <c r="BO250" i="2"/>
  <c r="P250" i="2"/>
  <c r="BR249" i="2"/>
  <c r="BQ249" i="2"/>
  <c r="BP249" i="2"/>
  <c r="BO249" i="2"/>
  <c r="AV249" i="2"/>
  <c r="AF249" i="2"/>
  <c r="AB249" i="2"/>
  <c r="V249" i="2"/>
  <c r="N249" i="2"/>
  <c r="BR248" i="2"/>
  <c r="BQ248" i="2"/>
  <c r="BP248" i="2"/>
  <c r="BO248" i="2"/>
  <c r="AV248" i="2"/>
  <c r="AR248" i="2"/>
  <c r="AP248" i="2"/>
  <c r="AJ248" i="2"/>
  <c r="AD248" i="2"/>
  <c r="R248" i="2"/>
  <c r="P248" i="2"/>
  <c r="BR247" i="2"/>
  <c r="BQ247" i="2"/>
  <c r="BP247" i="2"/>
  <c r="BO247" i="2"/>
  <c r="AZ247" i="2"/>
  <c r="AX247" i="2"/>
  <c r="AH247" i="2"/>
  <c r="AB247" i="2"/>
  <c r="P247" i="2"/>
  <c r="BR246" i="2"/>
  <c r="BQ246" i="2"/>
  <c r="BP246" i="2"/>
  <c r="BO246" i="2"/>
  <c r="BB246" i="2"/>
  <c r="AT246" i="2"/>
  <c r="AN246" i="2"/>
  <c r="AD246" i="2"/>
  <c r="AB246" i="2"/>
  <c r="BR245" i="2"/>
  <c r="BQ245" i="2"/>
  <c r="BP245" i="2"/>
  <c r="BO245" i="2"/>
  <c r="AD245" i="2"/>
  <c r="AB245" i="2"/>
  <c r="V245" i="2"/>
  <c r="R245" i="2"/>
  <c r="P245" i="2"/>
  <c r="BR244" i="2"/>
  <c r="BQ244" i="2"/>
  <c r="BP244" i="2"/>
  <c r="BO244" i="2"/>
  <c r="AN244" i="2"/>
  <c r="AF244" i="2"/>
  <c r="R244" i="2"/>
  <c r="N244" i="2"/>
  <c r="BR243" i="2"/>
  <c r="BQ243" i="2"/>
  <c r="BP243" i="2"/>
  <c r="BO243" i="2"/>
  <c r="BD243" i="2"/>
  <c r="AN243" i="2"/>
  <c r="AJ243" i="2"/>
  <c r="AH243" i="2"/>
  <c r="X243" i="2"/>
  <c r="P243" i="2"/>
  <c r="N243" i="2"/>
  <c r="BR242" i="2"/>
  <c r="BQ242" i="2"/>
  <c r="BP242" i="2"/>
  <c r="BO242" i="2"/>
  <c r="BD242" i="2"/>
  <c r="AZ242" i="2"/>
  <c r="AX242" i="2"/>
  <c r="AR242" i="2"/>
  <c r="AP242" i="2"/>
  <c r="AF242" i="2"/>
  <c r="AB242" i="2"/>
  <c r="X242" i="2"/>
  <c r="R242" i="2"/>
  <c r="P242" i="2"/>
  <c r="BR241" i="2"/>
  <c r="BQ241" i="2"/>
  <c r="BP241" i="2"/>
  <c r="BO241" i="2"/>
  <c r="BD241" i="2"/>
  <c r="AD241" i="2"/>
  <c r="Z241" i="2"/>
  <c r="X241" i="2"/>
  <c r="BR240" i="2"/>
  <c r="BQ240" i="2"/>
  <c r="BP240" i="2"/>
  <c r="BO240" i="2"/>
  <c r="BR239" i="2"/>
  <c r="BQ239" i="2"/>
  <c r="BP239" i="2"/>
  <c r="BO239" i="2"/>
  <c r="BR238" i="2"/>
  <c r="BQ238" i="2"/>
  <c r="BP238" i="2"/>
  <c r="BO238" i="2"/>
  <c r="BD238" i="2"/>
  <c r="AR238" i="2"/>
  <c r="AP238" i="2"/>
  <c r="AH238" i="2"/>
  <c r="R238" i="2"/>
  <c r="P238" i="2"/>
  <c r="N238" i="2"/>
  <c r="BR237" i="2"/>
  <c r="BQ237" i="2"/>
  <c r="BP237" i="2"/>
  <c r="BO237" i="2"/>
  <c r="BR236" i="2"/>
  <c r="BQ236" i="2"/>
  <c r="BP236" i="2"/>
  <c r="BO236" i="2"/>
  <c r="BB236" i="2"/>
  <c r="AZ236" i="2"/>
  <c r="AX236" i="2"/>
  <c r="AR236" i="2"/>
  <c r="AP236" i="2"/>
  <c r="AN236" i="2"/>
  <c r="AL236" i="2"/>
  <c r="AF236" i="2"/>
  <c r="AB236" i="2"/>
  <c r="V236" i="2"/>
  <c r="R236" i="2"/>
  <c r="BR235" i="2"/>
  <c r="BQ235" i="2"/>
  <c r="BP235" i="2"/>
  <c r="BO235" i="2"/>
  <c r="BR234" i="2"/>
  <c r="BQ234" i="2"/>
  <c r="BP234" i="2"/>
  <c r="BO234" i="2"/>
  <c r="BD234" i="2"/>
  <c r="BR233" i="2"/>
  <c r="BQ233" i="2"/>
  <c r="BP233" i="2"/>
  <c r="BO233" i="2"/>
  <c r="AV233" i="2"/>
  <c r="AR233" i="2"/>
  <c r="AP233" i="2"/>
  <c r="AJ233" i="2"/>
  <c r="AH233" i="2"/>
  <c r="T233" i="2"/>
  <c r="R233" i="2"/>
  <c r="BR232" i="2"/>
  <c r="BQ232" i="2"/>
  <c r="BP232" i="2"/>
  <c r="BO232" i="2"/>
  <c r="AR232" i="2"/>
  <c r="AB232" i="2"/>
  <c r="BR231" i="2"/>
  <c r="BQ231" i="2"/>
  <c r="BP231" i="2"/>
  <c r="BO231" i="2"/>
  <c r="BR230" i="2"/>
  <c r="BQ230" i="2"/>
  <c r="BP230" i="2"/>
  <c r="BO230" i="2"/>
  <c r="BD230" i="2"/>
  <c r="BB230" i="2"/>
  <c r="BR229" i="2"/>
  <c r="BQ229" i="2"/>
  <c r="BP229" i="2"/>
  <c r="BO229" i="2"/>
  <c r="BD229" i="2"/>
  <c r="AX229" i="2"/>
  <c r="AR229" i="2"/>
  <c r="BR228" i="2"/>
  <c r="BQ228" i="2"/>
  <c r="BP228" i="2"/>
  <c r="BO228" i="2"/>
  <c r="BD228" i="2"/>
  <c r="AX228" i="2"/>
  <c r="AT228" i="2"/>
  <c r="AR228" i="2"/>
  <c r="AP228" i="2"/>
  <c r="AD228" i="2"/>
  <c r="X228" i="2"/>
  <c r="P228" i="2"/>
  <c r="BR227" i="2"/>
  <c r="BQ227" i="2"/>
  <c r="BP227" i="2"/>
  <c r="BO227" i="2"/>
  <c r="AT227" i="2"/>
  <c r="AH227" i="2"/>
  <c r="N227" i="2"/>
  <c r="BR226" i="2"/>
  <c r="BQ226" i="2"/>
  <c r="BP226" i="2"/>
  <c r="BO226" i="2"/>
  <c r="BB226" i="2"/>
  <c r="BR225" i="2"/>
  <c r="BQ225" i="2"/>
  <c r="BP225" i="2"/>
  <c r="BO225" i="2"/>
  <c r="AX225" i="2"/>
  <c r="AV225" i="2"/>
  <c r="V225" i="2"/>
  <c r="T225" i="2"/>
  <c r="P225" i="2"/>
  <c r="BR224" i="2"/>
  <c r="BQ224" i="2"/>
  <c r="BP224" i="2"/>
  <c r="BO224" i="2"/>
  <c r="AL224" i="2"/>
  <c r="AJ224" i="2"/>
  <c r="T224" i="2"/>
  <c r="R224" i="2"/>
  <c r="BR223" i="2"/>
  <c r="BQ223" i="2"/>
  <c r="BP223" i="2"/>
  <c r="BO223" i="2"/>
  <c r="AX223" i="2"/>
  <c r="AP223" i="2"/>
  <c r="AN223" i="2"/>
  <c r="X223" i="2"/>
  <c r="BR222" i="2"/>
  <c r="BQ222" i="2"/>
  <c r="BP222" i="2"/>
  <c r="BO222" i="2"/>
  <c r="BR221" i="2"/>
  <c r="BQ221" i="2"/>
  <c r="BP221" i="2"/>
  <c r="BO221" i="2"/>
  <c r="BD221" i="2"/>
  <c r="AL221" i="2"/>
  <c r="AD221" i="2"/>
  <c r="AB221" i="2"/>
  <c r="R221" i="2"/>
  <c r="P221" i="2"/>
  <c r="BR220" i="2"/>
  <c r="BQ220" i="2"/>
  <c r="BP220" i="2"/>
  <c r="BO220" i="2"/>
  <c r="BD220" i="2"/>
  <c r="AZ220" i="2"/>
  <c r="AR220" i="2"/>
  <c r="AN220" i="2"/>
  <c r="AH220" i="2"/>
  <c r="V220" i="2"/>
  <c r="BR219" i="2"/>
  <c r="BQ219" i="2"/>
  <c r="BP219" i="2"/>
  <c r="BO219" i="2"/>
  <c r="AT219" i="2"/>
  <c r="T219" i="2"/>
  <c r="BR218" i="2"/>
  <c r="BQ218" i="2"/>
  <c r="BP218" i="2"/>
  <c r="BO218" i="2"/>
  <c r="P218" i="2"/>
  <c r="BR217" i="2"/>
  <c r="BQ217" i="2"/>
  <c r="BP217" i="2"/>
  <c r="BO217" i="2"/>
  <c r="BR216" i="2"/>
  <c r="BQ216" i="2"/>
  <c r="BP216" i="2"/>
  <c r="BO216" i="2"/>
  <c r="AR216" i="2"/>
  <c r="AN216" i="2"/>
  <c r="AH216" i="2"/>
  <c r="AF216" i="2"/>
  <c r="AB216" i="2"/>
  <c r="X216" i="2"/>
  <c r="BR215" i="2"/>
  <c r="BQ215" i="2"/>
  <c r="BP215" i="2"/>
  <c r="BO215" i="2"/>
  <c r="BR214" i="2"/>
  <c r="BQ214" i="2"/>
  <c r="BP214" i="2"/>
  <c r="BO214" i="2"/>
  <c r="BR213" i="2"/>
  <c r="BQ213" i="2"/>
  <c r="BP213" i="2"/>
  <c r="BO213" i="2"/>
  <c r="BR212" i="2"/>
  <c r="BQ212" i="2"/>
  <c r="BP212" i="2"/>
  <c r="BO212" i="2"/>
  <c r="BR211" i="2"/>
  <c r="BQ211" i="2"/>
  <c r="BP211" i="2"/>
  <c r="BO211" i="2"/>
  <c r="BD211" i="2"/>
  <c r="BR210" i="2"/>
  <c r="BQ210" i="2"/>
  <c r="BP210" i="2"/>
  <c r="BO210" i="2"/>
  <c r="BR209" i="2"/>
  <c r="BQ209" i="2"/>
  <c r="BP209" i="2"/>
  <c r="BO209" i="2"/>
  <c r="BR208" i="2"/>
  <c r="BQ208" i="2"/>
  <c r="BP208" i="2"/>
  <c r="BO208" i="2"/>
  <c r="AR208" i="2"/>
  <c r="BR207" i="2"/>
  <c r="BQ207" i="2"/>
  <c r="BP207" i="2"/>
  <c r="BO207" i="2"/>
  <c r="AN207" i="2"/>
  <c r="AL207" i="2"/>
  <c r="AD207" i="2"/>
  <c r="X207" i="2"/>
  <c r="BR206" i="2"/>
  <c r="BQ206" i="2"/>
  <c r="BP206" i="2"/>
  <c r="BO206" i="2"/>
  <c r="AR206" i="2"/>
  <c r="AP206" i="2"/>
  <c r="AD206" i="2"/>
  <c r="BR205" i="2"/>
  <c r="BQ205" i="2"/>
  <c r="BP205" i="2"/>
  <c r="BO205" i="2"/>
  <c r="AR205" i="2"/>
  <c r="BR204" i="2"/>
  <c r="BQ204" i="2"/>
  <c r="BP204" i="2"/>
  <c r="BO204" i="2"/>
  <c r="BB204" i="2"/>
  <c r="BR203" i="2"/>
  <c r="BQ203" i="2"/>
  <c r="BP203" i="2"/>
  <c r="BO203" i="2"/>
  <c r="BR202" i="2"/>
  <c r="BQ202" i="2"/>
  <c r="BP202" i="2"/>
  <c r="BO202" i="2"/>
  <c r="AB202" i="2"/>
  <c r="BR201" i="2"/>
  <c r="BQ201" i="2"/>
  <c r="BP201" i="2"/>
  <c r="BO201" i="2"/>
  <c r="AV201" i="2"/>
  <c r="BR200" i="2"/>
  <c r="BQ200" i="2"/>
  <c r="BP200" i="2"/>
  <c r="BO200" i="2"/>
  <c r="BD200" i="2"/>
  <c r="BR199" i="2"/>
  <c r="BQ199" i="2"/>
  <c r="BP199" i="2"/>
  <c r="BO199" i="2"/>
  <c r="AT199" i="2"/>
  <c r="P199" i="2"/>
  <c r="BR198" i="2"/>
  <c r="BQ198" i="2"/>
  <c r="BP198" i="2"/>
  <c r="BO198" i="2"/>
  <c r="T198" i="2"/>
  <c r="BR197" i="2"/>
  <c r="BQ197" i="2"/>
  <c r="BP197" i="2"/>
  <c r="BO197" i="2"/>
  <c r="BD197" i="2"/>
  <c r="BB197" i="2"/>
  <c r="AN197" i="2"/>
  <c r="BR196" i="2"/>
  <c r="BQ196" i="2"/>
  <c r="BP196" i="2"/>
  <c r="BO196" i="2"/>
  <c r="AP196" i="2"/>
  <c r="Z196" i="2"/>
  <c r="BR195" i="2"/>
  <c r="BQ195" i="2"/>
  <c r="BP195" i="2"/>
  <c r="BO195" i="2"/>
  <c r="AR195" i="2"/>
  <c r="AP195" i="2"/>
  <c r="AN195" i="2"/>
  <c r="BR194" i="2"/>
  <c r="BQ194" i="2"/>
  <c r="BP194" i="2"/>
  <c r="BO194" i="2"/>
  <c r="AX194" i="2"/>
  <c r="BR193" i="2"/>
  <c r="BQ193" i="2"/>
  <c r="BP193" i="2"/>
  <c r="BO193" i="2"/>
  <c r="BR192" i="2"/>
  <c r="BQ192" i="2"/>
  <c r="BP192" i="2"/>
  <c r="BO192" i="2"/>
  <c r="BD192" i="2"/>
  <c r="BR191" i="2"/>
  <c r="BQ191" i="2"/>
  <c r="BP191" i="2"/>
  <c r="BO191" i="2"/>
  <c r="AV191" i="2"/>
  <c r="BR190" i="2"/>
  <c r="BQ190" i="2"/>
  <c r="BP190" i="2"/>
  <c r="BO190" i="2"/>
  <c r="Z190" i="2"/>
  <c r="BR189" i="2"/>
  <c r="BQ189" i="2"/>
  <c r="BP189" i="2"/>
  <c r="BO189" i="2"/>
  <c r="AR189" i="2"/>
  <c r="BR188" i="2"/>
  <c r="BQ188" i="2"/>
  <c r="BP188" i="2"/>
  <c r="BO188" i="2"/>
  <c r="BR187" i="2"/>
  <c r="BQ187" i="2"/>
  <c r="BP187" i="2"/>
  <c r="BO187" i="2"/>
  <c r="AZ187" i="2"/>
  <c r="AR187" i="2"/>
  <c r="V187" i="2"/>
  <c r="T187" i="2"/>
  <c r="BR186" i="2"/>
  <c r="BQ186" i="2"/>
  <c r="BP186" i="2"/>
  <c r="BO186" i="2"/>
  <c r="AN186" i="2"/>
  <c r="BR185" i="2"/>
  <c r="BQ185" i="2"/>
  <c r="BP185" i="2"/>
  <c r="BO185" i="2"/>
  <c r="BR184" i="2"/>
  <c r="BQ184" i="2"/>
  <c r="BP184" i="2"/>
  <c r="BO184" i="2"/>
  <c r="BR183" i="2"/>
  <c r="BQ183" i="2"/>
  <c r="BP183" i="2"/>
  <c r="BO183" i="2"/>
  <c r="BD183" i="2"/>
  <c r="AH183" i="2"/>
  <c r="AB183" i="2"/>
  <c r="BR182" i="2"/>
  <c r="BQ182" i="2"/>
  <c r="BP182" i="2"/>
  <c r="BO182" i="2"/>
  <c r="AX182" i="2"/>
  <c r="AR182" i="2"/>
  <c r="R182" i="2"/>
  <c r="BR181" i="2"/>
  <c r="BQ181" i="2"/>
  <c r="BP181" i="2"/>
  <c r="BO181" i="2"/>
  <c r="BD181" i="2"/>
  <c r="BB181" i="2"/>
  <c r="AV181" i="2"/>
  <c r="AL181" i="2"/>
  <c r="AH181" i="2"/>
  <c r="X181" i="2"/>
  <c r="P181" i="2"/>
  <c r="N181" i="2"/>
  <c r="BR180" i="2"/>
  <c r="BQ180" i="2"/>
  <c r="BP180" i="2"/>
  <c r="BO180" i="2"/>
  <c r="BD180" i="2"/>
  <c r="AF180" i="2"/>
  <c r="BR179" i="2"/>
  <c r="BQ179" i="2"/>
  <c r="BP179" i="2"/>
  <c r="BO179" i="2"/>
  <c r="AB179" i="2"/>
  <c r="BR178" i="2"/>
  <c r="BQ178" i="2"/>
  <c r="BP178" i="2"/>
  <c r="BO178" i="2"/>
  <c r="AP178" i="2"/>
  <c r="AF178" i="2"/>
  <c r="P178" i="2"/>
  <c r="BR177" i="2"/>
  <c r="BQ177" i="2"/>
  <c r="BP177" i="2"/>
  <c r="BO177" i="2"/>
  <c r="AT177" i="2"/>
  <c r="V177" i="2"/>
  <c r="T177" i="2"/>
  <c r="P177" i="2"/>
  <c r="BR176" i="2"/>
  <c r="BQ176" i="2"/>
  <c r="BP176" i="2"/>
  <c r="BO176" i="2"/>
  <c r="AP176" i="2"/>
  <c r="N176" i="2"/>
  <c r="BR175" i="2"/>
  <c r="BQ175" i="2"/>
  <c r="BP175" i="2"/>
  <c r="BO175" i="2"/>
  <c r="AX175" i="2"/>
  <c r="AV175" i="2"/>
  <c r="AR175" i="2"/>
  <c r="BR174" i="2"/>
  <c r="BQ174" i="2"/>
  <c r="BP174" i="2"/>
  <c r="BO174" i="2"/>
  <c r="AN174" i="2"/>
  <c r="BR173" i="2"/>
  <c r="BQ173" i="2"/>
  <c r="BP173" i="2"/>
  <c r="BO173" i="2"/>
  <c r="AR173" i="2"/>
  <c r="V173" i="2"/>
  <c r="BR172" i="2"/>
  <c r="BQ172" i="2"/>
  <c r="BP172" i="2"/>
  <c r="BO172" i="2"/>
  <c r="AP172" i="2"/>
  <c r="BR171" i="2"/>
  <c r="BQ171" i="2"/>
  <c r="BP171" i="2"/>
  <c r="BO171" i="2"/>
  <c r="BR170" i="2"/>
  <c r="BQ170" i="2"/>
  <c r="BP170" i="2"/>
  <c r="BO170" i="2"/>
  <c r="BB170" i="2"/>
  <c r="AR170" i="2"/>
  <c r="AN170" i="2"/>
  <c r="AJ170" i="2"/>
  <c r="AF170" i="2"/>
  <c r="AB170" i="2"/>
  <c r="T170" i="2"/>
  <c r="BR169" i="2"/>
  <c r="BQ169" i="2"/>
  <c r="BP169" i="2"/>
  <c r="BO169" i="2"/>
  <c r="BB169" i="2"/>
  <c r="AV169" i="2"/>
  <c r="AR169" i="2"/>
  <c r="AL169" i="2"/>
  <c r="AB169" i="2"/>
  <c r="BR168" i="2"/>
  <c r="BQ168" i="2"/>
  <c r="BP168" i="2"/>
  <c r="BO168" i="2"/>
  <c r="AR168" i="2"/>
  <c r="AD168" i="2"/>
  <c r="P168" i="2"/>
  <c r="BR167" i="2"/>
  <c r="BQ167" i="2"/>
  <c r="BP167" i="2"/>
  <c r="BO167" i="2"/>
  <c r="AF167" i="2"/>
  <c r="T167" i="2"/>
  <c r="BR166" i="2"/>
  <c r="BQ166" i="2"/>
  <c r="BP166" i="2"/>
  <c r="BO166" i="2"/>
  <c r="BB166" i="2"/>
  <c r="AB166" i="2"/>
  <c r="BR165" i="2"/>
  <c r="BQ165" i="2"/>
  <c r="BP165" i="2"/>
  <c r="BO165" i="2"/>
  <c r="AR165" i="2"/>
  <c r="R165" i="2"/>
  <c r="BR164" i="2"/>
  <c r="BQ164" i="2"/>
  <c r="BP164" i="2"/>
  <c r="BO164" i="2"/>
  <c r="BR163" i="2"/>
  <c r="BQ163" i="2"/>
  <c r="BP163" i="2"/>
  <c r="BO163" i="2"/>
  <c r="AV163" i="2"/>
  <c r="AN163" i="2"/>
  <c r="AL163" i="2"/>
  <c r="AB163" i="2"/>
  <c r="T163" i="2"/>
  <c r="BR162" i="2"/>
  <c r="BQ162" i="2"/>
  <c r="BP162" i="2"/>
  <c r="BO162" i="2"/>
  <c r="AZ162" i="2"/>
  <c r="AR162" i="2"/>
  <c r="BR161" i="2"/>
  <c r="BQ161" i="2"/>
  <c r="BP161" i="2"/>
  <c r="BO161" i="2"/>
  <c r="T161" i="2"/>
  <c r="BR160" i="2"/>
  <c r="BQ160" i="2"/>
  <c r="BP160" i="2"/>
  <c r="BO160" i="2"/>
  <c r="AL160" i="2"/>
  <c r="T160" i="2"/>
  <c r="BR159" i="2"/>
  <c r="BQ159" i="2"/>
  <c r="BP159" i="2"/>
  <c r="BO159" i="2"/>
  <c r="BD159" i="2"/>
  <c r="AX159" i="2"/>
  <c r="AL159" i="2"/>
  <c r="AD159" i="2"/>
  <c r="T159" i="2"/>
  <c r="BR158" i="2"/>
  <c r="BQ158" i="2"/>
  <c r="BP158" i="2"/>
  <c r="BO158" i="2"/>
  <c r="AD158" i="2"/>
  <c r="V158" i="2"/>
  <c r="BR157" i="2"/>
  <c r="BQ157" i="2"/>
  <c r="BP157" i="2"/>
  <c r="BO157" i="2"/>
  <c r="AX157" i="2"/>
  <c r="AR157" i="2"/>
  <c r="BR156" i="2"/>
  <c r="BQ156" i="2"/>
  <c r="BP156" i="2"/>
  <c r="BO156" i="2"/>
  <c r="AT156" i="2"/>
  <c r="BR155" i="2"/>
  <c r="BQ155" i="2"/>
  <c r="BP155" i="2"/>
  <c r="BO155" i="2"/>
  <c r="BD155" i="2"/>
  <c r="AR155" i="2"/>
  <c r="BR154" i="2"/>
  <c r="BQ154" i="2"/>
  <c r="BP154" i="2"/>
  <c r="BO154" i="2"/>
  <c r="BB154" i="2"/>
  <c r="AB154" i="2"/>
  <c r="BR153" i="2"/>
  <c r="BQ153" i="2"/>
  <c r="BP153" i="2"/>
  <c r="BO153" i="2"/>
  <c r="AZ153" i="2"/>
  <c r="AV153" i="2"/>
  <c r="AT153" i="2"/>
  <c r="BR152" i="2"/>
  <c r="BQ152" i="2"/>
  <c r="BP152" i="2"/>
  <c r="BO152" i="2"/>
  <c r="X152" i="2"/>
  <c r="BR151" i="2"/>
  <c r="BQ151" i="2"/>
  <c r="BP151" i="2"/>
  <c r="BO151" i="2"/>
  <c r="AL151" i="2"/>
  <c r="AD151" i="2"/>
  <c r="BR150" i="2"/>
  <c r="BQ150" i="2"/>
  <c r="BP150" i="2"/>
  <c r="BO150" i="2"/>
  <c r="BB150" i="2"/>
  <c r="AR150" i="2"/>
  <c r="BR149" i="2"/>
  <c r="BQ149" i="2"/>
  <c r="BP149" i="2"/>
  <c r="BO149" i="2"/>
  <c r="AF149" i="2"/>
  <c r="AD149" i="2"/>
  <c r="BR148" i="2"/>
  <c r="BQ148" i="2"/>
  <c r="BP148" i="2"/>
  <c r="BO148" i="2"/>
  <c r="BR147" i="2"/>
  <c r="BQ147" i="2"/>
  <c r="BP147" i="2"/>
  <c r="BO147" i="2"/>
  <c r="BD147" i="2"/>
  <c r="AD147" i="2"/>
  <c r="BR146" i="2"/>
  <c r="BQ146" i="2"/>
  <c r="BP146" i="2"/>
  <c r="BO146" i="2"/>
  <c r="BD146" i="2"/>
  <c r="AV146" i="2"/>
  <c r="AT146" i="2"/>
  <c r="Z146" i="2"/>
  <c r="P146" i="2"/>
  <c r="BR145" i="2"/>
  <c r="BQ145" i="2"/>
  <c r="BP145" i="2"/>
  <c r="BO145" i="2"/>
  <c r="BR144" i="2"/>
  <c r="BQ144" i="2"/>
  <c r="BP144" i="2"/>
  <c r="BO144" i="2"/>
  <c r="AR144" i="2"/>
  <c r="BR143" i="2"/>
  <c r="BQ143" i="2"/>
  <c r="BP143" i="2"/>
  <c r="BO143" i="2"/>
  <c r="AV143" i="2"/>
  <c r="AR143" i="2"/>
  <c r="BR142" i="2"/>
  <c r="BQ142" i="2"/>
  <c r="BP142" i="2"/>
  <c r="BO142" i="2"/>
  <c r="BD142" i="2"/>
  <c r="AR142" i="2"/>
  <c r="AN142" i="2"/>
  <c r="AD142" i="2"/>
  <c r="AB142" i="2"/>
  <c r="T142" i="2"/>
  <c r="N142" i="2"/>
  <c r="BR141" i="2"/>
  <c r="BQ141" i="2"/>
  <c r="BP141" i="2"/>
  <c r="BO141" i="2"/>
  <c r="AP141" i="2"/>
  <c r="AB141" i="2"/>
  <c r="X141" i="2"/>
  <c r="R141" i="2"/>
  <c r="N141" i="2"/>
  <c r="BR140" i="2"/>
  <c r="BQ140" i="2"/>
  <c r="BP140" i="2"/>
  <c r="BO140" i="2"/>
  <c r="AX140" i="2"/>
  <c r="Z140" i="2"/>
  <c r="BR139" i="2"/>
  <c r="BQ139" i="2"/>
  <c r="BP139" i="2"/>
  <c r="BO139" i="2"/>
  <c r="AN139" i="2"/>
  <c r="AF139" i="2"/>
  <c r="AB139" i="2"/>
  <c r="Z139" i="2"/>
  <c r="V139" i="2"/>
  <c r="BR138" i="2"/>
  <c r="BQ138" i="2"/>
  <c r="BP138" i="2"/>
  <c r="BO138" i="2"/>
  <c r="BD138" i="2"/>
  <c r="BB138" i="2"/>
  <c r="AX138" i="2"/>
  <c r="AV138" i="2"/>
  <c r="AT138" i="2"/>
  <c r="AP138" i="2"/>
  <c r="AN138" i="2"/>
  <c r="AL138" i="2"/>
  <c r="AH138" i="2"/>
  <c r="AF138" i="2"/>
  <c r="AB138" i="2"/>
  <c r="Z138" i="2"/>
  <c r="T138" i="2"/>
  <c r="R138" i="2"/>
  <c r="BR137" i="2"/>
  <c r="BQ137" i="2"/>
  <c r="BP137" i="2"/>
  <c r="BO137" i="2"/>
  <c r="AZ137" i="2"/>
  <c r="AV137" i="2"/>
  <c r="AR137" i="2"/>
  <c r="AN137" i="2"/>
  <c r="AL137" i="2"/>
  <c r="Z137" i="2"/>
  <c r="BR136" i="2"/>
  <c r="BQ136" i="2"/>
  <c r="BP136" i="2"/>
  <c r="BO136" i="2"/>
  <c r="BB136" i="2"/>
  <c r="AZ136" i="2"/>
  <c r="AX136" i="2"/>
  <c r="AV136" i="2"/>
  <c r="AT136" i="2"/>
  <c r="AR136" i="2"/>
  <c r="AN136" i="2"/>
  <c r="AJ136" i="2"/>
  <c r="AH136" i="2"/>
  <c r="AF136" i="2"/>
  <c r="Z136" i="2"/>
  <c r="X136" i="2"/>
  <c r="V136" i="2"/>
  <c r="T136" i="2"/>
  <c r="P136" i="2"/>
  <c r="BR135" i="2"/>
  <c r="BQ135" i="2"/>
  <c r="BP135" i="2"/>
  <c r="BO135" i="2"/>
  <c r="AR135" i="2"/>
  <c r="BR134" i="2"/>
  <c r="BQ134" i="2"/>
  <c r="BP134" i="2"/>
  <c r="BO134" i="2"/>
  <c r="AZ134" i="2"/>
  <c r="AT134" i="2"/>
  <c r="AP134" i="2"/>
  <c r="AN134" i="2"/>
  <c r="X134" i="2"/>
  <c r="R134" i="2"/>
  <c r="N134" i="2"/>
  <c r="BR133" i="2"/>
  <c r="BQ133" i="2"/>
  <c r="BP133" i="2"/>
  <c r="BO133" i="2"/>
  <c r="BB133" i="2"/>
  <c r="AR133" i="2"/>
  <c r="Z133" i="2"/>
  <c r="V133" i="2"/>
  <c r="N133" i="2"/>
  <c r="BR132" i="2"/>
  <c r="BQ132" i="2"/>
  <c r="BP132" i="2"/>
  <c r="BO132" i="2"/>
  <c r="BR131" i="2"/>
  <c r="BQ131" i="2"/>
  <c r="BP131" i="2"/>
  <c r="BO131" i="2"/>
  <c r="BD131" i="2"/>
  <c r="AZ131" i="2"/>
  <c r="AV131" i="2"/>
  <c r="AR131" i="2"/>
  <c r="AP131" i="2"/>
  <c r="AN131" i="2"/>
  <c r="V131" i="2"/>
  <c r="BR130" i="2"/>
  <c r="BQ130" i="2"/>
  <c r="BP130" i="2"/>
  <c r="BO130" i="2"/>
  <c r="BD130" i="2"/>
  <c r="AH130" i="2"/>
  <c r="BR129" i="2"/>
  <c r="BQ129" i="2"/>
  <c r="BP129" i="2"/>
  <c r="BO129" i="2"/>
  <c r="BD129" i="2"/>
  <c r="AZ129" i="2"/>
  <c r="AT129" i="2"/>
  <c r="AJ129" i="2"/>
  <c r="X129" i="2"/>
  <c r="T129" i="2"/>
  <c r="N129" i="2"/>
  <c r="BR128" i="2"/>
  <c r="BQ128" i="2"/>
  <c r="BP128" i="2"/>
  <c r="BO128" i="2"/>
  <c r="T128" i="2"/>
  <c r="BR127" i="2"/>
  <c r="BQ127" i="2"/>
  <c r="BP127" i="2"/>
  <c r="BO127" i="2"/>
  <c r="AN127" i="2"/>
  <c r="AF127" i="2"/>
  <c r="AD127" i="2"/>
  <c r="V127" i="2"/>
  <c r="T127" i="2"/>
  <c r="R127" i="2"/>
  <c r="P127" i="2"/>
  <c r="BR126" i="2"/>
  <c r="BQ126" i="2"/>
  <c r="BP126" i="2"/>
  <c r="BO126" i="2"/>
  <c r="BD126" i="2"/>
  <c r="BB126" i="2"/>
  <c r="AZ126" i="2"/>
  <c r="AR126" i="2"/>
  <c r="AN126" i="2"/>
  <c r="AB126" i="2"/>
  <c r="T126" i="2"/>
  <c r="P126" i="2"/>
  <c r="BR125" i="2"/>
  <c r="BQ125" i="2"/>
  <c r="BP125" i="2"/>
  <c r="BO125" i="2"/>
  <c r="AT125" i="2"/>
  <c r="AP125" i="2"/>
  <c r="AH125" i="2"/>
  <c r="N125" i="2"/>
  <c r="BR124" i="2"/>
  <c r="BQ124" i="2"/>
  <c r="BP124" i="2"/>
  <c r="BO124" i="2"/>
  <c r="BD124" i="2"/>
  <c r="BB124" i="2"/>
  <c r="AX124" i="2"/>
  <c r="AT124" i="2"/>
  <c r="BR123" i="2"/>
  <c r="BQ123" i="2"/>
  <c r="BP123" i="2"/>
  <c r="BO123" i="2"/>
  <c r="BB123" i="2"/>
  <c r="AN123" i="2"/>
  <c r="AD123" i="2"/>
  <c r="N123" i="2"/>
  <c r="BR122" i="2"/>
  <c r="BQ122" i="2"/>
  <c r="BP122" i="2"/>
  <c r="BO122" i="2"/>
  <c r="BR121" i="2"/>
  <c r="BQ121" i="2"/>
  <c r="BP121" i="2"/>
  <c r="BO121" i="2"/>
  <c r="AH121" i="2"/>
  <c r="P121" i="2"/>
  <c r="BR120" i="2"/>
  <c r="BQ120" i="2"/>
  <c r="BP120" i="2"/>
  <c r="BO120" i="2"/>
  <c r="AR120" i="2"/>
  <c r="AD120" i="2"/>
  <c r="N120" i="2"/>
  <c r="BR119" i="2"/>
  <c r="BQ119" i="2"/>
  <c r="BP119" i="2"/>
  <c r="BO119" i="2"/>
  <c r="AT119" i="2"/>
  <c r="BR118" i="2"/>
  <c r="BQ118" i="2"/>
  <c r="BP118" i="2"/>
  <c r="BO118" i="2"/>
  <c r="AR118" i="2"/>
  <c r="AN118" i="2"/>
  <c r="AF118" i="2"/>
  <c r="BR117" i="2"/>
  <c r="BQ117" i="2"/>
  <c r="BP117" i="2"/>
  <c r="BO117" i="2"/>
  <c r="AT117" i="2"/>
  <c r="Z117" i="2"/>
  <c r="BR116" i="2"/>
  <c r="BQ116" i="2"/>
  <c r="BP116" i="2"/>
  <c r="BO116" i="2"/>
  <c r="AN116" i="2"/>
  <c r="AL116" i="2"/>
  <c r="Z116" i="2"/>
  <c r="BR115" i="2"/>
  <c r="BQ115" i="2"/>
  <c r="BP115" i="2"/>
  <c r="BO115" i="2"/>
  <c r="BR114" i="2"/>
  <c r="BQ114" i="2"/>
  <c r="BP114" i="2"/>
  <c r="BO114" i="2"/>
  <c r="BR113" i="2"/>
  <c r="BQ113" i="2"/>
  <c r="BP113" i="2"/>
  <c r="BO113" i="2"/>
  <c r="BR112" i="2"/>
  <c r="BQ112" i="2"/>
  <c r="BP112" i="2"/>
  <c r="BO112" i="2"/>
  <c r="V112" i="2"/>
  <c r="T112" i="2"/>
  <c r="BR111" i="2"/>
  <c r="BQ111" i="2"/>
  <c r="BP111" i="2"/>
  <c r="BO111" i="2"/>
  <c r="BR110" i="2"/>
  <c r="BQ110" i="2"/>
  <c r="BP110" i="2"/>
  <c r="BO110" i="2"/>
  <c r="BB110" i="2"/>
  <c r="BR109" i="2"/>
  <c r="BQ109" i="2"/>
  <c r="BP109" i="2"/>
  <c r="BO109" i="2"/>
  <c r="AZ109" i="2"/>
  <c r="AX109" i="2"/>
  <c r="AF109" i="2"/>
  <c r="V109" i="2"/>
  <c r="R109" i="2"/>
  <c r="BR108" i="2"/>
  <c r="BQ108" i="2"/>
  <c r="BP108" i="2"/>
  <c r="BO108" i="2"/>
  <c r="BR107" i="2"/>
  <c r="BQ107" i="2"/>
  <c r="BP107" i="2"/>
  <c r="BO107" i="2"/>
  <c r="BD107" i="2"/>
  <c r="T107" i="2"/>
  <c r="BR106" i="2"/>
  <c r="BQ106" i="2"/>
  <c r="BP106" i="2"/>
  <c r="BO106" i="2"/>
  <c r="AR106" i="2"/>
  <c r="AP106" i="2"/>
  <c r="AN106" i="2"/>
  <c r="AL106" i="2"/>
  <c r="AJ106" i="2"/>
  <c r="AH106" i="2"/>
  <c r="AB106" i="2"/>
  <c r="Z106" i="2"/>
  <c r="V106" i="2"/>
  <c r="N106" i="2"/>
  <c r="BR105" i="2"/>
  <c r="BQ105" i="2"/>
  <c r="BP105" i="2"/>
  <c r="BO105" i="2"/>
  <c r="BR104" i="2"/>
  <c r="BQ104" i="2"/>
  <c r="BP104" i="2"/>
  <c r="BO104" i="2"/>
  <c r="BR103" i="2"/>
  <c r="BQ103" i="2"/>
  <c r="BP103" i="2"/>
  <c r="BO103" i="2"/>
  <c r="AX103" i="2"/>
  <c r="AV103" i="2"/>
  <c r="AT103" i="2"/>
  <c r="AP103" i="2"/>
  <c r="AN103" i="2"/>
  <c r="AH103" i="2"/>
  <c r="AB103" i="2"/>
  <c r="Z103" i="2"/>
  <c r="X103" i="2"/>
  <c r="V103" i="2"/>
  <c r="R103" i="2"/>
  <c r="N103" i="2"/>
  <c r="BR102" i="2"/>
  <c r="BQ102" i="2"/>
  <c r="BP102" i="2"/>
  <c r="BO102" i="2"/>
  <c r="AH102" i="2"/>
  <c r="BR101" i="2"/>
  <c r="BQ101" i="2"/>
  <c r="BP101" i="2"/>
  <c r="BO101" i="2"/>
  <c r="BD101" i="2"/>
  <c r="AL101" i="2"/>
  <c r="AJ101" i="2"/>
  <c r="V101" i="2"/>
  <c r="BR100" i="2"/>
  <c r="BQ100" i="2"/>
  <c r="BP100" i="2"/>
  <c r="BO100" i="2"/>
  <c r="AH100" i="2"/>
  <c r="BR99" i="2"/>
  <c r="BQ99" i="2"/>
  <c r="BP99" i="2"/>
  <c r="BO99" i="2"/>
  <c r="Z99" i="2"/>
  <c r="BR98" i="2"/>
  <c r="BQ98" i="2"/>
  <c r="BP98" i="2"/>
  <c r="BO98" i="2"/>
  <c r="AZ98" i="2"/>
  <c r="P98" i="2"/>
  <c r="BR97" i="2"/>
  <c r="BQ97" i="2"/>
  <c r="BP97" i="2"/>
  <c r="BO97" i="2"/>
  <c r="BR96" i="2"/>
  <c r="BQ96" i="2"/>
  <c r="BP96" i="2"/>
  <c r="BO96" i="2"/>
  <c r="BB96" i="2"/>
  <c r="AZ96" i="2"/>
  <c r="AR96" i="2"/>
  <c r="BR95" i="2"/>
  <c r="BQ95" i="2"/>
  <c r="BP95" i="2"/>
  <c r="BO95" i="2"/>
  <c r="BR94" i="2"/>
  <c r="BQ94" i="2"/>
  <c r="BP94" i="2"/>
  <c r="BO94" i="2"/>
  <c r="AX94" i="2"/>
  <c r="AV94" i="2"/>
  <c r="AR94" i="2"/>
  <c r="AL94" i="2"/>
  <c r="BR93" i="2"/>
  <c r="BQ93" i="2"/>
  <c r="BP93" i="2"/>
  <c r="BO93" i="2"/>
  <c r="BB93" i="2"/>
  <c r="AZ93" i="2"/>
  <c r="AV93" i="2"/>
  <c r="AR93" i="2"/>
  <c r="AJ93" i="2"/>
  <c r="AF93" i="2"/>
  <c r="V93" i="2"/>
  <c r="BR92" i="2"/>
  <c r="BQ92" i="2"/>
  <c r="BP92" i="2"/>
  <c r="BO92" i="2"/>
  <c r="BD92" i="2"/>
  <c r="AZ92" i="2"/>
  <c r="AX92" i="2"/>
  <c r="AV92" i="2"/>
  <c r="AR92" i="2"/>
  <c r="AN92" i="2"/>
  <c r="AB92" i="2"/>
  <c r="N92" i="2"/>
  <c r="BR91" i="2"/>
  <c r="BQ91" i="2"/>
  <c r="BP91" i="2"/>
  <c r="BO91" i="2"/>
  <c r="AV91" i="2"/>
  <c r="AR91" i="2"/>
  <c r="AN91" i="2"/>
  <c r="BR90" i="2"/>
  <c r="BQ90" i="2"/>
  <c r="BP90" i="2"/>
  <c r="BO90" i="2"/>
  <c r="AX90" i="2"/>
  <c r="AH90" i="2"/>
  <c r="AF90" i="2"/>
  <c r="BR89" i="2"/>
  <c r="BQ89" i="2"/>
  <c r="BP89" i="2"/>
  <c r="BO89" i="2"/>
  <c r="AX89" i="2"/>
  <c r="AP89" i="2"/>
  <c r="T89" i="2"/>
  <c r="BR88" i="2"/>
  <c r="BQ88" i="2"/>
  <c r="BP88" i="2"/>
  <c r="BO88" i="2"/>
  <c r="BB88" i="2"/>
  <c r="AR88" i="2"/>
  <c r="AL88" i="2"/>
  <c r="AF88" i="2"/>
  <c r="Z88" i="2"/>
  <c r="T88" i="2"/>
  <c r="P88" i="2"/>
  <c r="N88" i="2"/>
  <c r="BR87" i="2"/>
  <c r="BQ87" i="2"/>
  <c r="BP87" i="2"/>
  <c r="BO87" i="2"/>
  <c r="BD87" i="2"/>
  <c r="AZ87" i="2"/>
  <c r="AX87" i="2"/>
  <c r="AT87" i="2"/>
  <c r="AR87" i="2"/>
  <c r="AP87" i="2"/>
  <c r="AN87" i="2"/>
  <c r="AL87" i="2"/>
  <c r="AF87" i="2"/>
  <c r="AB87" i="2"/>
  <c r="R87" i="2"/>
  <c r="P87" i="2"/>
  <c r="BR86" i="2"/>
  <c r="BQ86" i="2"/>
  <c r="BP86" i="2"/>
  <c r="BO86" i="2"/>
  <c r="BD86" i="2"/>
  <c r="BB86" i="2"/>
  <c r="AT86" i="2"/>
  <c r="AH86" i="2"/>
  <c r="AB86" i="2"/>
  <c r="BR85" i="2"/>
  <c r="BQ85" i="2"/>
  <c r="BP85" i="2"/>
  <c r="BO85" i="2"/>
  <c r="BB85" i="2"/>
  <c r="AX85" i="2"/>
  <c r="BR84" i="2"/>
  <c r="BQ84" i="2"/>
  <c r="BP84" i="2"/>
  <c r="BO84" i="2"/>
  <c r="BB84" i="2"/>
  <c r="AX84" i="2"/>
  <c r="AT84" i="2"/>
  <c r="AN84" i="2"/>
  <c r="AJ84" i="2"/>
  <c r="AH84" i="2"/>
  <c r="AF84" i="2"/>
  <c r="BR83" i="2"/>
  <c r="BQ83" i="2"/>
  <c r="BP83" i="2"/>
  <c r="BO83" i="2"/>
  <c r="BD83" i="2"/>
  <c r="AP83" i="2"/>
  <c r="X83" i="2"/>
  <c r="N83" i="2"/>
  <c r="BR82" i="2"/>
  <c r="BQ82" i="2"/>
  <c r="BP82" i="2"/>
  <c r="BO82" i="2"/>
  <c r="AD82" i="2"/>
  <c r="BR81" i="2"/>
  <c r="BQ81" i="2"/>
  <c r="BP81" i="2"/>
  <c r="BO81" i="2"/>
  <c r="AR81" i="2"/>
  <c r="AJ81" i="2"/>
  <c r="V81" i="2"/>
  <c r="BR80" i="2"/>
  <c r="BQ80" i="2"/>
  <c r="BP80" i="2"/>
  <c r="BO80" i="2"/>
  <c r="T80" i="2"/>
  <c r="BR79" i="2"/>
  <c r="BQ79" i="2"/>
  <c r="BP79" i="2"/>
  <c r="BO79" i="2"/>
  <c r="BR78" i="2"/>
  <c r="BQ78" i="2"/>
  <c r="BP78" i="2"/>
  <c r="BO78" i="2"/>
  <c r="BR77" i="2"/>
  <c r="BQ77" i="2"/>
  <c r="BP77" i="2"/>
  <c r="BO77" i="2"/>
  <c r="AL77" i="2"/>
  <c r="BR76" i="2"/>
  <c r="BQ76" i="2"/>
  <c r="BP76" i="2"/>
  <c r="BO76" i="2"/>
  <c r="BR75" i="2"/>
  <c r="BQ75" i="2"/>
  <c r="BP75" i="2"/>
  <c r="BO75" i="2"/>
  <c r="AT75" i="2"/>
  <c r="BR74" i="2"/>
  <c r="BQ74" i="2"/>
  <c r="BP74" i="2"/>
  <c r="BO74" i="2"/>
  <c r="AF74" i="2"/>
  <c r="BR73" i="2"/>
  <c r="BQ73" i="2"/>
  <c r="BP73" i="2"/>
  <c r="BO73" i="2"/>
  <c r="BR72" i="2"/>
  <c r="BQ72" i="2"/>
  <c r="BP72" i="2"/>
  <c r="BO72" i="2"/>
  <c r="BR71" i="2"/>
  <c r="BQ71" i="2"/>
  <c r="BP71" i="2"/>
  <c r="BO71" i="2"/>
  <c r="AN71" i="2"/>
  <c r="BR70" i="2"/>
  <c r="BQ70" i="2"/>
  <c r="BP70" i="2"/>
  <c r="BO70" i="2"/>
  <c r="X70" i="2"/>
  <c r="BR69" i="2"/>
  <c r="BQ69" i="2"/>
  <c r="BP69" i="2"/>
  <c r="BO69" i="2"/>
  <c r="AZ69" i="2"/>
  <c r="AX69" i="2"/>
  <c r="AB69" i="2"/>
  <c r="Z69" i="2"/>
  <c r="R69" i="2"/>
  <c r="N69" i="2"/>
  <c r="BR68" i="2"/>
  <c r="BQ68" i="2"/>
  <c r="BP68" i="2"/>
  <c r="BO68" i="2"/>
  <c r="BB68" i="2"/>
  <c r="R68" i="2"/>
  <c r="BR67" i="2"/>
  <c r="BQ67" i="2"/>
  <c r="BP67" i="2"/>
  <c r="BO67" i="2"/>
  <c r="BR66" i="2"/>
  <c r="BQ66" i="2"/>
  <c r="BP66" i="2"/>
  <c r="BO66" i="2"/>
  <c r="BB66" i="2"/>
  <c r="BR65" i="2"/>
  <c r="BQ65" i="2"/>
  <c r="BP65" i="2"/>
  <c r="BO65" i="2"/>
  <c r="AH65" i="2"/>
  <c r="AF65" i="2"/>
  <c r="Z65" i="2"/>
  <c r="P65" i="2"/>
  <c r="BR64" i="2"/>
  <c r="BQ64" i="2"/>
  <c r="BP64" i="2"/>
  <c r="BO64" i="2"/>
  <c r="AR64" i="2"/>
  <c r="BR63" i="2"/>
  <c r="BQ63" i="2"/>
  <c r="BP63" i="2"/>
  <c r="BO63" i="2"/>
  <c r="AF63" i="2"/>
  <c r="V63" i="2"/>
  <c r="T63" i="2"/>
  <c r="BR62" i="2"/>
  <c r="BQ62" i="2"/>
  <c r="BP62" i="2"/>
  <c r="BO62" i="2"/>
  <c r="BB62" i="2"/>
  <c r="AZ62" i="2"/>
  <c r="AP62" i="2"/>
  <c r="AH62" i="2"/>
  <c r="AB62" i="2"/>
  <c r="X62" i="2"/>
  <c r="V62" i="2"/>
  <c r="T62" i="2"/>
  <c r="BR61" i="2"/>
  <c r="BQ61" i="2"/>
  <c r="BP61" i="2"/>
  <c r="BO61" i="2"/>
  <c r="BD61" i="2"/>
  <c r="BB61" i="2"/>
  <c r="AB61" i="2"/>
  <c r="Z61" i="2"/>
  <c r="BR60" i="2"/>
  <c r="BQ60" i="2"/>
  <c r="BP60" i="2"/>
  <c r="BO60" i="2"/>
  <c r="AR60" i="2"/>
  <c r="X60" i="2"/>
  <c r="BR59" i="2"/>
  <c r="BQ59" i="2"/>
  <c r="BP59" i="2"/>
  <c r="BO59" i="2"/>
  <c r="AT59" i="2"/>
  <c r="AH59" i="2"/>
  <c r="BR58" i="2"/>
  <c r="BQ58" i="2"/>
  <c r="BP58" i="2"/>
  <c r="BO58" i="2"/>
  <c r="BD58" i="2"/>
  <c r="AX58" i="2"/>
  <c r="AT58" i="2"/>
  <c r="AP58" i="2"/>
  <c r="AB58" i="2"/>
  <c r="Z58" i="2"/>
  <c r="V58" i="2"/>
  <c r="P58" i="2"/>
  <c r="BR57" i="2"/>
  <c r="BQ57" i="2"/>
  <c r="BP57" i="2"/>
  <c r="BO57" i="2"/>
  <c r="BD57" i="2"/>
  <c r="AR57" i="2"/>
  <c r="AD57" i="2"/>
  <c r="BR56" i="2"/>
  <c r="BQ56" i="2"/>
  <c r="BP56" i="2"/>
  <c r="BO56" i="2"/>
  <c r="BB56" i="2"/>
  <c r="AZ56" i="2"/>
  <c r="AR56" i="2"/>
  <c r="X56" i="2"/>
  <c r="BR55" i="2"/>
  <c r="BQ55" i="2"/>
  <c r="BP55" i="2"/>
  <c r="BO55" i="2"/>
  <c r="BD55" i="2"/>
  <c r="BB55" i="2"/>
  <c r="AV55" i="2"/>
  <c r="AT55" i="2"/>
  <c r="AR55" i="2"/>
  <c r="AP55" i="2"/>
  <c r="AL55" i="2"/>
  <c r="AJ55" i="2"/>
  <c r="AH55" i="2"/>
  <c r="AF55" i="2"/>
  <c r="AB55" i="2"/>
  <c r="Z55" i="2"/>
  <c r="X55" i="2"/>
  <c r="V55" i="2"/>
  <c r="N55" i="2"/>
  <c r="BR54" i="2"/>
  <c r="BQ54" i="2"/>
  <c r="BP54" i="2"/>
  <c r="BO54" i="2"/>
  <c r="AP54" i="2"/>
  <c r="AD54" i="2"/>
  <c r="Z54" i="2"/>
  <c r="X54" i="2"/>
  <c r="N54" i="2"/>
  <c r="BR53" i="2"/>
  <c r="BQ53" i="2"/>
  <c r="BP53" i="2"/>
  <c r="BO53" i="2"/>
  <c r="X53" i="2"/>
  <c r="T53" i="2"/>
  <c r="BR52" i="2"/>
  <c r="BQ52" i="2"/>
  <c r="BP52" i="2"/>
  <c r="BO52" i="2"/>
  <c r="AV52" i="2"/>
  <c r="AN52" i="2"/>
  <c r="AD52" i="2"/>
  <c r="R52" i="2"/>
  <c r="BR51" i="2"/>
  <c r="BQ51" i="2"/>
  <c r="BP51" i="2"/>
  <c r="BO51" i="2"/>
  <c r="AZ51" i="2"/>
  <c r="AR51" i="2"/>
  <c r="AF51" i="2"/>
  <c r="AB51" i="2"/>
  <c r="V51" i="2"/>
  <c r="BR50" i="2"/>
  <c r="BQ50" i="2"/>
  <c r="BP50" i="2"/>
  <c r="BO50" i="2"/>
  <c r="BD50" i="2"/>
  <c r="AT50" i="2"/>
  <c r="AR50" i="2"/>
  <c r="AP50" i="2"/>
  <c r="AN50" i="2"/>
  <c r="AL50" i="2"/>
  <c r="AJ50" i="2"/>
  <c r="AF50" i="2"/>
  <c r="AD50" i="2"/>
  <c r="AB50" i="2"/>
  <c r="N50" i="2"/>
  <c r="BR49" i="2"/>
  <c r="BQ49" i="2"/>
  <c r="BP49" i="2"/>
  <c r="BO49" i="2"/>
  <c r="BD49" i="2"/>
  <c r="AP49" i="2"/>
  <c r="BR48" i="2"/>
  <c r="BQ48" i="2"/>
  <c r="BP48" i="2"/>
  <c r="BO48" i="2"/>
  <c r="AR48" i="2"/>
  <c r="BR47" i="2"/>
  <c r="BQ47" i="2"/>
  <c r="BP47" i="2"/>
  <c r="BO47" i="2"/>
  <c r="BR46" i="2"/>
  <c r="BQ46" i="2"/>
  <c r="BP46" i="2"/>
  <c r="BO46" i="2"/>
  <c r="BR45" i="2"/>
  <c r="BQ45" i="2"/>
  <c r="BP45" i="2"/>
  <c r="BO45" i="2"/>
  <c r="AX45" i="2"/>
  <c r="BR44" i="2"/>
  <c r="BQ44" i="2"/>
  <c r="BP44" i="2"/>
  <c r="BO44" i="2"/>
  <c r="AL44" i="2"/>
  <c r="P44" i="2"/>
  <c r="BR43" i="2"/>
  <c r="BQ43" i="2"/>
  <c r="BP43" i="2"/>
  <c r="BO43" i="2"/>
  <c r="BD43" i="2"/>
  <c r="AZ43" i="2"/>
  <c r="AN43" i="2"/>
  <c r="AJ43" i="2"/>
  <c r="AH43" i="2"/>
  <c r="AB43" i="2"/>
  <c r="Z43" i="2"/>
  <c r="BR42" i="2"/>
  <c r="BQ42" i="2"/>
  <c r="BP42" i="2"/>
  <c r="BO42" i="2"/>
  <c r="AR42" i="2"/>
  <c r="AP42" i="2"/>
  <c r="BR41" i="2"/>
  <c r="BQ41" i="2"/>
  <c r="BP41" i="2"/>
  <c r="BO41" i="2"/>
  <c r="AP41" i="2"/>
  <c r="AF41" i="2"/>
  <c r="BR40" i="2"/>
  <c r="BQ40" i="2"/>
  <c r="BP40" i="2"/>
  <c r="BO40" i="2"/>
  <c r="AV40" i="2"/>
  <c r="AL40" i="2"/>
  <c r="AF40" i="2"/>
  <c r="V40" i="2"/>
  <c r="T40" i="2"/>
  <c r="N40" i="2"/>
  <c r="BR39" i="2"/>
  <c r="BQ39" i="2"/>
  <c r="BP39" i="2"/>
  <c r="BO39" i="2"/>
  <c r="BR38" i="2"/>
  <c r="BQ38" i="2"/>
  <c r="BP38" i="2"/>
  <c r="BO38" i="2"/>
  <c r="BR37" i="2"/>
  <c r="BQ37" i="2"/>
  <c r="BP37" i="2"/>
  <c r="BO37" i="2"/>
  <c r="BR36" i="2"/>
  <c r="BQ36" i="2"/>
  <c r="BP36" i="2"/>
  <c r="BO36" i="2"/>
  <c r="BD36" i="2"/>
  <c r="BB36" i="2"/>
  <c r="AZ36" i="2"/>
  <c r="AX36" i="2"/>
  <c r="AV36" i="2"/>
  <c r="AN36" i="2"/>
  <c r="AH36" i="2"/>
  <c r="AF36" i="2"/>
  <c r="Z36" i="2"/>
  <c r="X36" i="2"/>
  <c r="V36" i="2"/>
  <c r="R36" i="2"/>
  <c r="P36" i="2"/>
  <c r="N36" i="2"/>
  <c r="BR35" i="2"/>
  <c r="BQ35" i="2"/>
  <c r="BP35" i="2"/>
  <c r="BO35" i="2"/>
  <c r="BD35" i="2"/>
  <c r="AV35" i="2"/>
  <c r="BR34" i="2"/>
  <c r="BQ34" i="2"/>
  <c r="BP34" i="2"/>
  <c r="BO34" i="2"/>
  <c r="AR34" i="2"/>
  <c r="BR33" i="2"/>
  <c r="BQ33" i="2"/>
  <c r="BP33" i="2"/>
  <c r="BO33" i="2"/>
  <c r="AV33" i="2"/>
  <c r="AD33" i="2"/>
  <c r="BR32" i="2"/>
  <c r="BQ32" i="2"/>
  <c r="BP32" i="2"/>
  <c r="BO32" i="2"/>
  <c r="AZ32" i="2"/>
  <c r="AX32" i="2"/>
  <c r="AV32" i="2"/>
  <c r="AT32" i="2"/>
  <c r="AP32" i="2"/>
  <c r="AH32" i="2"/>
  <c r="AF32" i="2"/>
  <c r="AD32" i="2"/>
  <c r="AB32" i="2"/>
  <c r="X32" i="2"/>
  <c r="V32" i="2"/>
  <c r="P32" i="2"/>
  <c r="N32" i="2"/>
  <c r="BR31" i="2"/>
  <c r="BQ31" i="2"/>
  <c r="BP31" i="2"/>
  <c r="BO31" i="2"/>
  <c r="BB31" i="2"/>
  <c r="AP31" i="2"/>
  <c r="P31" i="2"/>
  <c r="BR30" i="2"/>
  <c r="BQ30" i="2"/>
  <c r="BP30" i="2"/>
  <c r="BO30" i="2"/>
  <c r="BD30" i="2"/>
  <c r="BB30" i="2"/>
  <c r="AV30" i="2"/>
  <c r="AR30" i="2"/>
  <c r="AP30" i="2"/>
  <c r="AN30" i="2"/>
  <c r="BR29" i="2"/>
  <c r="BQ29" i="2"/>
  <c r="BP29" i="2"/>
  <c r="BO29" i="2"/>
  <c r="BB29" i="2"/>
  <c r="AZ29" i="2"/>
  <c r="AT29" i="2"/>
  <c r="AP29" i="2"/>
  <c r="AN29" i="2"/>
  <c r="AH29" i="2"/>
  <c r="X29" i="2"/>
  <c r="V29" i="2"/>
  <c r="T29" i="2"/>
  <c r="R29" i="2"/>
  <c r="N29" i="2"/>
  <c r="BR28" i="2"/>
  <c r="BQ28" i="2"/>
  <c r="BP28" i="2"/>
  <c r="BO28" i="2"/>
  <c r="BB28" i="2"/>
  <c r="AX28" i="2"/>
  <c r="AV28" i="2"/>
  <c r="AR28" i="2"/>
  <c r="V28" i="2"/>
  <c r="N28" i="2"/>
  <c r="BR27" i="2"/>
  <c r="BQ27" i="2"/>
  <c r="BP27" i="2"/>
  <c r="BO27" i="2"/>
  <c r="BD27" i="2"/>
  <c r="BB27" i="2"/>
  <c r="AT27" i="2"/>
  <c r="AN27" i="2"/>
  <c r="AL27" i="2"/>
  <c r="AF27" i="2"/>
  <c r="AB27" i="2"/>
  <c r="X27" i="2"/>
  <c r="T27" i="2"/>
  <c r="R27" i="2"/>
  <c r="P27" i="2"/>
  <c r="N27" i="2"/>
  <c r="BR26" i="2"/>
  <c r="BQ26" i="2"/>
  <c r="BP26" i="2"/>
  <c r="BO26" i="2"/>
  <c r="AH26" i="2"/>
  <c r="AD26" i="2"/>
  <c r="BR25" i="2"/>
  <c r="BQ25" i="2"/>
  <c r="BP25" i="2"/>
  <c r="BO25" i="2"/>
  <c r="BB25" i="2"/>
  <c r="AN25" i="2"/>
  <c r="AF25" i="2"/>
  <c r="AD25" i="2"/>
  <c r="R25" i="2"/>
  <c r="BR24" i="2"/>
  <c r="BQ24" i="2"/>
  <c r="BP24" i="2"/>
  <c r="BO24" i="2"/>
  <c r="BB24" i="2"/>
  <c r="AX24" i="2"/>
  <c r="AT24" i="2"/>
  <c r="AP24" i="2"/>
  <c r="AH24" i="2"/>
  <c r="AB24" i="2"/>
  <c r="X24" i="2"/>
  <c r="T24" i="2"/>
  <c r="BR23" i="2"/>
  <c r="BQ23" i="2"/>
  <c r="BP23" i="2"/>
  <c r="BO23" i="2"/>
  <c r="AN23" i="2"/>
  <c r="AJ23" i="2"/>
  <c r="Z23" i="2"/>
  <c r="X23" i="2"/>
  <c r="T23" i="2"/>
  <c r="R23" i="2"/>
  <c r="BR22" i="2"/>
  <c r="BQ22" i="2"/>
  <c r="BP22" i="2"/>
  <c r="BO22" i="2"/>
  <c r="AZ22" i="2"/>
  <c r="AX22" i="2"/>
  <c r="AH22" i="2"/>
  <c r="AF22" i="2"/>
  <c r="AD22" i="2"/>
  <c r="Z22" i="2"/>
  <c r="V22" i="2"/>
  <c r="BR21" i="2"/>
  <c r="BQ21" i="2"/>
  <c r="BP21" i="2"/>
  <c r="BO21" i="2"/>
  <c r="AZ21" i="2"/>
  <c r="AR21" i="2"/>
  <c r="AP21" i="2"/>
  <c r="AN21" i="2"/>
  <c r="BR20" i="2"/>
  <c r="BQ20" i="2"/>
  <c r="BP20" i="2"/>
  <c r="BO20" i="2"/>
  <c r="AX20" i="2"/>
  <c r="AB20" i="2"/>
  <c r="Z20" i="2"/>
  <c r="T20" i="2"/>
  <c r="BR19" i="2"/>
  <c r="BQ19" i="2"/>
  <c r="BP19" i="2"/>
  <c r="BO19" i="2"/>
  <c r="AX19" i="2"/>
  <c r="BR18" i="2"/>
  <c r="BQ18" i="2"/>
  <c r="BP18" i="2"/>
  <c r="BO18" i="2"/>
  <c r="BB18" i="2"/>
  <c r="AT18" i="2"/>
  <c r="AJ18" i="2"/>
  <c r="BR17" i="2"/>
  <c r="BQ17" i="2"/>
  <c r="BP17" i="2"/>
  <c r="BO17" i="2"/>
  <c r="BD17" i="2"/>
  <c r="BB17" i="2"/>
  <c r="AZ17" i="2"/>
  <c r="AX17" i="2"/>
  <c r="AV17" i="2"/>
  <c r="AT17" i="2"/>
  <c r="AR17" i="2"/>
  <c r="AP17" i="2"/>
  <c r="AN17" i="2"/>
  <c r="AL17" i="2"/>
  <c r="AJ17" i="2"/>
  <c r="AH17" i="2"/>
  <c r="AF17" i="2"/>
  <c r="AB17" i="2"/>
  <c r="Z17" i="2"/>
  <c r="X17" i="2"/>
  <c r="V17" i="2"/>
  <c r="T17" i="2"/>
  <c r="P17" i="2"/>
  <c r="N17" i="2"/>
  <c r="BR16" i="2"/>
  <c r="BQ16" i="2"/>
  <c r="BP16" i="2"/>
  <c r="BO16" i="2"/>
  <c r="P16" i="2"/>
  <c r="BR15" i="2"/>
  <c r="BQ15" i="2"/>
  <c r="BP15" i="2"/>
  <c r="BO15" i="2"/>
  <c r="AZ15" i="2"/>
  <c r="AR15" i="2"/>
  <c r="AP15" i="2"/>
  <c r="AD15" i="2"/>
  <c r="P15" i="2"/>
  <c r="BR14" i="2"/>
  <c r="BQ14" i="2"/>
  <c r="BP14" i="2"/>
  <c r="BO14" i="2"/>
  <c r="AP14" i="2"/>
  <c r="AN14" i="2"/>
  <c r="AD14" i="2"/>
  <c r="BR13" i="2"/>
  <c r="BQ13" i="2"/>
  <c r="BP13" i="2"/>
  <c r="BO13" i="2"/>
  <c r="AZ13" i="2"/>
  <c r="AX13" i="2"/>
  <c r="N13" i="2"/>
  <c r="BR12" i="2"/>
  <c r="BQ12" i="2"/>
  <c r="BP12" i="2"/>
  <c r="BO12" i="2"/>
  <c r="AT12" i="2"/>
  <c r="AN12" i="2"/>
  <c r="AD12" i="2"/>
  <c r="BR11" i="2"/>
  <c r="BQ11" i="2"/>
  <c r="BP11" i="2"/>
  <c r="BO11" i="2"/>
  <c r="AF11" i="2"/>
  <c r="AB11" i="2"/>
  <c r="BR10" i="2"/>
  <c r="BQ10" i="2"/>
  <c r="BP10" i="2"/>
  <c r="BO10" i="2"/>
  <c r="BD10" i="2"/>
  <c r="AH10" i="2"/>
  <c r="AB10" i="2"/>
  <c r="BR9" i="2"/>
  <c r="BQ9" i="2"/>
  <c r="BP9" i="2"/>
  <c r="BO9" i="2"/>
  <c r="AX9" i="2"/>
  <c r="AV9" i="2"/>
  <c r="AP9" i="2"/>
  <c r="AL9" i="2"/>
  <c r="AD9" i="2"/>
  <c r="AB9" i="2"/>
  <c r="Z9" i="2"/>
  <c r="X9" i="2"/>
  <c r="V9" i="2"/>
  <c r="T9" i="2"/>
  <c r="R9" i="2"/>
  <c r="BR8" i="2"/>
  <c r="BQ8" i="2"/>
  <c r="BP8" i="2"/>
  <c r="BO8" i="2"/>
  <c r="AR8" i="2"/>
  <c r="AD8" i="2"/>
  <c r="BR7" i="2"/>
  <c r="BQ7" i="2"/>
  <c r="BP7" i="2"/>
  <c r="BO7" i="2"/>
  <c r="BB7" i="2"/>
  <c r="AV7" i="2"/>
  <c r="AR7" i="2"/>
  <c r="AN7" i="2"/>
  <c r="AL7" i="2"/>
  <c r="X7" i="2"/>
  <c r="V7" i="2"/>
  <c r="T7" i="2"/>
  <c r="BR6" i="2"/>
  <c r="BQ6" i="2"/>
  <c r="BP6" i="2"/>
  <c r="BO6" i="2"/>
  <c r="BD6" i="2"/>
  <c r="AR6" i="2"/>
  <c r="BR5" i="2"/>
  <c r="BQ5" i="2"/>
  <c r="BP5" i="2"/>
  <c r="BO5" i="2"/>
  <c r="BR4" i="2"/>
  <c r="BQ4" i="2"/>
  <c r="BP4" i="2"/>
  <c r="BO4" i="2"/>
  <c r="AT4" i="2"/>
  <c r="BR3" i="2"/>
  <c r="BQ3" i="2"/>
  <c r="BP3" i="2"/>
  <c r="BO3" i="2"/>
  <c r="AV3" i="2"/>
  <c r="T3" i="2"/>
  <c r="BR2" i="2"/>
  <c r="BQ2" i="2"/>
  <c r="BP2" i="2"/>
  <c r="BO2" i="2"/>
  <c r="BB2" i="2"/>
  <c r="AR2" i="2"/>
  <c r="AP2" i="2"/>
  <c r="AL2" i="2"/>
  <c r="AB2" i="2"/>
  <c r="F159" i="1"/>
  <c r="F79" i="1"/>
  <c r="F167" i="1"/>
  <c r="F162" i="1"/>
  <c r="F151" i="1"/>
  <c r="F138" i="1"/>
  <c r="F103" i="1"/>
  <c r="F165" i="1"/>
  <c r="F143" i="1"/>
  <c r="F164" i="1"/>
  <c r="F119" i="1"/>
  <c r="F148" i="1"/>
  <c r="F161" i="1"/>
  <c r="F153" i="1"/>
  <c r="F158" i="1"/>
  <c r="F160" i="1"/>
  <c r="F157" i="1"/>
  <c r="F156" i="1"/>
  <c r="F155" i="1"/>
  <c r="F147" i="1"/>
  <c r="F68" i="1"/>
  <c r="F81" i="1"/>
  <c r="F154" i="1"/>
  <c r="F98" i="1"/>
  <c r="F88" i="1"/>
  <c r="F152" i="1"/>
  <c r="F128" i="1"/>
  <c r="F150" i="1"/>
  <c r="F36" i="1"/>
  <c r="F149" i="1"/>
  <c r="F108" i="1"/>
  <c r="F137" i="1"/>
  <c r="F133" i="1"/>
  <c r="F59" i="1"/>
  <c r="F140" i="1"/>
  <c r="F146" i="1"/>
  <c r="F145" i="1"/>
  <c r="F144" i="1"/>
  <c r="F87" i="1"/>
  <c r="F31" i="1"/>
  <c r="F112" i="1"/>
  <c r="F35" i="1"/>
  <c r="F142" i="1"/>
  <c r="F136" i="1"/>
  <c r="F20" i="1"/>
  <c r="F65" i="1"/>
  <c r="F58" i="1"/>
  <c r="F127" i="1"/>
  <c r="F141" i="1"/>
  <c r="F90" i="1"/>
  <c r="F129" i="1"/>
  <c r="F124" i="1"/>
  <c r="F66" i="1"/>
  <c r="F126" i="1"/>
  <c r="F80" i="1"/>
  <c r="F135" i="1"/>
  <c r="F117" i="1"/>
  <c r="F19" i="1"/>
  <c r="F139" i="1"/>
  <c r="F96" i="1"/>
  <c r="F57" i="1"/>
  <c r="F132" i="1"/>
  <c r="F15" i="1"/>
  <c r="F123" i="1"/>
  <c r="F67" i="1"/>
  <c r="F30" i="1"/>
  <c r="F130" i="1"/>
  <c r="F118" i="1"/>
  <c r="F9" i="1"/>
  <c r="F134" i="1"/>
  <c r="F97" i="1"/>
  <c r="F84" i="1"/>
  <c r="F18" i="1"/>
  <c r="F116" i="1"/>
  <c r="F121" i="1"/>
  <c r="F22" i="1"/>
  <c r="F111" i="1"/>
  <c r="F99" i="1"/>
  <c r="F122" i="1"/>
  <c r="F83" i="1"/>
  <c r="F113" i="1"/>
  <c r="F114" i="1"/>
  <c r="F106" i="1"/>
  <c r="F8" i="1"/>
  <c r="F13" i="1"/>
  <c r="F102" i="1"/>
  <c r="F120" i="1"/>
  <c r="F93" i="1"/>
  <c r="F29" i="1"/>
  <c r="F104" i="1"/>
  <c r="F125" i="1"/>
  <c r="F110" i="1"/>
  <c r="F91" i="1"/>
  <c r="F16" i="1"/>
  <c r="F44" i="1"/>
  <c r="F94" i="1"/>
  <c r="F95" i="1"/>
  <c r="F105" i="1"/>
  <c r="F115" i="1"/>
  <c r="F75" i="1"/>
  <c r="F101" i="1"/>
  <c r="F92" i="1"/>
  <c r="F109" i="1"/>
  <c r="F85" i="1"/>
  <c r="F89" i="1"/>
  <c r="F61" i="1"/>
  <c r="F25" i="1"/>
  <c r="F73" i="1"/>
  <c r="F56" i="1"/>
  <c r="F107" i="1"/>
  <c r="F100" i="1"/>
  <c r="F60" i="1"/>
  <c r="F42" i="1"/>
  <c r="F72" i="1"/>
  <c r="F86" i="1"/>
  <c r="F74" i="1"/>
  <c r="F5" i="1"/>
  <c r="F32" i="1"/>
  <c r="F64" i="1"/>
  <c r="F24" i="1"/>
  <c r="F37" i="1"/>
  <c r="F11" i="1"/>
  <c r="F78" i="1"/>
  <c r="F4" i="1"/>
  <c r="F52" i="1"/>
  <c r="F41" i="1"/>
  <c r="F40" i="1"/>
  <c r="F54" i="1"/>
  <c r="F77" i="1"/>
  <c r="F17" i="1"/>
  <c r="F43" i="1"/>
  <c r="F3" i="1"/>
  <c r="F6" i="1"/>
  <c r="F53" i="1"/>
  <c r="F71" i="1"/>
  <c r="F45" i="1"/>
  <c r="F14" i="1"/>
  <c r="F50" i="1"/>
  <c r="F38" i="1"/>
  <c r="F26" i="1"/>
  <c r="F34" i="1"/>
  <c r="F12" i="1"/>
  <c r="F33" i="1"/>
  <c r="F10" i="1"/>
  <c r="F49" i="1"/>
  <c r="F48" i="1"/>
  <c r="F47" i="1"/>
  <c r="F46" i="1"/>
  <c r="F28" i="1"/>
  <c r="F39" i="1"/>
  <c r="F7" i="1"/>
  <c r="F27" i="1"/>
  <c r="F21" i="1"/>
  <c r="BW828" i="2" l="1"/>
  <c r="BW377" i="2"/>
  <c r="BW379" i="2"/>
  <c r="BW741" i="2"/>
  <c r="BW664" i="2"/>
  <c r="BW378" i="2"/>
  <c r="BW380" i="2"/>
  <c r="BW283" i="2"/>
  <c r="BW484" i="2"/>
  <c r="BW490" i="2"/>
  <c r="BW491" i="2"/>
  <c r="BW499" i="2"/>
  <c r="BW504" i="2"/>
  <c r="BW508" i="2"/>
  <c r="BW516" i="2"/>
  <c r="BW529" i="2"/>
  <c r="BW533" i="2"/>
  <c r="BW549" i="2"/>
  <c r="BW552" i="2"/>
  <c r="BW553" i="2"/>
  <c r="BW556" i="2"/>
  <c r="BW563" i="2"/>
  <c r="BW564" i="2"/>
  <c r="BW569" i="2"/>
  <c r="BW576" i="2"/>
  <c r="BW590" i="2"/>
  <c r="BW591" i="2"/>
  <c r="BW592" i="2"/>
  <c r="BW619" i="2"/>
  <c r="BW626" i="2"/>
  <c r="BW640" i="2"/>
  <c r="BW646" i="2"/>
  <c r="BW653" i="2"/>
  <c r="BW655" i="2"/>
  <c r="BW668" i="2"/>
  <c r="BW669" i="2"/>
  <c r="BW670" i="2"/>
  <c r="BW672" i="2"/>
  <c r="BW673" i="2"/>
  <c r="BW676" i="2"/>
  <c r="BW677" i="2"/>
  <c r="BW678" i="2"/>
  <c r="BW684" i="2"/>
  <c r="BW699" i="2"/>
  <c r="BW700" i="2"/>
  <c r="BW720" i="2"/>
  <c r="BW721" i="2"/>
  <c r="BW726" i="2"/>
  <c r="BW731" i="2"/>
  <c r="BW740" i="2"/>
  <c r="BW743" i="2"/>
  <c r="BW744" i="2"/>
  <c r="BW748" i="2"/>
  <c r="BW749" i="2"/>
  <c r="BW752" i="2"/>
  <c r="BW753" i="2"/>
  <c r="BW791" i="2"/>
  <c r="BW809" i="2"/>
  <c r="BW814" i="2"/>
  <c r="BW829" i="2"/>
  <c r="BW831" i="2"/>
  <c r="BW834" i="2"/>
  <c r="BW835" i="2"/>
  <c r="BW839" i="2"/>
  <c r="BW840" i="2"/>
  <c r="BW841" i="2"/>
  <c r="BW854" i="2"/>
  <c r="BW859" i="2"/>
  <c r="BW876" i="2"/>
  <c r="BW890" i="2"/>
  <c r="BW891" i="2"/>
  <c r="BW893" i="2"/>
  <c r="BW895" i="2"/>
  <c r="BW896" i="2"/>
  <c r="BW898" i="2"/>
  <c r="BW899" i="2"/>
  <c r="BW903" i="2"/>
  <c r="BW904" i="2"/>
  <c r="BW905" i="2"/>
  <c r="BW906" i="2"/>
  <c r="BW907" i="2"/>
  <c r="BW908" i="2"/>
  <c r="BW909" i="2"/>
  <c r="BW414" i="2"/>
  <c r="BW418" i="2"/>
  <c r="BW419" i="2"/>
  <c r="BW420" i="2"/>
  <c r="BW423" i="2"/>
  <c r="BW424" i="2"/>
  <c r="BW430" i="2"/>
  <c r="BW438" i="2"/>
  <c r="BW444" i="2"/>
  <c r="BW447" i="2"/>
  <c r="BW448" i="2"/>
  <c r="BW452" i="2"/>
  <c r="BW455" i="2"/>
  <c r="BW466" i="2"/>
  <c r="BW467" i="2"/>
  <c r="BW474" i="2"/>
  <c r="BW286" i="2"/>
  <c r="BW293" i="2"/>
  <c r="BW294" i="2"/>
  <c r="BW295" i="2"/>
  <c r="BW296" i="2"/>
  <c r="BW300" i="2"/>
  <c r="BW309" i="2"/>
  <c r="BW338" i="2"/>
  <c r="BW351" i="2"/>
  <c r="BW391" i="2"/>
  <c r="BW394" i="2"/>
  <c r="BW397" i="2"/>
  <c r="BW2" i="2"/>
  <c r="BW14" i="2"/>
  <c r="BW25" i="2"/>
  <c r="BW28" i="2"/>
  <c r="BW31" i="2"/>
  <c r="BW34" i="2"/>
  <c r="BW36" i="2"/>
  <c r="BW37" i="2"/>
  <c r="BW38" i="2"/>
  <c r="BW39" i="2"/>
  <c r="BW41" i="2"/>
  <c r="BW45" i="2"/>
  <c r="BW46" i="2"/>
  <c r="BW47" i="2"/>
  <c r="BW57" i="2"/>
  <c r="BW58" i="2"/>
  <c r="BW60" i="2"/>
  <c r="BW61" i="2"/>
  <c r="BW62" i="2"/>
  <c r="BW64" i="2"/>
  <c r="BW65" i="2"/>
  <c r="BW74" i="2"/>
  <c r="BW85" i="2"/>
  <c r="BW89" i="2"/>
  <c r="BW96" i="2"/>
  <c r="BW97" i="2"/>
  <c r="BW100" i="2"/>
  <c r="BW101" i="2"/>
  <c r="BW110" i="2"/>
  <c r="BW111" i="2"/>
  <c r="BW121" i="2"/>
  <c r="BW122" i="2"/>
  <c r="BW123" i="2"/>
  <c r="BW124" i="2"/>
  <c r="BW125" i="2"/>
  <c r="BW126" i="2"/>
  <c r="BW128" i="2"/>
  <c r="BW131" i="2"/>
  <c r="BW132" i="2"/>
  <c r="BW134" i="2"/>
  <c r="BW136" i="2"/>
  <c r="BW138" i="2"/>
  <c r="BW141" i="2"/>
  <c r="BW152" i="2"/>
  <c r="BW156" i="2"/>
  <c r="BW158" i="2"/>
  <c r="BW161" i="2"/>
  <c r="BW168" i="2"/>
  <c r="BW170" i="2"/>
  <c r="BW171" i="2"/>
  <c r="BW174" i="2"/>
  <c r="BW178" i="2"/>
  <c r="BW190" i="2"/>
  <c r="BW196" i="2"/>
  <c r="BW198" i="2"/>
  <c r="BW201" i="2"/>
  <c r="BW211" i="2"/>
  <c r="BW212" i="2"/>
  <c r="BW213" i="2"/>
  <c r="BW214" i="2"/>
  <c r="BW215" i="2"/>
  <c r="BW233" i="2"/>
  <c r="BW236" i="2"/>
  <c r="BW237" i="2"/>
  <c r="BW243" i="2"/>
  <c r="BW244" i="2"/>
  <c r="BW250" i="2"/>
  <c r="BW254" i="2"/>
  <c r="BW255" i="2"/>
  <c r="BW269" i="2"/>
  <c r="BW272" i="2"/>
  <c r="BW273" i="2"/>
  <c r="BW6" i="2"/>
  <c r="BW7" i="2"/>
  <c r="BW10" i="2"/>
  <c r="BW13" i="2"/>
  <c r="BW15" i="2"/>
  <c r="BW18" i="2"/>
  <c r="BW22" i="2"/>
  <c r="BW30" i="2"/>
  <c r="BW32" i="2"/>
  <c r="BW43" i="2"/>
  <c r="BW48" i="2"/>
  <c r="BW53" i="2"/>
  <c r="BW55" i="2"/>
  <c r="BW56" i="2"/>
  <c r="BW66" i="2"/>
  <c r="BW67" i="2"/>
  <c r="BW69" i="2"/>
  <c r="BW75" i="2"/>
  <c r="BW76" i="2"/>
  <c r="BW86" i="2"/>
  <c r="BW87" i="2"/>
  <c r="BW411" i="2"/>
  <c r="BW88" i="2"/>
  <c r="BW94" i="2"/>
  <c r="BW102" i="2"/>
  <c r="BW104" i="2"/>
  <c r="BW133" i="2"/>
  <c r="BW139" i="2"/>
  <c r="BW143" i="2"/>
  <c r="BW147" i="2"/>
  <c r="BW159" i="2"/>
  <c r="BW172" i="2"/>
  <c r="BW177" i="2"/>
  <c r="BW184" i="2"/>
  <c r="BW202" i="2"/>
  <c r="BW221" i="2"/>
  <c r="BW224" i="2"/>
  <c r="BW232" i="2"/>
  <c r="BW235" i="2"/>
  <c r="BW264" i="2"/>
  <c r="BW270" i="2"/>
  <c r="BW312" i="2"/>
  <c r="BW332" i="2"/>
  <c r="BW342" i="2"/>
  <c r="BW366" i="2"/>
  <c r="BW389" i="2"/>
  <c r="BW393" i="2"/>
  <c r="BW405" i="2"/>
  <c r="BW415" i="2"/>
  <c r="BW450" i="2"/>
  <c r="BW523" i="2"/>
  <c r="BW527" i="2"/>
  <c r="BW534" i="2"/>
  <c r="BW535" i="2"/>
  <c r="BW543" i="2"/>
  <c r="BW548" i="2"/>
  <c r="BW567" i="2"/>
  <c r="BW570" i="2"/>
  <c r="BW572" i="2"/>
  <c r="BW581" i="2"/>
  <c r="BW582" i="2"/>
  <c r="BW594" i="2"/>
  <c r="BW595" i="2"/>
  <c r="BW597" i="2"/>
  <c r="BW610" i="2"/>
  <c r="BW613" i="2"/>
  <c r="BW614" i="2"/>
  <c r="BW615" i="2"/>
  <c r="BW630" i="2"/>
  <c r="BW631" i="2"/>
  <c r="BW647" i="2"/>
  <c r="BW649" i="2"/>
  <c r="BW652" i="2"/>
  <c r="BW665" i="2"/>
  <c r="BW666" i="2"/>
  <c r="BW681" i="2"/>
  <c r="BW685" i="2"/>
  <c r="BW686" i="2"/>
  <c r="BW690" i="2"/>
  <c r="BW691" i="2"/>
  <c r="BW692" i="2"/>
  <c r="BW694" i="2"/>
  <c r="BW695" i="2"/>
  <c r="BW697" i="2"/>
  <c r="BW711" i="2"/>
  <c r="BW712" i="2"/>
  <c r="BW715" i="2"/>
  <c r="BW718" i="2"/>
  <c r="BW722" i="2"/>
  <c r="BW723" i="2"/>
  <c r="BW757" i="2"/>
  <c r="BW762" i="2"/>
  <c r="BW763" i="2"/>
  <c r="BW764" i="2"/>
  <c r="BW767" i="2"/>
  <c r="BW776" i="2"/>
  <c r="BW777" i="2"/>
  <c r="BW778" i="2"/>
  <c r="BW779" i="2"/>
  <c r="BW807" i="2"/>
  <c r="BW812" i="2"/>
  <c r="BW820" i="2"/>
  <c r="BW842" i="2"/>
  <c r="BW856" i="2"/>
  <c r="BW858" i="2"/>
  <c r="BW866" i="2"/>
  <c r="BW223" i="2"/>
  <c r="BW234" i="2"/>
  <c r="BW245" i="2"/>
  <c r="BW252" i="2"/>
  <c r="BW282" i="2"/>
  <c r="BW289" i="2"/>
  <c r="BW308" i="2"/>
  <c r="BW337" i="2"/>
  <c r="BW346" i="2"/>
  <c r="BW368" i="2"/>
  <c r="BW381" i="2"/>
  <c r="BW395" i="2"/>
  <c r="BW404" i="2"/>
  <c r="BW406" i="2"/>
  <c r="BW416" i="2"/>
  <c r="BW441" i="2"/>
  <c r="BW451" i="2"/>
  <c r="BW457" i="2"/>
  <c r="BW481" i="2"/>
  <c r="BW485" i="2"/>
  <c r="BW530" i="2"/>
  <c r="BW27" i="2"/>
  <c r="BW35" i="2"/>
  <c r="BW42" i="2"/>
  <c r="BW54" i="2"/>
  <c r="BW70" i="2"/>
  <c r="BW78" i="2"/>
  <c r="BW84" i="2"/>
  <c r="BW98" i="2"/>
  <c r="BW204" i="2"/>
  <c r="BW206" i="2"/>
  <c r="BW207" i="2"/>
  <c r="BW216" i="2"/>
  <c r="BW217" i="2"/>
  <c r="BW225" i="2"/>
  <c r="BW227" i="2"/>
  <c r="BW228" i="2"/>
  <c r="BW246" i="2"/>
  <c r="BW248" i="2"/>
  <c r="BW257" i="2"/>
  <c r="BW258" i="2"/>
  <c r="BW259" i="2"/>
  <c r="BW260" i="2"/>
  <c r="BW265" i="2"/>
  <c r="BW266" i="2"/>
  <c r="BW267" i="2"/>
  <c r="BW268" i="2"/>
  <c r="BW274" i="2"/>
  <c r="BW275" i="2"/>
  <c r="BW284" i="2"/>
  <c r="BW290" i="2"/>
  <c r="BW291" i="2"/>
  <c r="BW301" i="2"/>
  <c r="BW303" i="2"/>
  <c r="BW304" i="2"/>
  <c r="BW305" i="2"/>
  <c r="BW306" i="2"/>
  <c r="BW316" i="2"/>
  <c r="BW317" i="2"/>
  <c r="BW318" i="2"/>
  <c r="BW321" i="2"/>
  <c r="BW322" i="2"/>
  <c r="BW326" i="2"/>
  <c r="BW329" i="2"/>
  <c r="BW331" i="2"/>
  <c r="BW333" i="2"/>
  <c r="BW335" i="2"/>
  <c r="BW347" i="2"/>
  <c r="BW362" i="2"/>
  <c r="BW364" i="2"/>
  <c r="BW371" i="2"/>
  <c r="BW372" i="2"/>
  <c r="BW382" i="2"/>
  <c r="BW384" i="2"/>
  <c r="BW385" i="2"/>
  <c r="BW386" i="2"/>
  <c r="BW400" i="2"/>
  <c r="BW408" i="2"/>
  <c r="BW409" i="2"/>
  <c r="BW410" i="2"/>
  <c r="BW426" i="2"/>
  <c r="BW428" i="2"/>
  <c r="BW442" i="2"/>
  <c r="BW93" i="2"/>
  <c r="BW95" i="2"/>
  <c r="BW103" i="2"/>
  <c r="BW105" i="2"/>
  <c r="BW116" i="2"/>
  <c r="BW130" i="2"/>
  <c r="BW135" i="2"/>
  <c r="BW148" i="2"/>
  <c r="BW150" i="2"/>
  <c r="BW154" i="2"/>
  <c r="BW165" i="2"/>
  <c r="BW167" i="2"/>
  <c r="BW169" i="2"/>
  <c r="BW176" i="2"/>
  <c r="BW179" i="2"/>
  <c r="BW183" i="2"/>
  <c r="BW185" i="2"/>
  <c r="BW191" i="2"/>
  <c r="BW203" i="2"/>
  <c r="BW219" i="2"/>
  <c r="BW222" i="2"/>
  <c r="BW229" i="2"/>
  <c r="BW242" i="2"/>
  <c r="BW251" i="2"/>
  <c r="BW256" i="2"/>
  <c r="BW263" i="2"/>
  <c r="BW280" i="2"/>
  <c r="BW339" i="2"/>
  <c r="BW356" i="2"/>
  <c r="BW365" i="2"/>
  <c r="BW376" i="2"/>
  <c r="BW396" i="2"/>
  <c r="BW425" i="2"/>
  <c r="BW461" i="2"/>
  <c r="BW482" i="2"/>
  <c r="BW496" i="2"/>
  <c r="BW511" i="2"/>
  <c r="BW579" i="2"/>
  <c r="BW3" i="2"/>
  <c r="BW9" i="2"/>
  <c r="BW12" i="2"/>
  <c r="BW16" i="2"/>
  <c r="BW17" i="2"/>
  <c r="BW19" i="2"/>
  <c r="BW20" i="2"/>
  <c r="BW21" i="2"/>
  <c r="BW26" i="2"/>
  <c r="BW40" i="2"/>
  <c r="BW50" i="2"/>
  <c r="BW59" i="2"/>
  <c r="BW77" i="2"/>
  <c r="BW79" i="2"/>
  <c r="BW81" i="2"/>
  <c r="BW91" i="2"/>
  <c r="BW92" i="2"/>
  <c r="BW107" i="2"/>
  <c r="BW108" i="2"/>
  <c r="BW112" i="2"/>
  <c r="BW113" i="2"/>
  <c r="BW114" i="2"/>
  <c r="BW115" i="2"/>
  <c r="BW118" i="2"/>
  <c r="BW120" i="2"/>
  <c r="BW137" i="2"/>
  <c r="BW144" i="2"/>
  <c r="BW145" i="2"/>
  <c r="BW157" i="2"/>
  <c r="BW162" i="2"/>
  <c r="BW182" i="2"/>
  <c r="BW186" i="2"/>
  <c r="BW187" i="2"/>
  <c r="BW188" i="2"/>
  <c r="BW192" i="2"/>
  <c r="BW193" i="2"/>
  <c r="BW195" i="2"/>
  <c r="BW199" i="2"/>
  <c r="BW4" i="2"/>
  <c r="BW5" i="2"/>
  <c r="BW8" i="2"/>
  <c r="BW11" i="2"/>
  <c r="BW23" i="2"/>
  <c r="BW24" i="2"/>
  <c r="BW29" i="2"/>
  <c r="BW33" i="2"/>
  <c r="BW44" i="2"/>
  <c r="BW49" i="2"/>
  <c r="BW51" i="2"/>
  <c r="BW52" i="2"/>
  <c r="BW63" i="2"/>
  <c r="BW68" i="2"/>
  <c r="BW71" i="2"/>
  <c r="BW72" i="2"/>
  <c r="BW73" i="2"/>
  <c r="BW80" i="2"/>
  <c r="BW82" i="2"/>
  <c r="BW83" i="2"/>
  <c r="BW90" i="2"/>
  <c r="BW99" i="2"/>
  <c r="BW106" i="2"/>
  <c r="BW109" i="2"/>
  <c r="BW117" i="2"/>
  <c r="BW119" i="2"/>
  <c r="BW127" i="2"/>
  <c r="BW129" i="2"/>
  <c r="BW140" i="2"/>
  <c r="BW142" i="2"/>
  <c r="BW146" i="2"/>
  <c r="BW149" i="2"/>
  <c r="BW151" i="2"/>
  <c r="BW153" i="2"/>
  <c r="BW155" i="2"/>
  <c r="BW160" i="2"/>
  <c r="BW163" i="2"/>
  <c r="BW164" i="2"/>
  <c r="BW166" i="2"/>
  <c r="BW173" i="2"/>
  <c r="BW175" i="2"/>
  <c r="BW180" i="2"/>
  <c r="BW181" i="2"/>
  <c r="BW189" i="2"/>
  <c r="BW194" i="2"/>
  <c r="BW197" i="2"/>
  <c r="BW200" i="2"/>
  <c r="BW205" i="2"/>
  <c r="BW208" i="2"/>
  <c r="BW209" i="2"/>
  <c r="BW210" i="2"/>
  <c r="BW218" i="2"/>
  <c r="BW220" i="2"/>
  <c r="BW226" i="2"/>
  <c r="BW230" i="2"/>
  <c r="BW231" i="2"/>
  <c r="BW238" i="2"/>
  <c r="BW239" i="2"/>
  <c r="BW240" i="2"/>
  <c r="BW241" i="2"/>
  <c r="BW247" i="2"/>
  <c r="BW249" i="2"/>
  <c r="BW253" i="2"/>
  <c r="BW261" i="2"/>
  <c r="BW262" i="2"/>
  <c r="BW276" i="2"/>
  <c r="BW277" i="2"/>
  <c r="BW278" i="2"/>
  <c r="BW279" i="2"/>
  <c r="BW285" i="2"/>
  <c r="BW298" i="2"/>
  <c r="BW311" i="2"/>
  <c r="BW314" i="2"/>
  <c r="BW325" i="2"/>
  <c r="BW330" i="2"/>
  <c r="BW334" i="2"/>
  <c r="BW354" i="2"/>
  <c r="BW357" i="2"/>
  <c r="BW361" i="2"/>
  <c r="BW370" i="2"/>
  <c r="BW373" i="2"/>
  <c r="BW390" i="2"/>
  <c r="BW399" i="2"/>
  <c r="BW403" i="2"/>
  <c r="BW421" i="2"/>
  <c r="BW431" i="2"/>
  <c r="BW432" i="2"/>
  <c r="BW433" i="2"/>
  <c r="BW436" i="2"/>
  <c r="BW437" i="2"/>
  <c r="BW465" i="2"/>
  <c r="BW477" i="2"/>
  <c r="BW478" i="2"/>
  <c r="BW479" i="2"/>
  <c r="BW498" i="2"/>
  <c r="BW507" i="2"/>
  <c r="BW512" i="2"/>
  <c r="BW514" i="2"/>
  <c r="BW544" i="2"/>
  <c r="BW545" i="2"/>
  <c r="BW546" i="2"/>
  <c r="BW573" i="2"/>
  <c r="BW580" i="2"/>
  <c r="BW583" i="2"/>
  <c r="BW584" i="2"/>
  <c r="BW586" i="2"/>
  <c r="BW602" i="2"/>
  <c r="BW605" i="2"/>
  <c r="BW616" i="2"/>
  <c r="BW620" i="2"/>
  <c r="BW627" i="2"/>
  <c r="BW633" i="2"/>
  <c r="BW634" i="2"/>
  <c r="BW635" i="2"/>
  <c r="BW636" i="2"/>
  <c r="BW644" i="2"/>
  <c r="BW656" i="2"/>
  <c r="BW696" i="2"/>
  <c r="BW708" i="2"/>
  <c r="BW716" i="2"/>
  <c r="BW717" i="2"/>
  <c r="BW727" i="2"/>
  <c r="BW736" i="2"/>
  <c r="BW738" i="2"/>
  <c r="BW758" i="2"/>
  <c r="BW771" i="2"/>
  <c r="BW781" i="2"/>
  <c r="BW795" i="2"/>
  <c r="BW800" i="2"/>
  <c r="BW801" i="2"/>
  <c r="BW815" i="2"/>
  <c r="BW816" i="2"/>
  <c r="BW845" i="2"/>
  <c r="BW846" i="2"/>
  <c r="BW847" i="2"/>
  <c r="BW848" i="2"/>
  <c r="BW849" i="2"/>
  <c r="BW851" i="2"/>
  <c r="BW852" i="2"/>
  <c r="BW853" i="2"/>
  <c r="BW860" i="2"/>
  <c r="BW861" i="2"/>
  <c r="BW863" i="2"/>
  <c r="BW869" i="2"/>
  <c r="BW873" i="2"/>
  <c r="BW877" i="2"/>
  <c r="BW443" i="2"/>
  <c r="BW459" i="2"/>
  <c r="BW462" i="2"/>
  <c r="BW471" i="2"/>
  <c r="BW472" i="2"/>
  <c r="BW473" i="2"/>
  <c r="BW476" i="2"/>
  <c r="BW480" i="2"/>
  <c r="BW488" i="2"/>
  <c r="BW489" i="2"/>
  <c r="BW495" i="2"/>
  <c r="BW501" i="2"/>
  <c r="BW503" i="2"/>
  <c r="BW509" i="2"/>
  <c r="BW510" i="2"/>
  <c r="BW517" i="2"/>
  <c r="BW518" i="2"/>
  <c r="BW519" i="2"/>
  <c r="BW522" i="2"/>
  <c r="BW525" i="2"/>
  <c r="BW538" i="2"/>
  <c r="BW541" i="2"/>
  <c r="BW542" i="2"/>
  <c r="BW554" i="2"/>
  <c r="BW555" i="2"/>
  <c r="BW558" i="2"/>
  <c r="BW559" i="2"/>
  <c r="BW562" i="2"/>
  <c r="BW585" i="2"/>
  <c r="BW596" i="2"/>
  <c r="BW599" i="2"/>
  <c r="BW600" i="2"/>
  <c r="BW606" i="2"/>
  <c r="BW608" i="2"/>
  <c r="BW621" i="2"/>
  <c r="BW623" i="2"/>
  <c r="BW639" i="2"/>
  <c r="BW645" i="2"/>
  <c r="BW651" i="2"/>
  <c r="BW657" i="2"/>
  <c r="BW658" i="2"/>
  <c r="BW659" i="2"/>
  <c r="BW662" i="2"/>
  <c r="BW663" i="2"/>
  <c r="BW701" i="2"/>
  <c r="BW702" i="2"/>
  <c r="BW705" i="2"/>
  <c r="BW706" i="2"/>
  <c r="BW707" i="2"/>
  <c r="BW730" i="2"/>
  <c r="BW733" i="2"/>
  <c r="BW735" i="2"/>
  <c r="BW742" i="2"/>
  <c r="BW747" i="2"/>
  <c r="BW761" i="2"/>
  <c r="BW766" i="2"/>
  <c r="BW769" i="2"/>
  <c r="BW772" i="2"/>
  <c r="BW773" i="2"/>
  <c r="BW782" i="2"/>
  <c r="BW786" i="2"/>
  <c r="BW787" i="2"/>
  <c r="BW788" i="2"/>
  <c r="BW789" i="2"/>
  <c r="BW792" i="2"/>
  <c r="BW796" i="2"/>
  <c r="BW797" i="2"/>
  <c r="BW804" i="2"/>
  <c r="BW806" i="2"/>
  <c r="BW810" i="2"/>
  <c r="BW818" i="2"/>
  <c r="BW819" i="2"/>
  <c r="BW823" i="2"/>
  <c r="BW824" i="2"/>
  <c r="BW864" i="2"/>
  <c r="BW867" i="2"/>
  <c r="BW868" i="2"/>
  <c r="BW871" i="2"/>
  <c r="BW879" i="2"/>
  <c r="BW880" i="2"/>
  <c r="BW882" i="2"/>
  <c r="BW884" i="2"/>
  <c r="BW885" i="2"/>
  <c r="BW887" i="2"/>
  <c r="BW888" i="2"/>
  <c r="BW271" i="2"/>
  <c r="BW287" i="2"/>
  <c r="BW288" i="2"/>
  <c r="BW299" i="2"/>
  <c r="BW307" i="2"/>
  <c r="BW310" i="2"/>
  <c r="BW324" i="2"/>
  <c r="BW328" i="2"/>
  <c r="BW345" i="2"/>
  <c r="BW353" i="2"/>
  <c r="BW369" i="2"/>
  <c r="BW374" i="2"/>
  <c r="BW388" i="2"/>
  <c r="BW412" i="2"/>
  <c r="BW413" i="2"/>
  <c r="BW427" i="2"/>
  <c r="BW434" i="2"/>
  <c r="BW435" i="2"/>
  <c r="BW446" i="2"/>
  <c r="BW449" i="2"/>
  <c r="BW453" i="2"/>
  <c r="BW454" i="2"/>
  <c r="BW460" i="2"/>
  <c r="BW475" i="2"/>
  <c r="BW494" i="2"/>
  <c r="BW497" i="2"/>
  <c r="BW292" i="2"/>
  <c r="BW313" i="2"/>
  <c r="BW315" i="2"/>
  <c r="BW319" i="2"/>
  <c r="BW320" i="2"/>
  <c r="BW323" i="2"/>
  <c r="BW340" i="2"/>
  <c r="BW341" i="2"/>
  <c r="BW343" i="2"/>
  <c r="BW348" i="2"/>
  <c r="BW350" i="2"/>
  <c r="BW352" i="2"/>
  <c r="BW355" i="2"/>
  <c r="BW358" i="2"/>
  <c r="BW360" i="2"/>
  <c r="BW363" i="2"/>
  <c r="BW375" i="2"/>
  <c r="BW387" i="2"/>
  <c r="BW398" i="2"/>
  <c r="BW401" i="2"/>
  <c r="BW407" i="2"/>
  <c r="BW417" i="2"/>
  <c r="BW429" i="2"/>
  <c r="BW440" i="2"/>
  <c r="BW456" i="2"/>
  <c r="BW458" i="2"/>
  <c r="BW463" i="2"/>
  <c r="BW464" i="2"/>
  <c r="BW468" i="2"/>
  <c r="BW469" i="2"/>
  <c r="BW470" i="2"/>
  <c r="BW486" i="2"/>
  <c r="BW492" i="2"/>
  <c r="BW493" i="2"/>
  <c r="BW281" i="2"/>
  <c r="BW297" i="2"/>
  <c r="BW302" i="2"/>
  <c r="BW327" i="2"/>
  <c r="BW336" i="2"/>
  <c r="BW344" i="2"/>
  <c r="BW349" i="2"/>
  <c r="BW359" i="2"/>
  <c r="BW367" i="2"/>
  <c r="BW383" i="2"/>
  <c r="BW392" i="2"/>
  <c r="BW402" i="2"/>
  <c r="BW422" i="2"/>
  <c r="BW439" i="2"/>
  <c r="BW445" i="2"/>
  <c r="BW483" i="2"/>
  <c r="BW487" i="2"/>
  <c r="BW500" i="2"/>
  <c r="BW513" i="2"/>
  <c r="BW515" i="2"/>
  <c r="BW520" i="2"/>
  <c r="BW532" i="2"/>
  <c r="BW571" i="2"/>
  <c r="BW577" i="2"/>
  <c r="BW587" i="2"/>
  <c r="BW502" i="2"/>
  <c r="BW505" i="2"/>
  <c r="BW506" i="2"/>
  <c r="BW521" i="2"/>
  <c r="BW524" i="2"/>
  <c r="BW528" i="2"/>
  <c r="BW536" i="2"/>
  <c r="BW537" i="2"/>
  <c r="BW539" i="2"/>
  <c r="BW550" i="2"/>
  <c r="BW560" i="2"/>
  <c r="BW561" i="2"/>
  <c r="BW565" i="2"/>
  <c r="BW566" i="2"/>
  <c r="BW568" i="2"/>
  <c r="BW574" i="2"/>
  <c r="BW526" i="2"/>
  <c r="BW531" i="2"/>
  <c r="BW540" i="2"/>
  <c r="BW547" i="2"/>
  <c r="BW551" i="2"/>
  <c r="BW557" i="2"/>
  <c r="BW575" i="2"/>
  <c r="BW578" i="2"/>
  <c r="BW601" i="2"/>
  <c r="BW604" i="2"/>
  <c r="BW609" i="2"/>
  <c r="BW612" i="2"/>
  <c r="BW617" i="2"/>
  <c r="BW618" i="2"/>
  <c r="BW622" i="2"/>
  <c r="BW625" i="2"/>
  <c r="BW637" i="2"/>
  <c r="BW638" i="2"/>
  <c r="BW650" i="2"/>
  <c r="BW660" i="2"/>
  <c r="BW661" i="2"/>
  <c r="BW671" i="2"/>
  <c r="BW679" i="2"/>
  <c r="BW680" i="2"/>
  <c r="BW688" i="2"/>
  <c r="BW689" i="2"/>
  <c r="BW710" i="2"/>
  <c r="BW739" i="2"/>
  <c r="BW760" i="2"/>
  <c r="BW785" i="2"/>
  <c r="BW790" i="2"/>
  <c r="BW803" i="2"/>
  <c r="BW817" i="2"/>
  <c r="BW827" i="2"/>
  <c r="BW850" i="2"/>
  <c r="BW855" i="2"/>
  <c r="BW857" i="2"/>
  <c r="BW862" i="2"/>
  <c r="BW865" i="2"/>
  <c r="BW878" i="2"/>
  <c r="BW881" i="2"/>
  <c r="BW883" i="2"/>
  <c r="BW892" i="2"/>
  <c r="BW894" i="2"/>
  <c r="BW588" i="2"/>
  <c r="BW589" i="2"/>
  <c r="BW593" i="2"/>
  <c r="BW611" i="2"/>
  <c r="BW624" i="2"/>
  <c r="BW628" i="2"/>
  <c r="BW629" i="2"/>
  <c r="BW641" i="2"/>
  <c r="BW642" i="2"/>
  <c r="BW643" i="2"/>
  <c r="BW667" i="2"/>
  <c r="BW674" i="2"/>
  <c r="BW675" i="2"/>
  <c r="BW682" i="2"/>
  <c r="BW683" i="2"/>
  <c r="BW687" i="2"/>
  <c r="BW698" i="2"/>
  <c r="BW719" i="2"/>
  <c r="BW725" i="2"/>
  <c r="BW750" i="2"/>
  <c r="BW751" i="2"/>
  <c r="BW759" i="2"/>
  <c r="BW770" i="2"/>
  <c r="BW780" i="2"/>
  <c r="BW798" i="2"/>
  <c r="BW802" i="2"/>
  <c r="BW808" i="2"/>
  <c r="BW821" i="2"/>
  <c r="BW832" i="2"/>
  <c r="BW833" i="2"/>
  <c r="BW843" i="2"/>
  <c r="BW870" i="2"/>
  <c r="BW886" i="2"/>
  <c r="BW897" i="2"/>
  <c r="BW598" i="2"/>
  <c r="BW603" i="2"/>
  <c r="BW607" i="2"/>
  <c r="BW632" i="2"/>
  <c r="BW648" i="2"/>
  <c r="BW654" i="2"/>
  <c r="BW693" i="2"/>
  <c r="BW703" i="2"/>
  <c r="BW709" i="2"/>
  <c r="BW713" i="2"/>
  <c r="BW714" i="2"/>
  <c r="BW724" i="2"/>
  <c r="BW728" i="2"/>
  <c r="BW729" i="2"/>
  <c r="BW732" i="2"/>
  <c r="BW734" i="2"/>
  <c r="BW737" i="2"/>
  <c r="BW745" i="2"/>
  <c r="BW746" i="2"/>
  <c r="BW754" i="2"/>
  <c r="BW755" i="2"/>
  <c r="BW756" i="2"/>
  <c r="BW765" i="2"/>
  <c r="BW768" i="2"/>
  <c r="BW774" i="2"/>
  <c r="BW775" i="2"/>
  <c r="BW783" i="2"/>
  <c r="BW784" i="2"/>
  <c r="BW793" i="2"/>
  <c r="BW794" i="2"/>
  <c r="BW799" i="2"/>
  <c r="BW805" i="2"/>
  <c r="BW813" i="2"/>
  <c r="BW822" i="2"/>
  <c r="BW825" i="2"/>
  <c r="BW826" i="2"/>
  <c r="BW830" i="2"/>
  <c r="BW836" i="2"/>
  <c r="BW837" i="2"/>
  <c r="BW838" i="2"/>
  <c r="BW844" i="2"/>
  <c r="BW872" i="2"/>
  <c r="BW874" i="2"/>
  <c r="BW875" i="2"/>
  <c r="BW889" i="2"/>
  <c r="BW900" i="2"/>
  <c r="BW901" i="2"/>
  <c r="BW902" i="2"/>
</calcChain>
</file>

<file path=xl/sharedStrings.xml><?xml version="1.0" encoding="utf-8"?>
<sst xmlns="http://schemas.openxmlformats.org/spreadsheetml/2006/main" count="7307" uniqueCount="382">
  <si>
    <t>Cycle data</t>
  </si>
  <si>
    <t>Embryo data</t>
  </si>
  <si>
    <t>Patient ID</t>
  </si>
  <si>
    <t>Maternal age</t>
  </si>
  <si>
    <t>No of 2PN</t>
  </si>
  <si>
    <t>No of bs biopsied</t>
  </si>
  <si>
    <t>No arrested</t>
  </si>
  <si>
    <t>Total analysed</t>
  </si>
  <si>
    <t>%</t>
  </si>
  <si>
    <t>Age at egg collection</t>
  </si>
  <si>
    <t>Sample #</t>
  </si>
  <si>
    <t>No of pronuclei</t>
  </si>
  <si>
    <t>Cell no post 1st division</t>
  </si>
  <si>
    <t>Type of division</t>
  </si>
  <si>
    <t>Cell no post 2nd division</t>
  </si>
  <si>
    <t>Grade at biopsy</t>
  </si>
  <si>
    <t>Stage/cell number at arrest</t>
  </si>
  <si>
    <t>Day tubed</t>
  </si>
  <si>
    <t>XY</t>
  </si>
  <si>
    <t>Full Wchr GAIN</t>
  </si>
  <si>
    <t>Inter wchr GAIN</t>
  </si>
  <si>
    <t>Full wchr LOSS</t>
  </si>
  <si>
    <t>Inter wchr  LOSS</t>
  </si>
  <si>
    <t>Full seg GAIN</t>
  </si>
  <si>
    <t>Inter seg GAIN</t>
  </si>
  <si>
    <t>Full seg LOSS</t>
  </si>
  <si>
    <t>Inter seg LOSS</t>
  </si>
  <si>
    <t>TOTAL FULL WCHR G/L</t>
  </si>
  <si>
    <t>TOTAL INTER WCHR G/L</t>
  </si>
  <si>
    <t>TOTAL FULL SEG G/L</t>
  </si>
  <si>
    <t>TOTAL INTER SEG G/L</t>
  </si>
  <si>
    <t>Full complex SEG G/L</t>
  </si>
  <si>
    <t>Inter Complex SEG G/L</t>
  </si>
  <si>
    <t>XY wchr G/L</t>
  </si>
  <si>
    <t>XY seg G/L</t>
  </si>
  <si>
    <t>Total no of aneuploidies</t>
  </si>
  <si>
    <t>Aneuploidy category</t>
  </si>
  <si>
    <t>CB</t>
  </si>
  <si>
    <t>G</t>
  </si>
  <si>
    <t>L</t>
  </si>
  <si>
    <t>qL</t>
  </si>
  <si>
    <t>BB</t>
  </si>
  <si>
    <t>BC</t>
  </si>
  <si>
    <t>pqG</t>
  </si>
  <si>
    <t>DD</t>
  </si>
  <si>
    <t>CD</t>
  </si>
  <si>
    <t>XO</t>
  </si>
  <si>
    <t>Late</t>
  </si>
  <si>
    <t>qG</t>
  </si>
  <si>
    <t>Early</t>
  </si>
  <si>
    <t>P</t>
  </si>
  <si>
    <t>N</t>
  </si>
  <si>
    <t>OY</t>
  </si>
  <si>
    <t>&gt;4</t>
  </si>
  <si>
    <t>F</t>
  </si>
  <si>
    <t>pG</t>
  </si>
  <si>
    <t>M</t>
  </si>
  <si>
    <t>pL</t>
  </si>
  <si>
    <t>S</t>
  </si>
  <si>
    <t>XqL</t>
  </si>
  <si>
    <t>CC</t>
  </si>
  <si>
    <t>pqGL</t>
  </si>
  <si>
    <t>R</t>
  </si>
  <si>
    <t>Mid</t>
  </si>
  <si>
    <t>DC</t>
  </si>
  <si>
    <t>AB</t>
  </si>
  <si>
    <t>XXY</t>
  </si>
  <si>
    <t>XXX</t>
  </si>
  <si>
    <t>xpqG</t>
  </si>
  <si>
    <t>BA</t>
  </si>
  <si>
    <t>pqL</t>
  </si>
  <si>
    <t>Xpq</t>
  </si>
  <si>
    <t xml:space="preserve">Mid </t>
  </si>
  <si>
    <t>DEG</t>
  </si>
  <si>
    <r>
      <t>&lt;8  (</t>
    </r>
    <r>
      <rPr>
        <sz val="11"/>
        <color theme="1"/>
        <rFont val="Calibri"/>
        <family val="2"/>
      </rPr>
      <t>≈6)</t>
    </r>
    <r>
      <rPr>
        <sz val="11"/>
        <color theme="1"/>
        <rFont val="Calibri"/>
        <family val="2"/>
        <scheme val="minor"/>
      </rPr>
      <t xml:space="preserve"> </t>
    </r>
  </si>
  <si>
    <t>.</t>
  </si>
  <si>
    <t>XpqL</t>
  </si>
  <si>
    <t>&gt;6</t>
  </si>
  <si>
    <t>AA</t>
  </si>
  <si>
    <t>&gt;8</t>
  </si>
  <si>
    <t>XXXX</t>
  </si>
  <si>
    <t>XYY</t>
  </si>
  <si>
    <t>Developmental stage code</t>
  </si>
  <si>
    <t>Early (&lt;=10 cells)</t>
  </si>
  <si>
    <t>Mid (&gt;10 cells to precompact morula)</t>
  </si>
  <si>
    <t>Late (morula/early blastocyst)</t>
  </si>
  <si>
    <t>Key for developmental stage codes</t>
  </si>
  <si>
    <t>Note: This is in reverse order with the trophectoderm score prioritised over the ICM score</t>
  </si>
  <si>
    <t>Aneuploidy categories</t>
  </si>
  <si>
    <t>Euploid</t>
  </si>
  <si>
    <t>Full (&gt;70%) wchr aneu only</t>
  </si>
  <si>
    <t>Intermediate wchr aneu only</t>
  </si>
  <si>
    <t>As (1) + inter and/or seg aneu</t>
  </si>
  <si>
    <t>As (3) + segmental aneu</t>
  </si>
  <si>
    <t>Cycle ID</t>
  </si>
  <si>
    <t>f097c263</t>
  </si>
  <si>
    <t>744d0d58</t>
  </si>
  <si>
    <t>3ce86e7a</t>
  </si>
  <si>
    <t>703dbfd8</t>
  </si>
  <si>
    <t>af5a9c1f</t>
  </si>
  <si>
    <t>dda2ece8</t>
  </si>
  <si>
    <t>eaf618f3</t>
  </si>
  <si>
    <t>07d2e844</t>
  </si>
  <si>
    <t>eaf8d1aa</t>
  </si>
  <si>
    <t>6844aeb5</t>
  </si>
  <si>
    <t>4bef32ee</t>
  </si>
  <si>
    <t>389637c1</t>
  </si>
  <si>
    <t>d6a8f153</t>
  </si>
  <si>
    <t>7e837f0b</t>
  </si>
  <si>
    <t>51c2ca9d</t>
  </si>
  <si>
    <t>907703a3</t>
  </si>
  <si>
    <t>a265032f</t>
  </si>
  <si>
    <t>f5c13288</t>
  </si>
  <si>
    <t>75b83119</t>
  </si>
  <si>
    <t>d0d73559</t>
  </si>
  <si>
    <t>01665f8e</t>
  </si>
  <si>
    <t>1eb062e2</t>
  </si>
  <si>
    <t>bd7a1320</t>
  </si>
  <si>
    <t>ba372ee5</t>
  </si>
  <si>
    <t>370b76b2</t>
  </si>
  <si>
    <t>36387c9e</t>
  </si>
  <si>
    <t>aa4dbb74</t>
  </si>
  <si>
    <t>289ed581</t>
  </si>
  <si>
    <t>6e95e054</t>
  </si>
  <si>
    <t>7aec2ea2</t>
  </si>
  <si>
    <t>88b003e3</t>
  </si>
  <si>
    <t>8f559e4d</t>
  </si>
  <si>
    <t>d392b244</t>
  </si>
  <si>
    <t>bee8d745</t>
  </si>
  <si>
    <t>135084bb</t>
  </si>
  <si>
    <t>d4e94022</t>
  </si>
  <si>
    <t>c6982cbe</t>
  </si>
  <si>
    <t>70d43305</t>
  </si>
  <si>
    <t>836eb4f7</t>
  </si>
  <si>
    <t>ad97f598</t>
  </si>
  <si>
    <t>acc05d7b</t>
  </si>
  <si>
    <t>eb937ccc</t>
  </si>
  <si>
    <t>cf87019b</t>
  </si>
  <si>
    <t>552184b3</t>
  </si>
  <si>
    <t>6ddd8a0e</t>
  </si>
  <si>
    <t>b05605f4</t>
  </si>
  <si>
    <t>eb596346</t>
  </si>
  <si>
    <t>f5dac5ea</t>
  </si>
  <si>
    <t>b0928502</t>
  </si>
  <si>
    <t>455fa4e3</t>
  </si>
  <si>
    <t>5160040c</t>
  </si>
  <si>
    <t>5d8371fc</t>
  </si>
  <si>
    <t>649ee365</t>
  </si>
  <si>
    <t>4c347279</t>
  </si>
  <si>
    <t>e57fae41</t>
  </si>
  <si>
    <t>1b677e43</t>
  </si>
  <si>
    <t>aa532ff2</t>
  </si>
  <si>
    <t>0e868878</t>
  </si>
  <si>
    <t>7f5bf111</t>
  </si>
  <si>
    <t>525d5abe</t>
  </si>
  <si>
    <t>c559791b</t>
  </si>
  <si>
    <t>6f933db1</t>
  </si>
  <si>
    <t>a76b23e7</t>
  </si>
  <si>
    <t>dba04a09</t>
  </si>
  <si>
    <t>6908d691</t>
  </si>
  <si>
    <t>fd525472</t>
  </si>
  <si>
    <t>fe8d3939</t>
  </si>
  <si>
    <t>23f560f4</t>
  </si>
  <si>
    <t>d5242fe5</t>
  </si>
  <si>
    <t>5c569ff7</t>
  </si>
  <si>
    <t>c0e6b73f</t>
  </si>
  <si>
    <t>a894044f</t>
  </si>
  <si>
    <t>48f1ff25</t>
  </si>
  <si>
    <t>ed551af9</t>
  </si>
  <si>
    <t>ddcf593c</t>
  </si>
  <si>
    <t>a9cb2efe</t>
  </si>
  <si>
    <t>08698f07</t>
  </si>
  <si>
    <t>b4910de5</t>
  </si>
  <si>
    <t>49bd40ef</t>
  </si>
  <si>
    <t>806dfabb</t>
  </si>
  <si>
    <t>af0227ca</t>
  </si>
  <si>
    <t>5eb7bf90</t>
  </si>
  <si>
    <t>b15437fe</t>
  </si>
  <si>
    <t>a18218e3</t>
  </si>
  <si>
    <t>b782e05e</t>
  </si>
  <si>
    <t>12483b9e</t>
  </si>
  <si>
    <t>1f135126</t>
  </si>
  <si>
    <t>0d9515be</t>
  </si>
  <si>
    <t>3c502dc4</t>
  </si>
  <si>
    <t>aa4fd588</t>
  </si>
  <si>
    <t>acf9695a</t>
  </si>
  <si>
    <t>01fcd372</t>
  </si>
  <si>
    <t>aa49e1b1</t>
  </si>
  <si>
    <t>fc3b0c24</t>
  </si>
  <si>
    <t>50f75bae</t>
  </si>
  <si>
    <t>71351a02</t>
  </si>
  <si>
    <t>f468f381</t>
  </si>
  <si>
    <t>d80f2505</t>
  </si>
  <si>
    <t>ce0aadf8</t>
  </si>
  <si>
    <t>6d77b69a</t>
  </si>
  <si>
    <t>25a4100c</t>
  </si>
  <si>
    <t>65fd5c67</t>
  </si>
  <si>
    <t>9842f5b8</t>
  </si>
  <si>
    <t>9edc333c</t>
  </si>
  <si>
    <t>d1f94691</t>
  </si>
  <si>
    <t>b42a9366</t>
  </si>
  <si>
    <t>056ee5c3</t>
  </si>
  <si>
    <t>ee5232bb</t>
  </si>
  <si>
    <t>b62e2757</t>
  </si>
  <si>
    <t>f623e1f3</t>
  </si>
  <si>
    <t>225c1ff7</t>
  </si>
  <si>
    <t>fc6352bd</t>
  </si>
  <si>
    <t>ee6bad43</t>
  </si>
  <si>
    <t>1d042162</t>
  </si>
  <si>
    <t>f09febbb</t>
  </si>
  <si>
    <t>c79cc272</t>
  </si>
  <si>
    <t>8ce10296</t>
  </si>
  <si>
    <t>b9a50131</t>
  </si>
  <si>
    <t>2b77dfb4</t>
  </si>
  <si>
    <t>6ff9926c</t>
  </si>
  <si>
    <t>d759a0b4</t>
  </si>
  <si>
    <t>1280a53c</t>
  </si>
  <si>
    <t>20b7ff68</t>
  </si>
  <si>
    <t>9b146ac5</t>
  </si>
  <si>
    <t>215bc1bc</t>
  </si>
  <si>
    <t>7ab3d5fe</t>
  </si>
  <si>
    <t>50ea224a</t>
  </si>
  <si>
    <t>a6b256e1</t>
  </si>
  <si>
    <t>6e949277</t>
  </si>
  <si>
    <t>2552cbeb</t>
  </si>
  <si>
    <t>baf44f41</t>
  </si>
  <si>
    <t>d88b0e6e</t>
  </si>
  <si>
    <t>e943737e</t>
  </si>
  <si>
    <t>b11a21f2</t>
  </si>
  <si>
    <t>55fa8f6a</t>
  </si>
  <si>
    <t>e84f20f0</t>
  </si>
  <si>
    <t>9a635fc6</t>
  </si>
  <si>
    <t>f74c9c70</t>
  </si>
  <si>
    <t>0dbeb2d5</t>
  </si>
  <si>
    <t>c103b737</t>
  </si>
  <si>
    <t>4797c599</t>
  </si>
  <si>
    <t>cf3fa58f</t>
  </si>
  <si>
    <t>4879fa45</t>
  </si>
  <si>
    <t>0a9caa10</t>
  </si>
  <si>
    <t>754c2d8f</t>
  </si>
  <si>
    <t>236d9423</t>
  </si>
  <si>
    <t>70ee391c</t>
  </si>
  <si>
    <t>608a5def</t>
  </si>
  <si>
    <t>7ece7ef8</t>
  </si>
  <si>
    <t>a20e8677</t>
  </si>
  <si>
    <t>f169d1ee</t>
  </si>
  <si>
    <t>18c4d601</t>
  </si>
  <si>
    <t>98e967ea</t>
  </si>
  <si>
    <t>69cfe392</t>
  </si>
  <si>
    <t>f3e6feee</t>
  </si>
  <si>
    <t>5426a195</t>
  </si>
  <si>
    <t>551525ec</t>
  </si>
  <si>
    <t>364c10f6</t>
  </si>
  <si>
    <t>9c528e8e</t>
  </si>
  <si>
    <t>21af2252</t>
  </si>
  <si>
    <t>a020032a</t>
  </si>
  <si>
    <t>32a10c4d</t>
  </si>
  <si>
    <t>f96d7b49</t>
  </si>
  <si>
    <t>7ff909e7</t>
  </si>
  <si>
    <t>b4a5da42</t>
  </si>
  <si>
    <t>a9a0eafa</t>
  </si>
  <si>
    <t>62fc395f</t>
  </si>
  <si>
    <t>e4684bf1</t>
  </si>
  <si>
    <t>2f349854</t>
  </si>
  <si>
    <t>de622a81</t>
  </si>
  <si>
    <t>153ef924</t>
  </si>
  <si>
    <t>881698dc</t>
  </si>
  <si>
    <t>434a4b79</t>
  </si>
  <si>
    <t>0e82ea72</t>
  </si>
  <si>
    <t>1387daca</t>
  </si>
  <si>
    <t>d8db096f</t>
  </si>
  <si>
    <t>5e4f7bc1</t>
  </si>
  <si>
    <t>9513a864</t>
  </si>
  <si>
    <t>64451ab1</t>
  </si>
  <si>
    <t>af19c914</t>
  </si>
  <si>
    <t>b9fe8241</t>
  </si>
  <si>
    <t>72a251e4</t>
  </si>
  <si>
    <t>f436234a</t>
  </si>
  <si>
    <t>3f6af0ef</t>
  </si>
  <si>
    <t>226fc057</t>
  </si>
  <si>
    <t>e93313f2</t>
  </si>
  <si>
    <t>6fa7615c</t>
  </si>
  <si>
    <t>a4fbb2f9</t>
  </si>
  <si>
    <t>55ad002c</t>
  </si>
  <si>
    <t>9ef1d389</t>
  </si>
  <si>
    <t>1f8989f5</t>
  </si>
  <si>
    <t>d4d55a50</t>
  </si>
  <si>
    <t>524128fe</t>
  </si>
  <si>
    <t>991dfb5b</t>
  </si>
  <si>
    <t>8418cbe3</t>
  </si>
  <si>
    <t>4f441846</t>
  </si>
  <si>
    <t>c9d06ae8</t>
  </si>
  <si>
    <t>028cb94d</t>
  </si>
  <si>
    <t>f3da0b98</t>
  </si>
  <si>
    <t>3886d83d</t>
  </si>
  <si>
    <t>da2eb77b</t>
  </si>
  <si>
    <t>117264de</t>
  </si>
  <si>
    <t>97e61670</t>
  </si>
  <si>
    <t>5cbac5d5</t>
  </si>
  <si>
    <t>41bff56d</t>
  </si>
  <si>
    <t>8ae326c8</t>
  </si>
  <si>
    <t>0c775466</t>
  </si>
  <si>
    <t>c72b87c3</t>
  </si>
  <si>
    <t>367d3516</t>
  </si>
  <si>
    <t>fd21e6b3</t>
  </si>
  <si>
    <t>7c59bccf</t>
  </si>
  <si>
    <t>b7056f6a</t>
  </si>
  <si>
    <t>31911dc4</t>
  </si>
  <si>
    <t>facdce61</t>
  </si>
  <si>
    <t>e7c8fed9</t>
  </si>
  <si>
    <t>2c942d7c</t>
  </si>
  <si>
    <t>aa005fd2</t>
  </si>
  <si>
    <t>615c8c77</t>
  </si>
  <si>
    <t>900a3ea2</t>
  </si>
  <si>
    <t>5b56ed07</t>
  </si>
  <si>
    <t>4db1a652</t>
  </si>
  <si>
    <t>86ed75f7</t>
  </si>
  <si>
    <t>cb25d4fc</t>
  </si>
  <si>
    <t>d620e444</t>
  </si>
  <si>
    <t>1d7c37e1</t>
  </si>
  <si>
    <t>9be8454f</t>
  </si>
  <si>
    <t>50b496ea</t>
  </si>
  <si>
    <t>a1e2243f</t>
  </si>
  <si>
    <t>6abef79a</t>
  </si>
  <si>
    <t>ebc6ade6</t>
  </si>
  <si>
    <t>209a7e43</t>
  </si>
  <si>
    <t>a60e0ced</t>
  </si>
  <si>
    <t>6d52df48</t>
  </si>
  <si>
    <t>7057eff0</t>
  </si>
  <si>
    <t>bb0b3c55</t>
  </si>
  <si>
    <t>3d9f4efb</t>
  </si>
  <si>
    <t>f6c39d5e</t>
  </si>
  <si>
    <t>07952f8b</t>
  </si>
  <si>
    <t>a9b891ee</t>
  </si>
  <si>
    <t>ccc9fc2e</t>
  </si>
  <si>
    <t>1d8edd0f</t>
  </si>
  <si>
    <t>d6d20eaa</t>
  </si>
  <si>
    <t>50467c04</t>
  </si>
  <si>
    <t>9b1aafa1</t>
  </si>
  <si>
    <t>861f9f19</t>
  </si>
  <si>
    <t>4d434cbc</t>
  </si>
  <si>
    <t>cbd73e12</t>
  </si>
  <si>
    <t>008bedb7</t>
  </si>
  <si>
    <t>f1dd5f62</t>
  </si>
  <si>
    <t>3a818cc7</t>
  </si>
  <si>
    <t>bbf9d6bb</t>
  </si>
  <si>
    <t>70a5051e</t>
  </si>
  <si>
    <t>f63177b0</t>
  </si>
  <si>
    <t>3d6da415</t>
  </si>
  <si>
    <t>206894ad</t>
  </si>
  <si>
    <t>eb344708</t>
  </si>
  <si>
    <t>6da035a6</t>
  </si>
  <si>
    <t>a6fce603</t>
  </si>
  <si>
    <t>57aa54d6</t>
  </si>
  <si>
    <t>9cf68773</t>
  </si>
  <si>
    <t>e87e63da</t>
  </si>
  <si>
    <t>2322b07f</t>
  </si>
  <si>
    <t>a5b6c2d1</t>
  </si>
  <si>
    <t>6eea1174</t>
  </si>
  <si>
    <t>73ef21cc</t>
  </si>
  <si>
    <t>b8b3f269</t>
  </si>
  <si>
    <t>3e2780c7</t>
  </si>
  <si>
    <t>f57b5362</t>
  </si>
  <si>
    <t>042de1b7</t>
  </si>
  <si>
    <t>cf713212</t>
  </si>
  <si>
    <t>4e09686e</t>
  </si>
  <si>
    <t>8555bbcb</t>
  </si>
  <si>
    <t>03c1c965</t>
  </si>
  <si>
    <t>c89d1ac0</t>
  </si>
  <si>
    <t>d5982a78</t>
  </si>
  <si>
    <t>1ec4f9dd</t>
  </si>
  <si>
    <t>98508b73</t>
  </si>
  <si>
    <t>530c58d6</t>
  </si>
  <si>
    <t>a25aea03</t>
  </si>
  <si>
    <t>690639a6</t>
  </si>
  <si>
    <t>7fe172f3</t>
  </si>
  <si>
    <t>b4bda156</t>
  </si>
  <si>
    <t>3229d3f8</t>
  </si>
  <si>
    <t>f975005d</t>
  </si>
  <si>
    <t>e47030e5</t>
  </si>
  <si>
    <t>2f2ce340</t>
  </si>
  <si>
    <t>c5de39d7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</si>
</sst>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1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/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/>
    </xf>
    <xf numFmtId="0" fontId="1" fillId="0" borderId="1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0" fontId="0" fillId="0" borderId="4" xfId="0" applyFill="1" applyBorder="1"/>
    <xf numFmtId="0" fontId="1" fillId="0" borderId="0" xfId="0" applyFon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1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14" fontId="0" fillId="0" borderId="4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20" xfId="0" applyFont="1" applyBorder="1" applyAlignment="1">
      <alignment horizontal="center" vertical="center" wrapText="1"/>
    </xf>
    <xf numFmtId="0" fontId="0" fillId="0" borderId="6" xfId="0" applyBorder="1"/>
    <xf numFmtId="0" fontId="0" fillId="0" borderId="22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2" borderId="2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1" fontId="0" fillId="0" borderId="0" xfId="0" applyNumberFormat="1" applyFill="1" applyAlignment="1">
      <alignment horizont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0" fillId="0" borderId="14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/>
    </xf>
    <xf numFmtId="0" fontId="5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0" fillId="0" borderId="7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0" xfId="0" applyNumberFormat="1"/>
    <xf numFmtId="0" fontId="1" fillId="0" borderId="1" xfId="0" applyNumberFormat="1" applyFon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1" fillId="0" borderId="15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 xr:uid="{0B8B17A2-8238-40F0-BF11-E14CB8DF8F91}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8BA8-B861-43D6-9FF7-13A60747BEF7}">
  <sheetPr codeName="Sheet1"/>
  <dimension ref="A1:I168"/>
  <sheetViews>
    <sheetView tabSelected="1" workbookViewId="0">
      <selection activeCell="A2" sqref="A1:A1048576"/>
    </sheetView>
  </sheetViews>
  <sheetFormatPr baseColWidth="10" defaultColWidth="8.83203125" defaultRowHeight="15" x14ac:dyDescent="0.2"/>
  <cols>
    <col min="1" max="1" width="8.83203125" style="120"/>
    <col min="3" max="3" width="10.6640625" style="117" customWidth="1"/>
  </cols>
  <sheetData>
    <row r="1" spans="1:9" ht="17" thickBot="1" x14ac:dyDescent="0.25">
      <c r="A1" s="83" t="s">
        <v>0</v>
      </c>
      <c r="B1" s="84"/>
      <c r="C1" s="84"/>
      <c r="D1" s="84"/>
      <c r="E1" s="84"/>
      <c r="F1" s="85"/>
      <c r="G1" s="86" t="s">
        <v>1</v>
      </c>
      <c r="H1" s="87"/>
      <c r="I1" s="88"/>
    </row>
    <row r="2" spans="1:9" ht="33" thickBot="1" x14ac:dyDescent="0.25">
      <c r="A2" s="121" t="s">
        <v>2</v>
      </c>
      <c r="B2" s="2" t="s">
        <v>3</v>
      </c>
      <c r="C2" s="107" t="s">
        <v>94</v>
      </c>
      <c r="D2" s="3" t="s">
        <v>4</v>
      </c>
      <c r="E2" s="3" t="s">
        <v>5</v>
      </c>
      <c r="F2" s="4" t="s">
        <v>6</v>
      </c>
      <c r="G2" s="1" t="s">
        <v>7</v>
      </c>
      <c r="H2" s="2" t="s">
        <v>5</v>
      </c>
      <c r="I2" s="5" t="s">
        <v>6</v>
      </c>
    </row>
    <row r="3" spans="1:9" x14ac:dyDescent="0.2">
      <c r="A3" s="122" t="s">
        <v>257</v>
      </c>
      <c r="B3" s="7">
        <v>42</v>
      </c>
      <c r="C3" s="117" t="s">
        <v>95</v>
      </c>
      <c r="D3" s="7">
        <v>15</v>
      </c>
      <c r="E3" s="7">
        <v>9</v>
      </c>
      <c r="F3" s="9">
        <f t="shared" ref="F3:F22" si="0">D3-E3</f>
        <v>6</v>
      </c>
      <c r="G3" s="6">
        <v>15</v>
      </c>
      <c r="H3" s="7">
        <v>9</v>
      </c>
      <c r="I3" s="9">
        <v>6</v>
      </c>
    </row>
    <row r="4" spans="1:9" x14ac:dyDescent="0.2">
      <c r="A4" s="122" t="s">
        <v>257</v>
      </c>
      <c r="B4" s="7">
        <v>42</v>
      </c>
      <c r="C4" s="117" t="s">
        <v>96</v>
      </c>
      <c r="D4" s="7">
        <v>16</v>
      </c>
      <c r="E4" s="7">
        <v>1</v>
      </c>
      <c r="F4" s="9">
        <f t="shared" si="0"/>
        <v>15</v>
      </c>
      <c r="G4" s="6">
        <v>16</v>
      </c>
      <c r="H4" s="7">
        <v>1</v>
      </c>
      <c r="I4" s="9">
        <v>15</v>
      </c>
    </row>
    <row r="5" spans="1:9" x14ac:dyDescent="0.2">
      <c r="A5" s="122" t="s">
        <v>258</v>
      </c>
      <c r="B5" s="7">
        <v>37</v>
      </c>
      <c r="C5" s="117" t="s">
        <v>97</v>
      </c>
      <c r="D5" s="7">
        <v>6</v>
      </c>
      <c r="E5" s="7">
        <v>4</v>
      </c>
      <c r="F5" s="9">
        <f t="shared" si="0"/>
        <v>2</v>
      </c>
      <c r="G5" s="6">
        <v>6</v>
      </c>
      <c r="H5" s="7">
        <v>4</v>
      </c>
      <c r="I5" s="9">
        <v>2</v>
      </c>
    </row>
    <row r="6" spans="1:9" x14ac:dyDescent="0.2">
      <c r="A6" s="122" t="s">
        <v>259</v>
      </c>
      <c r="B6" s="7">
        <v>36</v>
      </c>
      <c r="C6" s="117" t="s">
        <v>98</v>
      </c>
      <c r="D6" s="7">
        <v>7</v>
      </c>
      <c r="E6" s="7">
        <v>2</v>
      </c>
      <c r="F6" s="9">
        <f t="shared" si="0"/>
        <v>5</v>
      </c>
      <c r="G6" s="6">
        <v>7</v>
      </c>
      <c r="H6" s="7">
        <v>2</v>
      </c>
      <c r="I6" s="9">
        <v>5</v>
      </c>
    </row>
    <row r="7" spans="1:9" x14ac:dyDescent="0.2">
      <c r="A7" s="122" t="s">
        <v>260</v>
      </c>
      <c r="B7" s="7">
        <v>41</v>
      </c>
      <c r="C7" s="117" t="s">
        <v>99</v>
      </c>
      <c r="D7" s="7">
        <v>12</v>
      </c>
      <c r="E7" s="7">
        <v>5</v>
      </c>
      <c r="F7" s="9">
        <f t="shared" si="0"/>
        <v>7</v>
      </c>
      <c r="G7" s="6">
        <v>10</v>
      </c>
      <c r="H7" s="7">
        <v>5</v>
      </c>
      <c r="I7" s="9">
        <v>5</v>
      </c>
    </row>
    <row r="8" spans="1:9" x14ac:dyDescent="0.2">
      <c r="A8" s="122" t="s">
        <v>261</v>
      </c>
      <c r="B8" s="7">
        <v>42</v>
      </c>
      <c r="C8" s="117" t="s">
        <v>100</v>
      </c>
      <c r="D8" s="7">
        <v>8</v>
      </c>
      <c r="E8" s="7">
        <v>4</v>
      </c>
      <c r="F8" s="9">
        <f t="shared" si="0"/>
        <v>4</v>
      </c>
      <c r="G8" s="6">
        <v>7</v>
      </c>
      <c r="H8" s="7">
        <v>4</v>
      </c>
      <c r="I8" s="9">
        <v>3</v>
      </c>
    </row>
    <row r="9" spans="1:9" x14ac:dyDescent="0.2">
      <c r="A9" s="122" t="s">
        <v>261</v>
      </c>
      <c r="B9" s="7">
        <v>42</v>
      </c>
      <c r="C9" s="117" t="s">
        <v>101</v>
      </c>
      <c r="D9" s="7">
        <v>8</v>
      </c>
      <c r="E9" s="7">
        <v>1</v>
      </c>
      <c r="F9" s="9">
        <f t="shared" si="0"/>
        <v>7</v>
      </c>
      <c r="G9" s="6">
        <v>1</v>
      </c>
      <c r="H9" s="7">
        <v>1</v>
      </c>
      <c r="I9" s="9"/>
    </row>
    <row r="10" spans="1:9" x14ac:dyDescent="0.2">
      <c r="A10" s="122" t="s">
        <v>262</v>
      </c>
      <c r="B10" s="7">
        <v>37</v>
      </c>
      <c r="C10" s="117" t="s">
        <v>102</v>
      </c>
      <c r="D10" s="7">
        <v>7</v>
      </c>
      <c r="E10" s="7">
        <v>7</v>
      </c>
      <c r="F10" s="9">
        <f t="shared" si="0"/>
        <v>0</v>
      </c>
      <c r="G10" s="6">
        <v>7</v>
      </c>
      <c r="H10" s="7">
        <v>7</v>
      </c>
      <c r="I10" s="9"/>
    </row>
    <row r="11" spans="1:9" x14ac:dyDescent="0.2">
      <c r="A11" s="122" t="s">
        <v>262</v>
      </c>
      <c r="B11" s="7">
        <v>37</v>
      </c>
      <c r="C11" s="117">
        <v>6155088</v>
      </c>
      <c r="D11" s="7">
        <v>5</v>
      </c>
      <c r="E11" s="7">
        <v>5</v>
      </c>
      <c r="F11" s="9">
        <f t="shared" si="0"/>
        <v>0</v>
      </c>
      <c r="G11" s="6">
        <v>5</v>
      </c>
      <c r="H11" s="7">
        <v>5</v>
      </c>
      <c r="I11" s="9"/>
    </row>
    <row r="12" spans="1:9" x14ac:dyDescent="0.2">
      <c r="A12" s="122" t="s">
        <v>263</v>
      </c>
      <c r="B12" s="7">
        <v>38</v>
      </c>
      <c r="C12" s="117" t="s">
        <v>103</v>
      </c>
      <c r="D12" s="7">
        <v>10</v>
      </c>
      <c r="E12" s="7">
        <v>4</v>
      </c>
      <c r="F12" s="9">
        <f t="shared" si="0"/>
        <v>6</v>
      </c>
      <c r="G12" s="6">
        <v>4</v>
      </c>
      <c r="H12" s="7">
        <v>4</v>
      </c>
      <c r="I12" s="9"/>
    </row>
    <row r="13" spans="1:9" x14ac:dyDescent="0.2">
      <c r="A13" s="122" t="s">
        <v>263</v>
      </c>
      <c r="B13" s="7">
        <v>39</v>
      </c>
      <c r="C13" s="117" t="s">
        <v>104</v>
      </c>
      <c r="D13" s="7">
        <v>4</v>
      </c>
      <c r="E13" s="7">
        <v>4</v>
      </c>
      <c r="F13" s="9">
        <f t="shared" si="0"/>
        <v>0</v>
      </c>
      <c r="G13" s="6">
        <v>4</v>
      </c>
      <c r="H13" s="7">
        <v>4</v>
      </c>
      <c r="I13" s="9"/>
    </row>
    <row r="14" spans="1:9" x14ac:dyDescent="0.2">
      <c r="A14" s="122" t="s">
        <v>264</v>
      </c>
      <c r="B14" s="7">
        <v>43</v>
      </c>
      <c r="C14" s="117" t="s">
        <v>105</v>
      </c>
      <c r="D14" s="7">
        <v>10</v>
      </c>
      <c r="E14" s="7">
        <v>4</v>
      </c>
      <c r="F14" s="9">
        <f t="shared" si="0"/>
        <v>6</v>
      </c>
      <c r="G14" s="6">
        <v>10</v>
      </c>
      <c r="H14" s="7">
        <v>4</v>
      </c>
      <c r="I14" s="9">
        <v>6</v>
      </c>
    </row>
    <row r="15" spans="1:9" x14ac:dyDescent="0.2">
      <c r="A15" s="122" t="s">
        <v>265</v>
      </c>
      <c r="B15" s="7">
        <v>42</v>
      </c>
      <c r="C15" s="117" t="s">
        <v>106</v>
      </c>
      <c r="D15" s="7">
        <v>17</v>
      </c>
      <c r="E15" s="7">
        <v>10</v>
      </c>
      <c r="F15" s="9">
        <f t="shared" si="0"/>
        <v>7</v>
      </c>
      <c r="G15" s="6">
        <v>10</v>
      </c>
      <c r="H15" s="7">
        <v>10</v>
      </c>
      <c r="I15" s="9"/>
    </row>
    <row r="16" spans="1:9" x14ac:dyDescent="0.2">
      <c r="A16" s="122" t="s">
        <v>266</v>
      </c>
      <c r="B16" s="7">
        <v>35</v>
      </c>
      <c r="C16" s="117" t="s">
        <v>107</v>
      </c>
      <c r="D16" s="7">
        <v>9</v>
      </c>
      <c r="E16" s="7">
        <v>3</v>
      </c>
      <c r="F16" s="9">
        <f t="shared" si="0"/>
        <v>6</v>
      </c>
      <c r="G16" s="6">
        <v>7</v>
      </c>
      <c r="H16" s="7">
        <v>2</v>
      </c>
      <c r="I16" s="9">
        <v>5</v>
      </c>
    </row>
    <row r="17" spans="1:9" x14ac:dyDescent="0.2">
      <c r="A17" s="122" t="s">
        <v>267</v>
      </c>
      <c r="B17" s="7">
        <v>35</v>
      </c>
      <c r="C17" s="116" t="s">
        <v>108</v>
      </c>
      <c r="D17" s="7">
        <v>4</v>
      </c>
      <c r="E17" s="7">
        <v>4</v>
      </c>
      <c r="F17" s="9">
        <f t="shared" si="0"/>
        <v>0</v>
      </c>
      <c r="G17" s="6">
        <v>4</v>
      </c>
      <c r="H17" s="7">
        <v>4</v>
      </c>
      <c r="I17" s="9"/>
    </row>
    <row r="18" spans="1:9" x14ac:dyDescent="0.2">
      <c r="A18" s="122" t="s">
        <v>381</v>
      </c>
      <c r="B18" s="7">
        <v>43</v>
      </c>
      <c r="C18" s="117" t="s">
        <v>109</v>
      </c>
      <c r="D18" s="7">
        <v>4</v>
      </c>
      <c r="E18" s="7">
        <v>1</v>
      </c>
      <c r="F18" s="9">
        <f t="shared" si="0"/>
        <v>3</v>
      </c>
      <c r="G18" s="6">
        <v>1</v>
      </c>
      <c r="H18" s="7">
        <v>1</v>
      </c>
      <c r="I18" s="9"/>
    </row>
    <row r="19" spans="1:9" x14ac:dyDescent="0.2">
      <c r="A19" s="122" t="s">
        <v>381</v>
      </c>
      <c r="B19" s="7">
        <v>43</v>
      </c>
      <c r="C19" s="117" t="s">
        <v>110</v>
      </c>
      <c r="D19" s="7">
        <v>9</v>
      </c>
      <c r="E19" s="7">
        <v>5</v>
      </c>
      <c r="F19" s="9">
        <f t="shared" si="0"/>
        <v>4</v>
      </c>
      <c r="G19" s="6">
        <v>5</v>
      </c>
      <c r="H19" s="7">
        <v>5</v>
      </c>
      <c r="I19" s="9"/>
    </row>
    <row r="20" spans="1:9" x14ac:dyDescent="0.2">
      <c r="A20" s="122" t="s">
        <v>381</v>
      </c>
      <c r="B20" s="7">
        <v>43</v>
      </c>
      <c r="C20" s="117" t="s">
        <v>111</v>
      </c>
      <c r="D20" s="7">
        <v>8</v>
      </c>
      <c r="E20" s="7">
        <v>1</v>
      </c>
      <c r="F20" s="9">
        <f t="shared" si="0"/>
        <v>7</v>
      </c>
      <c r="G20" s="6">
        <v>1</v>
      </c>
      <c r="H20" s="7">
        <v>1</v>
      </c>
      <c r="I20" s="9"/>
    </row>
    <row r="21" spans="1:9" x14ac:dyDescent="0.2">
      <c r="A21" s="122" t="s">
        <v>268</v>
      </c>
      <c r="B21" s="7">
        <v>38</v>
      </c>
      <c r="C21" s="117" t="s">
        <v>112</v>
      </c>
      <c r="D21" s="7">
        <v>8</v>
      </c>
      <c r="E21" s="7">
        <v>1</v>
      </c>
      <c r="F21" s="9">
        <f t="shared" si="0"/>
        <v>7</v>
      </c>
      <c r="G21" s="6">
        <v>8</v>
      </c>
      <c r="H21" s="7">
        <v>1</v>
      </c>
      <c r="I21" s="9">
        <v>7</v>
      </c>
    </row>
    <row r="22" spans="1:9" x14ac:dyDescent="0.2">
      <c r="A22" s="122" t="s">
        <v>268</v>
      </c>
      <c r="B22" s="7">
        <v>39</v>
      </c>
      <c r="C22" s="117" t="s">
        <v>113</v>
      </c>
      <c r="D22" s="7">
        <v>13</v>
      </c>
      <c r="E22" s="7">
        <v>4</v>
      </c>
      <c r="F22" s="9">
        <f t="shared" si="0"/>
        <v>9</v>
      </c>
      <c r="G22" s="6">
        <v>13</v>
      </c>
      <c r="H22" s="7">
        <v>4</v>
      </c>
      <c r="I22" s="9">
        <v>9</v>
      </c>
    </row>
    <row r="23" spans="1:9" x14ac:dyDescent="0.2">
      <c r="A23" s="122" t="s">
        <v>269</v>
      </c>
      <c r="B23" s="7">
        <v>42</v>
      </c>
      <c r="C23" s="117" t="s">
        <v>114</v>
      </c>
      <c r="D23" s="7">
        <v>9</v>
      </c>
      <c r="E23" s="7">
        <v>9</v>
      </c>
      <c r="F23" s="9">
        <v>0</v>
      </c>
      <c r="G23" s="6">
        <v>9</v>
      </c>
      <c r="H23" s="7">
        <v>9</v>
      </c>
      <c r="I23" s="9"/>
    </row>
    <row r="24" spans="1:9" x14ac:dyDescent="0.2">
      <c r="A24" s="122" t="s">
        <v>270</v>
      </c>
      <c r="B24" s="7">
        <v>41</v>
      </c>
      <c r="C24" s="117" t="s">
        <v>115</v>
      </c>
      <c r="D24" s="7">
        <v>7</v>
      </c>
      <c r="E24" s="7">
        <v>3</v>
      </c>
      <c r="F24" s="9">
        <f t="shared" ref="F24:F50" si="1">D24-E24</f>
        <v>4</v>
      </c>
      <c r="G24" s="6">
        <v>7</v>
      </c>
      <c r="H24" s="7">
        <v>3</v>
      </c>
      <c r="I24" s="9">
        <v>4</v>
      </c>
    </row>
    <row r="25" spans="1:9" x14ac:dyDescent="0.2">
      <c r="A25" s="122" t="s">
        <v>270</v>
      </c>
      <c r="B25" s="7">
        <v>42</v>
      </c>
      <c r="C25" s="117" t="s">
        <v>116</v>
      </c>
      <c r="D25" s="7">
        <v>6</v>
      </c>
      <c r="E25" s="7">
        <v>3</v>
      </c>
      <c r="F25" s="9">
        <f t="shared" si="1"/>
        <v>3</v>
      </c>
      <c r="G25" s="6">
        <v>5</v>
      </c>
      <c r="H25" s="7">
        <v>3</v>
      </c>
      <c r="I25" s="9">
        <v>2</v>
      </c>
    </row>
    <row r="26" spans="1:9" x14ac:dyDescent="0.2">
      <c r="A26" s="122" t="s">
        <v>271</v>
      </c>
      <c r="B26" s="7">
        <v>41</v>
      </c>
      <c r="C26" s="117" t="s">
        <v>117</v>
      </c>
      <c r="D26" s="7">
        <v>3</v>
      </c>
      <c r="E26" s="7">
        <v>1</v>
      </c>
      <c r="F26" s="9">
        <f t="shared" si="1"/>
        <v>2</v>
      </c>
      <c r="G26" s="6">
        <v>1</v>
      </c>
      <c r="H26" s="7">
        <v>1</v>
      </c>
      <c r="I26" s="9"/>
    </row>
    <row r="27" spans="1:9" x14ac:dyDescent="0.2">
      <c r="A27" s="122" t="s">
        <v>272</v>
      </c>
      <c r="B27" s="7">
        <v>42</v>
      </c>
      <c r="C27" s="117" t="s">
        <v>118</v>
      </c>
      <c r="D27" s="7">
        <v>10</v>
      </c>
      <c r="E27" s="7">
        <v>5</v>
      </c>
      <c r="F27" s="9">
        <f t="shared" si="1"/>
        <v>5</v>
      </c>
      <c r="G27" s="6">
        <v>5</v>
      </c>
      <c r="H27" s="7">
        <v>5</v>
      </c>
      <c r="I27" s="9"/>
    </row>
    <row r="28" spans="1:9" x14ac:dyDescent="0.2">
      <c r="A28" s="122" t="s">
        <v>272</v>
      </c>
      <c r="B28" s="7">
        <v>42</v>
      </c>
      <c r="C28" s="117" t="s">
        <v>119</v>
      </c>
      <c r="D28" s="7">
        <v>2</v>
      </c>
      <c r="E28" s="7">
        <v>2</v>
      </c>
      <c r="F28" s="9">
        <f t="shared" si="1"/>
        <v>0</v>
      </c>
      <c r="G28" s="6">
        <v>2</v>
      </c>
      <c r="H28" s="7">
        <v>2</v>
      </c>
      <c r="I28" s="9"/>
    </row>
    <row r="29" spans="1:9" x14ac:dyDescent="0.2">
      <c r="A29" s="122" t="s">
        <v>272</v>
      </c>
      <c r="B29" s="7">
        <v>43</v>
      </c>
      <c r="C29" s="117" t="s">
        <v>120</v>
      </c>
      <c r="D29" s="7">
        <v>10</v>
      </c>
      <c r="E29" s="7">
        <v>2</v>
      </c>
      <c r="F29" s="9">
        <f t="shared" si="1"/>
        <v>8</v>
      </c>
      <c r="G29" s="6">
        <v>2</v>
      </c>
      <c r="H29" s="7">
        <v>2</v>
      </c>
      <c r="I29" s="9"/>
    </row>
    <row r="30" spans="1:9" x14ac:dyDescent="0.2">
      <c r="A30" s="122" t="s">
        <v>272</v>
      </c>
      <c r="B30" s="7">
        <v>43</v>
      </c>
      <c r="C30" s="117" t="s">
        <v>121</v>
      </c>
      <c r="D30" s="7">
        <v>8</v>
      </c>
      <c r="E30" s="7">
        <v>7</v>
      </c>
      <c r="F30" s="9">
        <f t="shared" si="1"/>
        <v>1</v>
      </c>
      <c r="G30" s="6">
        <v>7</v>
      </c>
      <c r="H30" s="7">
        <v>7</v>
      </c>
      <c r="I30" s="9"/>
    </row>
    <row r="31" spans="1:9" x14ac:dyDescent="0.2">
      <c r="A31" s="122" t="s">
        <v>272</v>
      </c>
      <c r="B31" s="7">
        <v>44</v>
      </c>
      <c r="C31" s="117" t="s">
        <v>122</v>
      </c>
      <c r="D31" s="7">
        <v>6</v>
      </c>
      <c r="E31" s="7">
        <v>2</v>
      </c>
      <c r="F31" s="9">
        <f t="shared" si="1"/>
        <v>4</v>
      </c>
      <c r="G31" s="6">
        <v>2</v>
      </c>
      <c r="H31" s="7">
        <v>2</v>
      </c>
      <c r="I31" s="9"/>
    </row>
    <row r="32" spans="1:9" x14ac:dyDescent="0.2">
      <c r="A32" s="122" t="s">
        <v>273</v>
      </c>
      <c r="B32" s="7">
        <v>38</v>
      </c>
      <c r="C32" s="117" t="s">
        <v>123</v>
      </c>
      <c r="D32" s="7">
        <v>11</v>
      </c>
      <c r="E32" s="7">
        <v>8</v>
      </c>
      <c r="F32" s="9">
        <f t="shared" si="1"/>
        <v>3</v>
      </c>
      <c r="G32" s="6">
        <v>11</v>
      </c>
      <c r="H32" s="7">
        <v>8</v>
      </c>
      <c r="I32" s="9">
        <v>3</v>
      </c>
    </row>
    <row r="33" spans="1:9" x14ac:dyDescent="0.2">
      <c r="A33" s="122" t="s">
        <v>274</v>
      </c>
      <c r="B33" s="7">
        <v>39</v>
      </c>
      <c r="C33" s="117" t="s">
        <v>124</v>
      </c>
      <c r="D33" s="7">
        <v>9</v>
      </c>
      <c r="E33" s="7">
        <v>3</v>
      </c>
      <c r="F33" s="9">
        <f t="shared" si="1"/>
        <v>6</v>
      </c>
      <c r="G33" s="6">
        <v>8</v>
      </c>
      <c r="H33" s="7">
        <v>3</v>
      </c>
      <c r="I33" s="9">
        <v>5</v>
      </c>
    </row>
    <row r="34" spans="1:9" x14ac:dyDescent="0.2">
      <c r="A34" s="122" t="s">
        <v>275</v>
      </c>
      <c r="B34" s="7">
        <v>36</v>
      </c>
      <c r="C34" s="117" t="s">
        <v>125</v>
      </c>
      <c r="D34" s="7">
        <v>15</v>
      </c>
      <c r="E34" s="7">
        <v>8</v>
      </c>
      <c r="F34" s="9">
        <f t="shared" si="1"/>
        <v>7</v>
      </c>
      <c r="G34" s="6">
        <v>8</v>
      </c>
      <c r="H34" s="7">
        <v>8</v>
      </c>
      <c r="I34" s="9"/>
    </row>
    <row r="35" spans="1:9" x14ac:dyDescent="0.2">
      <c r="A35" s="122" t="s">
        <v>276</v>
      </c>
      <c r="B35" s="7">
        <v>34</v>
      </c>
      <c r="C35" s="117" t="s">
        <v>126</v>
      </c>
      <c r="D35" s="7">
        <v>5</v>
      </c>
      <c r="E35" s="7">
        <v>1</v>
      </c>
      <c r="F35" s="9">
        <f t="shared" si="1"/>
        <v>4</v>
      </c>
      <c r="G35" s="6">
        <v>2</v>
      </c>
      <c r="H35" s="7">
        <v>1</v>
      </c>
      <c r="I35" s="9">
        <v>1</v>
      </c>
    </row>
    <row r="36" spans="1:9" x14ac:dyDescent="0.2">
      <c r="A36" s="122" t="s">
        <v>276</v>
      </c>
      <c r="B36" s="7">
        <v>34</v>
      </c>
      <c r="C36" s="117" t="s">
        <v>127</v>
      </c>
      <c r="D36" s="7">
        <v>7</v>
      </c>
      <c r="E36" s="7">
        <v>4</v>
      </c>
      <c r="F36" s="9">
        <f t="shared" si="1"/>
        <v>3</v>
      </c>
      <c r="G36" s="6">
        <v>7</v>
      </c>
      <c r="H36" s="7">
        <v>4</v>
      </c>
      <c r="I36" s="9">
        <v>3</v>
      </c>
    </row>
    <row r="37" spans="1:9" x14ac:dyDescent="0.2">
      <c r="A37" s="122" t="s">
        <v>277</v>
      </c>
      <c r="B37" s="7">
        <v>40</v>
      </c>
      <c r="C37" s="117" t="s">
        <v>128</v>
      </c>
      <c r="D37" s="7">
        <v>3</v>
      </c>
      <c r="E37" s="7">
        <v>1</v>
      </c>
      <c r="F37" s="9">
        <f t="shared" si="1"/>
        <v>2</v>
      </c>
      <c r="G37" s="6">
        <v>3</v>
      </c>
      <c r="H37" s="7">
        <v>1</v>
      </c>
      <c r="I37" s="9">
        <v>2</v>
      </c>
    </row>
    <row r="38" spans="1:9" x14ac:dyDescent="0.2">
      <c r="A38" s="122" t="s">
        <v>278</v>
      </c>
      <c r="B38" s="7">
        <v>43</v>
      </c>
      <c r="C38" s="117" t="s">
        <v>129</v>
      </c>
      <c r="D38" s="7">
        <v>5</v>
      </c>
      <c r="E38" s="7">
        <v>2</v>
      </c>
      <c r="F38" s="9">
        <f t="shared" si="1"/>
        <v>3</v>
      </c>
      <c r="G38" s="6">
        <v>5</v>
      </c>
      <c r="H38" s="7">
        <v>2</v>
      </c>
      <c r="I38" s="9">
        <v>3</v>
      </c>
    </row>
    <row r="39" spans="1:9" x14ac:dyDescent="0.2">
      <c r="A39" s="122" t="s">
        <v>279</v>
      </c>
      <c r="B39" s="7">
        <v>40</v>
      </c>
      <c r="C39" s="117" t="s">
        <v>130</v>
      </c>
      <c r="D39" s="7">
        <v>4</v>
      </c>
      <c r="E39" s="7">
        <v>2</v>
      </c>
      <c r="F39" s="9">
        <f t="shared" si="1"/>
        <v>2</v>
      </c>
      <c r="G39" s="6">
        <v>4</v>
      </c>
      <c r="H39" s="7">
        <v>2</v>
      </c>
      <c r="I39" s="9">
        <v>2</v>
      </c>
    </row>
    <row r="40" spans="1:9" x14ac:dyDescent="0.2">
      <c r="A40" s="122" t="s">
        <v>280</v>
      </c>
      <c r="B40" s="7">
        <v>38</v>
      </c>
      <c r="C40" s="117" t="s">
        <v>131</v>
      </c>
      <c r="D40" s="7">
        <v>8</v>
      </c>
      <c r="E40" s="7">
        <v>5</v>
      </c>
      <c r="F40" s="9">
        <f t="shared" si="1"/>
        <v>3</v>
      </c>
      <c r="G40" s="6">
        <v>8</v>
      </c>
      <c r="H40" s="7">
        <v>5</v>
      </c>
      <c r="I40" s="9">
        <v>3</v>
      </c>
    </row>
    <row r="41" spans="1:9" x14ac:dyDescent="0.2">
      <c r="A41" s="122" t="s">
        <v>281</v>
      </c>
      <c r="B41" s="7">
        <v>38</v>
      </c>
      <c r="C41" s="117" t="s">
        <v>132</v>
      </c>
      <c r="D41" s="7">
        <v>5</v>
      </c>
      <c r="E41" s="7">
        <v>1</v>
      </c>
      <c r="F41" s="9">
        <f t="shared" si="1"/>
        <v>4</v>
      </c>
      <c r="G41" s="6">
        <v>4</v>
      </c>
      <c r="H41" s="7"/>
      <c r="I41" s="9">
        <v>4</v>
      </c>
    </row>
    <row r="42" spans="1:9" x14ac:dyDescent="0.2">
      <c r="A42" s="122" t="s">
        <v>281</v>
      </c>
      <c r="B42" s="7">
        <v>39</v>
      </c>
      <c r="C42" s="117" t="s">
        <v>133</v>
      </c>
      <c r="D42" s="7">
        <v>7</v>
      </c>
      <c r="E42" s="7">
        <v>1</v>
      </c>
      <c r="F42" s="9">
        <f t="shared" si="1"/>
        <v>6</v>
      </c>
      <c r="G42" s="6">
        <v>4</v>
      </c>
      <c r="H42" s="7">
        <v>1</v>
      </c>
      <c r="I42" s="9">
        <v>3</v>
      </c>
    </row>
    <row r="43" spans="1:9" x14ac:dyDescent="0.2">
      <c r="A43" s="122" t="s">
        <v>282</v>
      </c>
      <c r="B43" s="7">
        <v>34</v>
      </c>
      <c r="C43" s="117" t="s">
        <v>134</v>
      </c>
      <c r="D43" s="7">
        <v>6</v>
      </c>
      <c r="E43" s="7">
        <v>3</v>
      </c>
      <c r="F43" s="9">
        <f t="shared" si="1"/>
        <v>3</v>
      </c>
      <c r="G43" s="6">
        <v>6</v>
      </c>
      <c r="H43" s="7">
        <v>3</v>
      </c>
      <c r="I43" s="9">
        <v>3</v>
      </c>
    </row>
    <row r="44" spans="1:9" x14ac:dyDescent="0.2">
      <c r="A44" s="122" t="s">
        <v>283</v>
      </c>
      <c r="B44" s="7">
        <v>35</v>
      </c>
      <c r="C44" s="117" t="s">
        <v>135</v>
      </c>
      <c r="D44" s="7">
        <v>15</v>
      </c>
      <c r="E44" s="7">
        <v>5</v>
      </c>
      <c r="F44" s="9">
        <f t="shared" si="1"/>
        <v>10</v>
      </c>
      <c r="G44" s="6">
        <v>14</v>
      </c>
      <c r="H44" s="7">
        <v>5</v>
      </c>
      <c r="I44" s="9">
        <v>9</v>
      </c>
    </row>
    <row r="45" spans="1:9" x14ac:dyDescent="0.2">
      <c r="A45" s="122" t="s">
        <v>284</v>
      </c>
      <c r="B45" s="7">
        <v>42</v>
      </c>
      <c r="C45" s="117" t="s">
        <v>136</v>
      </c>
      <c r="D45" s="7">
        <v>6</v>
      </c>
      <c r="E45" s="7">
        <v>1</v>
      </c>
      <c r="F45" s="9">
        <f t="shared" si="1"/>
        <v>5</v>
      </c>
      <c r="G45" s="6">
        <v>6</v>
      </c>
      <c r="H45" s="7">
        <v>1</v>
      </c>
      <c r="I45" s="9">
        <v>5</v>
      </c>
    </row>
    <row r="46" spans="1:9" x14ac:dyDescent="0.2">
      <c r="A46" s="122" t="s">
        <v>285</v>
      </c>
      <c r="B46" s="7">
        <v>31</v>
      </c>
      <c r="C46" s="117" t="s">
        <v>137</v>
      </c>
      <c r="D46" s="7">
        <v>13</v>
      </c>
      <c r="E46" s="7">
        <v>13</v>
      </c>
      <c r="F46" s="9">
        <f t="shared" si="1"/>
        <v>0</v>
      </c>
      <c r="G46" s="6">
        <v>13</v>
      </c>
      <c r="H46" s="7">
        <v>13</v>
      </c>
      <c r="I46" s="9"/>
    </row>
    <row r="47" spans="1:9" x14ac:dyDescent="0.2">
      <c r="A47" s="122" t="s">
        <v>286</v>
      </c>
      <c r="B47" s="7">
        <v>39</v>
      </c>
      <c r="C47" s="117" t="s">
        <v>138</v>
      </c>
      <c r="D47" s="7">
        <v>7</v>
      </c>
      <c r="E47" s="7">
        <v>4</v>
      </c>
      <c r="F47" s="9">
        <f t="shared" si="1"/>
        <v>3</v>
      </c>
      <c r="G47" s="6">
        <v>4</v>
      </c>
      <c r="H47" s="7">
        <v>4</v>
      </c>
      <c r="I47" s="9"/>
    </row>
    <row r="48" spans="1:9" x14ac:dyDescent="0.2">
      <c r="A48" s="122" t="s">
        <v>287</v>
      </c>
      <c r="B48" s="7">
        <v>40</v>
      </c>
      <c r="C48" s="117" t="s">
        <v>139</v>
      </c>
      <c r="D48" s="7">
        <v>13</v>
      </c>
      <c r="E48" s="7">
        <v>11</v>
      </c>
      <c r="F48" s="9">
        <f t="shared" si="1"/>
        <v>2</v>
      </c>
      <c r="G48" s="6">
        <v>13</v>
      </c>
      <c r="H48" s="7">
        <v>11</v>
      </c>
      <c r="I48" s="9">
        <v>2</v>
      </c>
    </row>
    <row r="49" spans="1:9" x14ac:dyDescent="0.2">
      <c r="A49" s="122" t="s">
        <v>288</v>
      </c>
      <c r="B49" s="7">
        <v>36</v>
      </c>
      <c r="C49" s="117" t="s">
        <v>140</v>
      </c>
      <c r="D49" s="7">
        <v>7</v>
      </c>
      <c r="E49" s="7">
        <v>5</v>
      </c>
      <c r="F49" s="9">
        <f t="shared" si="1"/>
        <v>2</v>
      </c>
      <c r="G49" s="6">
        <v>7</v>
      </c>
      <c r="H49" s="7">
        <v>5</v>
      </c>
      <c r="I49" s="9">
        <v>2</v>
      </c>
    </row>
    <row r="50" spans="1:9" x14ac:dyDescent="0.2">
      <c r="A50" s="122" t="s">
        <v>288</v>
      </c>
      <c r="B50" s="7">
        <v>36</v>
      </c>
      <c r="C50" s="117" t="s">
        <v>141</v>
      </c>
      <c r="D50" s="7">
        <v>13</v>
      </c>
      <c r="E50" s="7">
        <v>8</v>
      </c>
      <c r="F50" s="9">
        <f t="shared" si="1"/>
        <v>5</v>
      </c>
      <c r="G50" s="6">
        <v>12</v>
      </c>
      <c r="H50" s="7">
        <v>8</v>
      </c>
      <c r="I50" s="9">
        <v>4</v>
      </c>
    </row>
    <row r="51" spans="1:9" x14ac:dyDescent="0.2">
      <c r="A51" s="122" t="s">
        <v>289</v>
      </c>
      <c r="B51" s="7">
        <v>43</v>
      </c>
      <c r="C51" s="117" t="s">
        <v>142</v>
      </c>
      <c r="D51" s="7">
        <v>5</v>
      </c>
      <c r="E51" s="7">
        <v>2</v>
      </c>
      <c r="F51" s="9">
        <v>3</v>
      </c>
      <c r="G51" s="6">
        <v>4</v>
      </c>
      <c r="H51" s="7">
        <v>2</v>
      </c>
      <c r="I51" s="9">
        <v>2</v>
      </c>
    </row>
    <row r="52" spans="1:9" x14ac:dyDescent="0.2">
      <c r="A52" s="122" t="s">
        <v>290</v>
      </c>
      <c r="B52" s="7">
        <v>40</v>
      </c>
      <c r="C52" s="117" t="s">
        <v>143</v>
      </c>
      <c r="D52" s="7">
        <v>8</v>
      </c>
      <c r="E52" s="7">
        <v>3</v>
      </c>
      <c r="F52" s="9">
        <f>D52-E52</f>
        <v>5</v>
      </c>
      <c r="G52" s="6">
        <v>8</v>
      </c>
      <c r="H52" s="7">
        <v>3</v>
      </c>
      <c r="I52" s="9">
        <v>5</v>
      </c>
    </row>
    <row r="53" spans="1:9" x14ac:dyDescent="0.2">
      <c r="A53" s="122" t="s">
        <v>291</v>
      </c>
      <c r="B53" s="7">
        <v>43</v>
      </c>
      <c r="C53" s="117" t="s">
        <v>144</v>
      </c>
      <c r="D53" s="7">
        <v>8</v>
      </c>
      <c r="E53" s="7">
        <v>3</v>
      </c>
      <c r="F53" s="9">
        <f>D53-E53</f>
        <v>5</v>
      </c>
      <c r="G53" s="6">
        <v>8</v>
      </c>
      <c r="H53" s="7">
        <v>3</v>
      </c>
      <c r="I53" s="9">
        <v>5</v>
      </c>
    </row>
    <row r="54" spans="1:9" x14ac:dyDescent="0.2">
      <c r="A54" s="122" t="s">
        <v>292</v>
      </c>
      <c r="B54" s="7">
        <v>36</v>
      </c>
      <c r="C54" s="117" t="s">
        <v>145</v>
      </c>
      <c r="D54" s="7">
        <v>3</v>
      </c>
      <c r="E54" s="7">
        <v>1</v>
      </c>
      <c r="F54" s="9">
        <f>D54-E54</f>
        <v>2</v>
      </c>
      <c r="G54" s="6">
        <v>3</v>
      </c>
      <c r="H54" s="7">
        <v>1</v>
      </c>
      <c r="I54" s="9">
        <v>2</v>
      </c>
    </row>
    <row r="55" spans="1:9" x14ac:dyDescent="0.2">
      <c r="A55" s="122" t="s">
        <v>293</v>
      </c>
      <c r="B55" s="7">
        <v>42</v>
      </c>
      <c r="C55" s="117" t="s">
        <v>146</v>
      </c>
      <c r="D55" s="7">
        <v>6</v>
      </c>
      <c r="E55" s="7">
        <v>2</v>
      </c>
      <c r="F55" s="9">
        <v>4</v>
      </c>
      <c r="G55" s="6">
        <v>6</v>
      </c>
      <c r="H55" s="7">
        <v>2</v>
      </c>
      <c r="I55" s="9">
        <v>4</v>
      </c>
    </row>
    <row r="56" spans="1:9" x14ac:dyDescent="0.2">
      <c r="A56" s="122" t="s">
        <v>293</v>
      </c>
      <c r="B56" s="7">
        <v>43</v>
      </c>
      <c r="C56" s="117" t="s">
        <v>147</v>
      </c>
      <c r="D56" s="7">
        <v>9</v>
      </c>
      <c r="E56" s="7">
        <v>5</v>
      </c>
      <c r="F56" s="9">
        <f t="shared" ref="F56:F61" si="2">D56-E56</f>
        <v>4</v>
      </c>
      <c r="G56" s="6">
        <v>8</v>
      </c>
      <c r="H56" s="7">
        <v>4</v>
      </c>
      <c r="I56" s="9">
        <v>4</v>
      </c>
    </row>
    <row r="57" spans="1:9" x14ac:dyDescent="0.2">
      <c r="A57" s="122" t="s">
        <v>293</v>
      </c>
      <c r="B57" s="7">
        <v>43</v>
      </c>
      <c r="C57" s="117" t="s">
        <v>148</v>
      </c>
      <c r="D57" s="7">
        <v>6</v>
      </c>
      <c r="E57" s="7">
        <v>3</v>
      </c>
      <c r="F57" s="9">
        <f t="shared" si="2"/>
        <v>3</v>
      </c>
      <c r="G57" s="6">
        <v>3</v>
      </c>
      <c r="H57" s="7">
        <v>3</v>
      </c>
      <c r="I57" s="9"/>
    </row>
    <row r="58" spans="1:9" x14ac:dyDescent="0.2">
      <c r="A58" s="122" t="s">
        <v>293</v>
      </c>
      <c r="B58" s="7">
        <v>43</v>
      </c>
      <c r="C58" s="117" t="s">
        <v>149</v>
      </c>
      <c r="D58" s="7">
        <v>3</v>
      </c>
      <c r="E58" s="7">
        <v>2</v>
      </c>
      <c r="F58" s="9">
        <f t="shared" si="2"/>
        <v>1</v>
      </c>
      <c r="G58" s="6">
        <v>2</v>
      </c>
      <c r="H58" s="7">
        <v>2</v>
      </c>
      <c r="I58" s="9"/>
    </row>
    <row r="59" spans="1:9" x14ac:dyDescent="0.2">
      <c r="A59" s="122" t="s">
        <v>293</v>
      </c>
      <c r="B59" s="7">
        <v>43</v>
      </c>
      <c r="C59" s="117" t="s">
        <v>150</v>
      </c>
      <c r="D59" s="7">
        <v>1</v>
      </c>
      <c r="E59" s="7">
        <v>1</v>
      </c>
      <c r="F59" s="9">
        <f t="shared" si="2"/>
        <v>0</v>
      </c>
      <c r="G59" s="6">
        <v>1</v>
      </c>
      <c r="H59" s="7">
        <v>1</v>
      </c>
      <c r="I59" s="9"/>
    </row>
    <row r="60" spans="1:9" x14ac:dyDescent="0.2">
      <c r="A60" s="122" t="s">
        <v>294</v>
      </c>
      <c r="B60" s="7">
        <v>44</v>
      </c>
      <c r="C60" s="117" t="s">
        <v>151</v>
      </c>
      <c r="D60" s="7">
        <v>10</v>
      </c>
      <c r="E60" s="7">
        <v>2</v>
      </c>
      <c r="F60" s="9">
        <f t="shared" si="2"/>
        <v>8</v>
      </c>
      <c r="G60" s="6">
        <v>2</v>
      </c>
      <c r="H60" s="7">
        <v>2</v>
      </c>
      <c r="I60" s="9"/>
    </row>
    <row r="61" spans="1:9" x14ac:dyDescent="0.2">
      <c r="A61" s="122" t="s">
        <v>294</v>
      </c>
      <c r="B61" s="7">
        <v>44</v>
      </c>
      <c r="C61" s="116" t="s">
        <v>152</v>
      </c>
      <c r="D61" s="7">
        <v>10</v>
      </c>
      <c r="E61" s="7">
        <v>3</v>
      </c>
      <c r="F61" s="9">
        <f t="shared" si="2"/>
        <v>7</v>
      </c>
      <c r="G61" s="6">
        <v>3</v>
      </c>
      <c r="H61" s="7">
        <v>3</v>
      </c>
      <c r="I61" s="9"/>
    </row>
    <row r="62" spans="1:9" x14ac:dyDescent="0.2">
      <c r="A62" s="122" t="s">
        <v>295</v>
      </c>
      <c r="B62" s="7">
        <v>38</v>
      </c>
      <c r="C62" s="117" t="s">
        <v>153</v>
      </c>
      <c r="D62" s="7">
        <v>23</v>
      </c>
      <c r="E62" s="7">
        <v>11</v>
      </c>
      <c r="F62" s="9">
        <v>11</v>
      </c>
      <c r="G62" s="6">
        <v>11</v>
      </c>
      <c r="H62" s="7">
        <v>11</v>
      </c>
      <c r="I62" s="9"/>
    </row>
    <row r="63" spans="1:9" x14ac:dyDescent="0.2">
      <c r="A63" s="122" t="s">
        <v>296</v>
      </c>
      <c r="B63" s="7">
        <v>37</v>
      </c>
      <c r="C63" s="117" t="s">
        <v>154</v>
      </c>
      <c r="D63" s="7">
        <v>8</v>
      </c>
      <c r="E63" s="7">
        <v>5</v>
      </c>
      <c r="F63" s="9">
        <v>3</v>
      </c>
      <c r="G63" s="6">
        <v>8</v>
      </c>
      <c r="H63" s="7">
        <v>5</v>
      </c>
      <c r="I63" s="9">
        <v>3</v>
      </c>
    </row>
    <row r="64" spans="1:9" x14ac:dyDescent="0.2">
      <c r="A64" s="122" t="s">
        <v>297</v>
      </c>
      <c r="B64" s="7">
        <v>40</v>
      </c>
      <c r="C64" s="117" t="s">
        <v>155</v>
      </c>
      <c r="D64" s="7">
        <v>6</v>
      </c>
      <c r="E64" s="7">
        <v>2</v>
      </c>
      <c r="F64" s="9">
        <f>D64-E64</f>
        <v>4</v>
      </c>
      <c r="G64" s="6">
        <v>6</v>
      </c>
      <c r="H64" s="7">
        <v>2</v>
      </c>
      <c r="I64" s="9">
        <v>4</v>
      </c>
    </row>
    <row r="65" spans="1:9" x14ac:dyDescent="0.2">
      <c r="A65" s="122" t="s">
        <v>298</v>
      </c>
      <c r="B65" s="7">
        <v>37</v>
      </c>
      <c r="C65" s="117" t="s">
        <v>156</v>
      </c>
      <c r="D65" s="7">
        <v>9</v>
      </c>
      <c r="E65" s="7">
        <v>3</v>
      </c>
      <c r="F65" s="9">
        <f>D65-E65</f>
        <v>6</v>
      </c>
      <c r="G65" s="6">
        <v>9</v>
      </c>
      <c r="H65" s="7">
        <v>3</v>
      </c>
      <c r="I65" s="9">
        <v>6</v>
      </c>
    </row>
    <row r="66" spans="1:9" x14ac:dyDescent="0.2">
      <c r="A66" s="122" t="s">
        <v>299</v>
      </c>
      <c r="B66" s="7">
        <v>35</v>
      </c>
      <c r="C66" s="117" t="s">
        <v>157</v>
      </c>
      <c r="D66" s="7">
        <v>13</v>
      </c>
      <c r="E66" s="7">
        <v>9</v>
      </c>
      <c r="F66" s="9">
        <f>D66-E66</f>
        <v>4</v>
      </c>
      <c r="G66" s="6">
        <v>12</v>
      </c>
      <c r="H66" s="7">
        <v>9</v>
      </c>
      <c r="I66" s="9">
        <v>3</v>
      </c>
    </row>
    <row r="67" spans="1:9" x14ac:dyDescent="0.2">
      <c r="A67" s="122" t="s">
        <v>300</v>
      </c>
      <c r="B67" s="7">
        <v>40</v>
      </c>
      <c r="C67" s="117" t="s">
        <v>158</v>
      </c>
      <c r="D67" s="7">
        <v>5</v>
      </c>
      <c r="E67" s="7">
        <v>1</v>
      </c>
      <c r="F67" s="9">
        <f>D67-E67</f>
        <v>4</v>
      </c>
      <c r="G67" s="6">
        <v>1</v>
      </c>
      <c r="H67" s="7">
        <v>1</v>
      </c>
      <c r="I67" s="9"/>
    </row>
    <row r="68" spans="1:9" x14ac:dyDescent="0.2">
      <c r="A68" s="122" t="s">
        <v>300</v>
      </c>
      <c r="B68" s="7">
        <v>41</v>
      </c>
      <c r="C68" s="116">
        <v>1.0429E+60</v>
      </c>
      <c r="D68" s="7">
        <v>9</v>
      </c>
      <c r="E68" s="7">
        <v>5</v>
      </c>
      <c r="F68" s="9">
        <f>D68-E68</f>
        <v>4</v>
      </c>
      <c r="G68" s="6">
        <v>6</v>
      </c>
      <c r="H68" s="7">
        <v>5</v>
      </c>
      <c r="I68" s="9">
        <v>1</v>
      </c>
    </row>
    <row r="69" spans="1:9" x14ac:dyDescent="0.2">
      <c r="A69" s="122" t="s">
        <v>301</v>
      </c>
      <c r="B69" s="7">
        <v>42</v>
      </c>
      <c r="C69" s="117" t="s">
        <v>159</v>
      </c>
      <c r="D69" s="7">
        <v>10</v>
      </c>
      <c r="E69" s="7">
        <v>2</v>
      </c>
      <c r="F69" s="9">
        <v>8</v>
      </c>
      <c r="G69" s="6">
        <v>10</v>
      </c>
      <c r="H69" s="7">
        <v>2</v>
      </c>
      <c r="I69" s="9">
        <v>8</v>
      </c>
    </row>
    <row r="70" spans="1:9" x14ac:dyDescent="0.2">
      <c r="A70" s="122" t="s">
        <v>302</v>
      </c>
      <c r="B70" s="7">
        <v>40</v>
      </c>
      <c r="C70" s="117" t="s">
        <v>160</v>
      </c>
      <c r="D70" s="7">
        <v>3</v>
      </c>
      <c r="E70" s="7">
        <v>1</v>
      </c>
      <c r="F70" s="9">
        <v>2</v>
      </c>
      <c r="G70" s="6">
        <v>3</v>
      </c>
      <c r="H70" s="7">
        <v>1</v>
      </c>
      <c r="I70" s="9">
        <v>2</v>
      </c>
    </row>
    <row r="71" spans="1:9" x14ac:dyDescent="0.2">
      <c r="A71" s="122" t="s">
        <v>303</v>
      </c>
      <c r="B71" s="7">
        <v>41</v>
      </c>
      <c r="C71" s="117" t="s">
        <v>161</v>
      </c>
      <c r="D71" s="7">
        <v>3</v>
      </c>
      <c r="E71" s="7">
        <v>2</v>
      </c>
      <c r="F71" s="9">
        <f>D71-E71</f>
        <v>1</v>
      </c>
      <c r="G71" s="6">
        <v>2</v>
      </c>
      <c r="H71" s="7">
        <v>2</v>
      </c>
      <c r="I71" s="9"/>
    </row>
    <row r="72" spans="1:9" x14ac:dyDescent="0.2">
      <c r="A72" s="122" t="s">
        <v>303</v>
      </c>
      <c r="B72" s="7">
        <v>41</v>
      </c>
      <c r="C72" s="117" t="s">
        <v>162</v>
      </c>
      <c r="D72" s="7">
        <v>3</v>
      </c>
      <c r="E72" s="7">
        <v>2</v>
      </c>
      <c r="F72" s="9">
        <f>D72-E72</f>
        <v>1</v>
      </c>
      <c r="G72" s="6">
        <v>3</v>
      </c>
      <c r="H72" s="7">
        <v>2</v>
      </c>
      <c r="I72" s="9">
        <v>1</v>
      </c>
    </row>
    <row r="73" spans="1:9" x14ac:dyDescent="0.2">
      <c r="A73" s="122" t="s">
        <v>303</v>
      </c>
      <c r="B73" s="7">
        <v>42</v>
      </c>
      <c r="C73" s="117" t="s">
        <v>163</v>
      </c>
      <c r="D73" s="7">
        <v>6</v>
      </c>
      <c r="E73" s="7">
        <v>5</v>
      </c>
      <c r="F73" s="9">
        <f>D73-E73</f>
        <v>1</v>
      </c>
      <c r="G73" s="6">
        <v>5</v>
      </c>
      <c r="H73" s="7">
        <v>4</v>
      </c>
      <c r="I73" s="9">
        <v>1</v>
      </c>
    </row>
    <row r="74" spans="1:9" x14ac:dyDescent="0.2">
      <c r="A74" s="122" t="s">
        <v>304</v>
      </c>
      <c r="B74" s="7">
        <v>43</v>
      </c>
      <c r="C74" s="117" t="s">
        <v>164</v>
      </c>
      <c r="D74" s="7">
        <v>4</v>
      </c>
      <c r="E74" s="7">
        <v>3</v>
      </c>
      <c r="F74" s="9">
        <f>D74-E74</f>
        <v>1</v>
      </c>
      <c r="G74" s="6">
        <v>4</v>
      </c>
      <c r="H74" s="7">
        <v>3</v>
      </c>
      <c r="I74" s="9">
        <v>1</v>
      </c>
    </row>
    <row r="75" spans="1:9" x14ac:dyDescent="0.2">
      <c r="A75" s="122" t="s">
        <v>304</v>
      </c>
      <c r="B75" s="7">
        <v>44</v>
      </c>
      <c r="C75" s="117" t="s">
        <v>165</v>
      </c>
      <c r="D75" s="7">
        <v>7</v>
      </c>
      <c r="E75" s="7">
        <v>2</v>
      </c>
      <c r="F75" s="9">
        <f>D75-E75</f>
        <v>5</v>
      </c>
      <c r="G75" s="6">
        <v>6</v>
      </c>
      <c r="H75" s="7">
        <v>1</v>
      </c>
      <c r="I75" s="9">
        <v>5</v>
      </c>
    </row>
    <row r="76" spans="1:9" x14ac:dyDescent="0.2">
      <c r="A76" s="122" t="s">
        <v>304</v>
      </c>
      <c r="B76" s="7">
        <v>44</v>
      </c>
      <c r="C76" s="117" t="s">
        <v>166</v>
      </c>
      <c r="D76" s="7">
        <v>12</v>
      </c>
      <c r="E76" s="7">
        <v>5</v>
      </c>
      <c r="F76" s="9">
        <v>7</v>
      </c>
      <c r="G76" s="6">
        <v>5</v>
      </c>
      <c r="H76" s="7">
        <v>5</v>
      </c>
      <c r="I76" s="9"/>
    </row>
    <row r="77" spans="1:9" x14ac:dyDescent="0.2">
      <c r="A77" s="122" t="s">
        <v>305</v>
      </c>
      <c r="B77" s="7">
        <v>41</v>
      </c>
      <c r="C77" s="117" t="s">
        <v>167</v>
      </c>
      <c r="D77" s="7">
        <v>2</v>
      </c>
      <c r="E77" s="7">
        <v>1</v>
      </c>
      <c r="F77" s="9">
        <f>D77-E77</f>
        <v>1</v>
      </c>
      <c r="G77" s="6">
        <v>2</v>
      </c>
      <c r="H77" s="7">
        <v>1</v>
      </c>
      <c r="I77" s="9">
        <v>1</v>
      </c>
    </row>
    <row r="78" spans="1:9" x14ac:dyDescent="0.2">
      <c r="A78" s="122" t="s">
        <v>305</v>
      </c>
      <c r="B78" s="7">
        <v>42</v>
      </c>
      <c r="C78" s="117" t="s">
        <v>168</v>
      </c>
      <c r="D78" s="7">
        <v>6</v>
      </c>
      <c r="E78" s="7">
        <v>4</v>
      </c>
      <c r="F78" s="9">
        <f>D78-E78</f>
        <v>2</v>
      </c>
      <c r="G78" s="6">
        <v>6</v>
      </c>
      <c r="H78" s="7">
        <v>4</v>
      </c>
      <c r="I78" s="9">
        <v>2</v>
      </c>
    </row>
    <row r="79" spans="1:9" x14ac:dyDescent="0.2">
      <c r="A79" s="122" t="s">
        <v>306</v>
      </c>
      <c r="B79" s="7">
        <v>35</v>
      </c>
      <c r="C79" s="117" t="s">
        <v>169</v>
      </c>
      <c r="D79" s="7">
        <v>5</v>
      </c>
      <c r="E79" s="7">
        <v>5</v>
      </c>
      <c r="F79" s="9">
        <f>D79-E79</f>
        <v>0</v>
      </c>
      <c r="G79" s="6">
        <v>5</v>
      </c>
      <c r="H79" s="7">
        <v>5</v>
      </c>
      <c r="I79" s="9"/>
    </row>
    <row r="80" spans="1:9" x14ac:dyDescent="0.2">
      <c r="A80" s="122" t="s">
        <v>307</v>
      </c>
      <c r="B80" s="7">
        <v>32</v>
      </c>
      <c r="C80" s="117" t="s">
        <v>170</v>
      </c>
      <c r="D80" s="7">
        <v>4</v>
      </c>
      <c r="E80" s="7">
        <v>1</v>
      </c>
      <c r="F80" s="9">
        <f>D80-E80</f>
        <v>3</v>
      </c>
      <c r="G80" s="6">
        <v>4</v>
      </c>
      <c r="H80" s="7">
        <v>1</v>
      </c>
      <c r="I80" s="9">
        <v>3</v>
      </c>
    </row>
    <row r="81" spans="1:9" x14ac:dyDescent="0.2">
      <c r="A81" s="122" t="s">
        <v>308</v>
      </c>
      <c r="B81" s="7">
        <v>39</v>
      </c>
      <c r="C81" s="117" t="s">
        <v>171</v>
      </c>
      <c r="D81" s="7">
        <v>9</v>
      </c>
      <c r="E81" s="7">
        <v>4</v>
      </c>
      <c r="F81" s="9">
        <f>D81-E81</f>
        <v>5</v>
      </c>
      <c r="G81" s="6">
        <v>5</v>
      </c>
      <c r="H81" s="7">
        <v>4</v>
      </c>
      <c r="I81" s="9">
        <v>1</v>
      </c>
    </row>
    <row r="82" spans="1:9" x14ac:dyDescent="0.2">
      <c r="A82" s="122" t="s">
        <v>309</v>
      </c>
      <c r="B82" s="7">
        <v>39</v>
      </c>
      <c r="C82" s="117" t="s">
        <v>172</v>
      </c>
      <c r="D82" s="7">
        <v>3</v>
      </c>
      <c r="E82" s="7">
        <v>2</v>
      </c>
      <c r="F82" s="9">
        <v>1</v>
      </c>
      <c r="G82" s="6">
        <v>3</v>
      </c>
      <c r="H82" s="7">
        <v>2</v>
      </c>
      <c r="I82" s="9">
        <v>1</v>
      </c>
    </row>
    <row r="83" spans="1:9" x14ac:dyDescent="0.2">
      <c r="A83" s="122" t="s">
        <v>309</v>
      </c>
      <c r="B83" s="7">
        <v>39</v>
      </c>
      <c r="C83" s="117" t="s">
        <v>173</v>
      </c>
      <c r="D83" s="7">
        <v>1</v>
      </c>
      <c r="E83" s="7">
        <v>1</v>
      </c>
      <c r="F83" s="9">
        <f t="shared" ref="F83:F130" si="3">D83-E83</f>
        <v>0</v>
      </c>
      <c r="G83" s="6">
        <v>1</v>
      </c>
      <c r="H83" s="7">
        <v>1</v>
      </c>
      <c r="I83" s="9"/>
    </row>
    <row r="84" spans="1:9" x14ac:dyDescent="0.2">
      <c r="A84" s="122" t="s">
        <v>310</v>
      </c>
      <c r="B84" s="7">
        <v>42</v>
      </c>
      <c r="C84" s="117" t="s">
        <v>174</v>
      </c>
      <c r="D84" s="7">
        <v>17</v>
      </c>
      <c r="E84" s="7">
        <v>6</v>
      </c>
      <c r="F84" s="9">
        <f t="shared" si="3"/>
        <v>11</v>
      </c>
      <c r="G84" s="6">
        <v>6</v>
      </c>
      <c r="H84" s="7">
        <v>6</v>
      </c>
      <c r="I84" s="9"/>
    </row>
    <row r="85" spans="1:9" x14ac:dyDescent="0.2">
      <c r="A85" s="122" t="s">
        <v>311</v>
      </c>
      <c r="B85" s="7">
        <v>41</v>
      </c>
      <c r="C85" s="117" t="s">
        <v>175</v>
      </c>
      <c r="D85" s="7">
        <v>7</v>
      </c>
      <c r="E85" s="7">
        <v>5</v>
      </c>
      <c r="F85" s="9">
        <f t="shared" si="3"/>
        <v>2</v>
      </c>
      <c r="G85" s="6">
        <v>7</v>
      </c>
      <c r="H85" s="7">
        <v>5</v>
      </c>
      <c r="I85" s="9">
        <v>2</v>
      </c>
    </row>
    <row r="86" spans="1:9" x14ac:dyDescent="0.2">
      <c r="A86" s="122" t="s">
        <v>312</v>
      </c>
      <c r="B86" s="7">
        <v>38</v>
      </c>
      <c r="C86" s="117" t="s">
        <v>176</v>
      </c>
      <c r="D86" s="7">
        <v>14</v>
      </c>
      <c r="E86" s="7">
        <v>5</v>
      </c>
      <c r="F86" s="9">
        <f t="shared" si="3"/>
        <v>9</v>
      </c>
      <c r="G86" s="6">
        <v>14</v>
      </c>
      <c r="H86" s="7">
        <v>5</v>
      </c>
      <c r="I86" s="9">
        <v>9</v>
      </c>
    </row>
    <row r="87" spans="1:9" x14ac:dyDescent="0.2">
      <c r="A87" s="122" t="s">
        <v>313</v>
      </c>
      <c r="B87" s="7">
        <v>37</v>
      </c>
      <c r="C87" s="117" t="s">
        <v>177</v>
      </c>
      <c r="D87" s="7">
        <v>6</v>
      </c>
      <c r="E87" s="7">
        <v>4</v>
      </c>
      <c r="F87" s="9">
        <f t="shared" si="3"/>
        <v>2</v>
      </c>
      <c r="G87" s="6">
        <v>6</v>
      </c>
      <c r="H87" s="7">
        <v>4</v>
      </c>
      <c r="I87" s="9">
        <v>2</v>
      </c>
    </row>
    <row r="88" spans="1:9" x14ac:dyDescent="0.2">
      <c r="A88" s="122" t="s">
        <v>314</v>
      </c>
      <c r="B88" s="7">
        <v>41</v>
      </c>
      <c r="C88" s="117" t="s">
        <v>178</v>
      </c>
      <c r="D88" s="7">
        <v>4</v>
      </c>
      <c r="E88" s="7">
        <v>3</v>
      </c>
      <c r="F88" s="9">
        <f t="shared" si="3"/>
        <v>1</v>
      </c>
      <c r="G88" s="6">
        <v>3</v>
      </c>
      <c r="H88" s="7">
        <v>3</v>
      </c>
      <c r="I88" s="9"/>
    </row>
    <row r="89" spans="1:9" x14ac:dyDescent="0.2">
      <c r="A89" s="122" t="s">
        <v>315</v>
      </c>
      <c r="B89" s="7">
        <v>40</v>
      </c>
      <c r="C89" s="117" t="s">
        <v>179</v>
      </c>
      <c r="D89" s="7">
        <v>6</v>
      </c>
      <c r="E89" s="7">
        <v>5</v>
      </c>
      <c r="F89" s="9">
        <f t="shared" si="3"/>
        <v>1</v>
      </c>
      <c r="G89" s="6">
        <v>5</v>
      </c>
      <c r="H89" s="7">
        <v>5</v>
      </c>
      <c r="I89" s="9"/>
    </row>
    <row r="90" spans="1:9" x14ac:dyDescent="0.2">
      <c r="A90" s="122" t="s">
        <v>315</v>
      </c>
      <c r="B90" s="7">
        <v>40</v>
      </c>
      <c r="C90" s="117" t="s">
        <v>180</v>
      </c>
      <c r="D90" s="7">
        <v>7</v>
      </c>
      <c r="E90" s="7">
        <v>3</v>
      </c>
      <c r="F90" s="9">
        <f t="shared" si="3"/>
        <v>4</v>
      </c>
      <c r="G90" s="6">
        <v>5</v>
      </c>
      <c r="H90" s="7">
        <v>3</v>
      </c>
      <c r="I90" s="9">
        <v>2</v>
      </c>
    </row>
    <row r="91" spans="1:9" x14ac:dyDescent="0.2">
      <c r="A91" s="122" t="s">
        <v>316</v>
      </c>
      <c r="B91" s="7">
        <v>38</v>
      </c>
      <c r="C91" s="117" t="s">
        <v>181</v>
      </c>
      <c r="D91" s="7">
        <v>6</v>
      </c>
      <c r="E91" s="7">
        <v>4</v>
      </c>
      <c r="F91" s="9">
        <f t="shared" si="3"/>
        <v>2</v>
      </c>
      <c r="G91" s="6">
        <v>6</v>
      </c>
      <c r="H91" s="7">
        <v>4</v>
      </c>
      <c r="I91" s="9">
        <v>2</v>
      </c>
    </row>
    <row r="92" spans="1:9" x14ac:dyDescent="0.2">
      <c r="A92" s="122">
        <v>790759</v>
      </c>
      <c r="B92" s="7">
        <v>33</v>
      </c>
      <c r="C92" s="117" t="s">
        <v>182</v>
      </c>
      <c r="D92" s="7">
        <v>5</v>
      </c>
      <c r="E92" s="7">
        <v>2</v>
      </c>
      <c r="F92" s="9">
        <f t="shared" si="3"/>
        <v>3</v>
      </c>
      <c r="G92" s="6">
        <v>4</v>
      </c>
      <c r="H92" s="7">
        <v>2</v>
      </c>
      <c r="I92" s="9">
        <v>2</v>
      </c>
    </row>
    <row r="93" spans="1:9" x14ac:dyDescent="0.2">
      <c r="A93" s="122" t="s">
        <v>317</v>
      </c>
      <c r="B93" s="7">
        <v>40</v>
      </c>
      <c r="C93" s="117" t="s">
        <v>183</v>
      </c>
      <c r="D93" s="7">
        <v>5</v>
      </c>
      <c r="E93" s="7">
        <v>3</v>
      </c>
      <c r="F93" s="9">
        <f t="shared" si="3"/>
        <v>2</v>
      </c>
      <c r="G93" s="6">
        <v>5</v>
      </c>
      <c r="H93" s="7">
        <v>3</v>
      </c>
      <c r="I93" s="9">
        <v>2</v>
      </c>
    </row>
    <row r="94" spans="1:9" x14ac:dyDescent="0.2">
      <c r="A94" s="122" t="s">
        <v>318</v>
      </c>
      <c r="B94" s="7">
        <v>39</v>
      </c>
      <c r="C94" s="117" t="s">
        <v>184</v>
      </c>
      <c r="D94" s="7">
        <v>3</v>
      </c>
      <c r="E94" s="7">
        <v>1</v>
      </c>
      <c r="F94" s="9">
        <f t="shared" si="3"/>
        <v>2</v>
      </c>
      <c r="G94" s="6">
        <v>3</v>
      </c>
      <c r="H94" s="7">
        <v>1</v>
      </c>
      <c r="I94" s="9">
        <v>2</v>
      </c>
    </row>
    <row r="95" spans="1:9" x14ac:dyDescent="0.2">
      <c r="A95" s="122" t="s">
        <v>319</v>
      </c>
      <c r="B95" s="7">
        <v>33</v>
      </c>
      <c r="C95" s="117" t="s">
        <v>185</v>
      </c>
      <c r="D95" s="7">
        <v>8</v>
      </c>
      <c r="E95" s="7">
        <v>1</v>
      </c>
      <c r="F95" s="9">
        <f t="shared" si="3"/>
        <v>7</v>
      </c>
      <c r="G95" s="6">
        <v>3</v>
      </c>
      <c r="H95" s="7">
        <v>1</v>
      </c>
      <c r="I95" s="9">
        <v>2</v>
      </c>
    </row>
    <row r="96" spans="1:9" x14ac:dyDescent="0.2">
      <c r="A96" s="122" t="s">
        <v>320</v>
      </c>
      <c r="B96" s="7">
        <v>43</v>
      </c>
      <c r="C96" s="117" t="s">
        <v>186</v>
      </c>
      <c r="D96" s="7">
        <v>6</v>
      </c>
      <c r="E96" s="7">
        <v>1</v>
      </c>
      <c r="F96" s="9">
        <f t="shared" si="3"/>
        <v>5</v>
      </c>
      <c r="G96" s="6">
        <v>1</v>
      </c>
      <c r="H96" s="7">
        <v>1</v>
      </c>
      <c r="I96" s="9"/>
    </row>
    <row r="97" spans="1:9" x14ac:dyDescent="0.2">
      <c r="A97" s="122" t="s">
        <v>321</v>
      </c>
      <c r="B97" s="7">
        <v>40</v>
      </c>
      <c r="C97" s="117">
        <v>98576010</v>
      </c>
      <c r="D97" s="7">
        <v>6</v>
      </c>
      <c r="E97" s="7">
        <v>2</v>
      </c>
      <c r="F97" s="9">
        <f t="shared" si="3"/>
        <v>4</v>
      </c>
      <c r="G97" s="6">
        <v>2</v>
      </c>
      <c r="H97" s="7">
        <v>2</v>
      </c>
      <c r="I97" s="9"/>
    </row>
    <row r="98" spans="1:9" x14ac:dyDescent="0.2">
      <c r="A98" s="122" t="s">
        <v>321</v>
      </c>
      <c r="B98" s="7">
        <v>41</v>
      </c>
      <c r="C98" s="117" t="s">
        <v>187</v>
      </c>
      <c r="D98" s="7">
        <v>10</v>
      </c>
      <c r="E98" s="7">
        <v>4</v>
      </c>
      <c r="F98" s="9">
        <f t="shared" si="3"/>
        <v>6</v>
      </c>
      <c r="G98" s="6">
        <v>7</v>
      </c>
      <c r="H98" s="7">
        <v>4</v>
      </c>
      <c r="I98" s="9">
        <v>3</v>
      </c>
    </row>
    <row r="99" spans="1:9" x14ac:dyDescent="0.2">
      <c r="A99" s="122" t="s">
        <v>322</v>
      </c>
      <c r="B99" s="7">
        <v>39</v>
      </c>
      <c r="C99" s="117" t="s">
        <v>188</v>
      </c>
      <c r="D99" s="7">
        <v>5</v>
      </c>
      <c r="E99" s="7">
        <v>4</v>
      </c>
      <c r="F99" s="9">
        <f t="shared" si="3"/>
        <v>1</v>
      </c>
      <c r="G99" s="6">
        <v>5</v>
      </c>
      <c r="H99" s="7">
        <v>4</v>
      </c>
      <c r="I99" s="9">
        <v>1</v>
      </c>
    </row>
    <row r="100" spans="1:9" x14ac:dyDescent="0.2">
      <c r="A100" s="122" t="s">
        <v>323</v>
      </c>
      <c r="B100" s="7">
        <v>37</v>
      </c>
      <c r="C100" s="117" t="s">
        <v>189</v>
      </c>
      <c r="D100" s="7">
        <v>2</v>
      </c>
      <c r="E100" s="7">
        <v>1</v>
      </c>
      <c r="F100" s="9">
        <f t="shared" si="3"/>
        <v>1</v>
      </c>
      <c r="G100" s="6">
        <v>2</v>
      </c>
      <c r="H100" s="7">
        <v>1</v>
      </c>
      <c r="I100" s="9">
        <v>1</v>
      </c>
    </row>
    <row r="101" spans="1:9" x14ac:dyDescent="0.2">
      <c r="A101" s="122" t="s">
        <v>324</v>
      </c>
      <c r="B101" s="7">
        <v>37</v>
      </c>
      <c r="C101" s="117" t="s">
        <v>190</v>
      </c>
      <c r="D101" s="7">
        <v>13</v>
      </c>
      <c r="E101" s="7">
        <v>6</v>
      </c>
      <c r="F101" s="9">
        <f t="shared" si="3"/>
        <v>7</v>
      </c>
      <c r="G101" s="6">
        <v>13</v>
      </c>
      <c r="H101" s="7">
        <v>6</v>
      </c>
      <c r="I101" s="9">
        <v>7</v>
      </c>
    </row>
    <row r="102" spans="1:9" x14ac:dyDescent="0.2">
      <c r="A102" s="122" t="s">
        <v>325</v>
      </c>
      <c r="B102" s="7">
        <v>32</v>
      </c>
      <c r="C102" s="117" t="s">
        <v>191</v>
      </c>
      <c r="D102" s="7">
        <v>5</v>
      </c>
      <c r="E102" s="7">
        <v>4</v>
      </c>
      <c r="F102" s="9">
        <f t="shared" si="3"/>
        <v>1</v>
      </c>
      <c r="G102" s="6">
        <v>5</v>
      </c>
      <c r="H102" s="7">
        <v>4</v>
      </c>
      <c r="I102" s="9">
        <v>1</v>
      </c>
    </row>
    <row r="103" spans="1:9" x14ac:dyDescent="0.2">
      <c r="A103" s="122" t="s">
        <v>326</v>
      </c>
      <c r="B103" s="7">
        <v>35</v>
      </c>
      <c r="C103" s="117" t="s">
        <v>192</v>
      </c>
      <c r="D103" s="7">
        <v>4</v>
      </c>
      <c r="E103" s="7">
        <v>3</v>
      </c>
      <c r="F103" s="9">
        <f t="shared" si="3"/>
        <v>1</v>
      </c>
      <c r="G103" s="6">
        <v>4</v>
      </c>
      <c r="H103" s="7">
        <v>3</v>
      </c>
      <c r="I103" s="9">
        <v>1</v>
      </c>
    </row>
    <row r="104" spans="1:9" x14ac:dyDescent="0.2">
      <c r="A104" s="122" t="s">
        <v>327</v>
      </c>
      <c r="B104" s="7">
        <v>40</v>
      </c>
      <c r="C104" s="117" t="s">
        <v>193</v>
      </c>
      <c r="D104" s="7">
        <v>20</v>
      </c>
      <c r="E104" s="7">
        <v>16</v>
      </c>
      <c r="F104" s="9">
        <f t="shared" si="3"/>
        <v>4</v>
      </c>
      <c r="G104" s="6">
        <v>20</v>
      </c>
      <c r="H104" s="7">
        <v>16</v>
      </c>
      <c r="I104" s="9">
        <v>4</v>
      </c>
    </row>
    <row r="105" spans="1:9" x14ac:dyDescent="0.2">
      <c r="A105" s="122" t="s">
        <v>328</v>
      </c>
      <c r="B105" s="7">
        <v>33</v>
      </c>
      <c r="C105" s="117" t="s">
        <v>194</v>
      </c>
      <c r="D105" s="7">
        <v>3</v>
      </c>
      <c r="E105" s="7">
        <v>3</v>
      </c>
      <c r="F105" s="9">
        <f t="shared" si="3"/>
        <v>0</v>
      </c>
      <c r="G105" s="6">
        <v>3</v>
      </c>
      <c r="H105" s="7">
        <v>3</v>
      </c>
      <c r="I105" s="9"/>
    </row>
    <row r="106" spans="1:9" x14ac:dyDescent="0.2">
      <c r="A106" s="122" t="s">
        <v>328</v>
      </c>
      <c r="B106" s="7">
        <v>33</v>
      </c>
      <c r="C106" s="117" t="s">
        <v>195</v>
      </c>
      <c r="D106" s="7">
        <v>2</v>
      </c>
      <c r="E106" s="7">
        <v>2</v>
      </c>
      <c r="F106" s="9">
        <f t="shared" si="3"/>
        <v>0</v>
      </c>
      <c r="G106" s="6">
        <v>2</v>
      </c>
      <c r="H106" s="7">
        <v>2</v>
      </c>
      <c r="I106" s="9"/>
    </row>
    <row r="107" spans="1:9" x14ac:dyDescent="0.2">
      <c r="A107" s="122" t="s">
        <v>329</v>
      </c>
      <c r="B107" s="7">
        <v>42</v>
      </c>
      <c r="C107" s="117" t="s">
        <v>196</v>
      </c>
      <c r="D107" s="7">
        <v>6</v>
      </c>
      <c r="E107" s="7">
        <v>4</v>
      </c>
      <c r="F107" s="9">
        <f t="shared" si="3"/>
        <v>2</v>
      </c>
      <c r="G107" s="6">
        <v>5</v>
      </c>
      <c r="H107" s="7">
        <v>4</v>
      </c>
      <c r="I107" s="9">
        <v>1</v>
      </c>
    </row>
    <row r="108" spans="1:9" x14ac:dyDescent="0.2">
      <c r="A108" s="122" t="s">
        <v>330</v>
      </c>
      <c r="B108" s="7">
        <v>42</v>
      </c>
      <c r="C108" s="117" t="s">
        <v>197</v>
      </c>
      <c r="D108" s="7">
        <v>3</v>
      </c>
      <c r="E108" s="7">
        <v>2</v>
      </c>
      <c r="F108" s="9">
        <f t="shared" si="3"/>
        <v>1</v>
      </c>
      <c r="G108" s="6">
        <v>3</v>
      </c>
      <c r="H108" s="7">
        <v>2</v>
      </c>
      <c r="I108" s="9">
        <v>1</v>
      </c>
    </row>
    <row r="109" spans="1:9" x14ac:dyDescent="0.2">
      <c r="A109" s="122" t="s">
        <v>331</v>
      </c>
      <c r="B109" s="7">
        <v>44</v>
      </c>
      <c r="C109" s="117" t="s">
        <v>198</v>
      </c>
      <c r="D109" s="7">
        <v>3</v>
      </c>
      <c r="E109" s="7">
        <v>1</v>
      </c>
      <c r="F109" s="9">
        <f t="shared" si="3"/>
        <v>2</v>
      </c>
      <c r="G109" s="6">
        <v>3</v>
      </c>
      <c r="H109" s="7">
        <v>1</v>
      </c>
      <c r="I109" s="9">
        <v>2</v>
      </c>
    </row>
    <row r="110" spans="1:9" x14ac:dyDescent="0.2">
      <c r="A110" s="122" t="s">
        <v>332</v>
      </c>
      <c r="B110" s="7">
        <v>45</v>
      </c>
      <c r="C110" s="117" t="s">
        <v>199</v>
      </c>
      <c r="D110" s="7">
        <v>3</v>
      </c>
      <c r="E110" s="7">
        <v>1</v>
      </c>
      <c r="F110" s="9">
        <f t="shared" si="3"/>
        <v>2</v>
      </c>
      <c r="G110" s="6">
        <v>3</v>
      </c>
      <c r="H110" s="7">
        <v>1</v>
      </c>
      <c r="I110" s="9">
        <v>2</v>
      </c>
    </row>
    <row r="111" spans="1:9" x14ac:dyDescent="0.2">
      <c r="A111" s="122" t="s">
        <v>334</v>
      </c>
      <c r="B111" s="7">
        <v>35</v>
      </c>
      <c r="C111" s="117" t="s">
        <v>200</v>
      </c>
      <c r="D111" s="7">
        <v>7</v>
      </c>
      <c r="E111" s="7">
        <v>7</v>
      </c>
      <c r="F111" s="9">
        <f t="shared" si="3"/>
        <v>0</v>
      </c>
      <c r="G111" s="6">
        <v>7</v>
      </c>
      <c r="H111" s="7">
        <v>7</v>
      </c>
      <c r="I111" s="9"/>
    </row>
    <row r="112" spans="1:9" x14ac:dyDescent="0.2">
      <c r="A112" s="122" t="s">
        <v>335</v>
      </c>
      <c r="B112" s="7">
        <v>38</v>
      </c>
      <c r="C112" s="117" t="s">
        <v>201</v>
      </c>
      <c r="D112" s="7">
        <v>19</v>
      </c>
      <c r="E112" s="7">
        <v>13</v>
      </c>
      <c r="F112" s="9">
        <f t="shared" si="3"/>
        <v>6</v>
      </c>
      <c r="G112" s="6">
        <v>12</v>
      </c>
      <c r="H112" s="7">
        <v>12</v>
      </c>
      <c r="I112" s="9"/>
    </row>
    <row r="113" spans="1:9" x14ac:dyDescent="0.2">
      <c r="A113" s="122" t="s">
        <v>336</v>
      </c>
      <c r="B113" s="7">
        <v>35</v>
      </c>
      <c r="C113" s="117" t="s">
        <v>202</v>
      </c>
      <c r="D113" s="7">
        <v>13</v>
      </c>
      <c r="E113" s="7">
        <v>4</v>
      </c>
      <c r="F113" s="9">
        <f t="shared" si="3"/>
        <v>9</v>
      </c>
      <c r="G113" s="6">
        <v>10</v>
      </c>
      <c r="H113" s="7">
        <v>4</v>
      </c>
      <c r="I113" s="9">
        <v>6</v>
      </c>
    </row>
    <row r="114" spans="1:9" x14ac:dyDescent="0.2">
      <c r="A114" s="122" t="s">
        <v>337</v>
      </c>
      <c r="B114" s="7">
        <v>30</v>
      </c>
      <c r="C114" s="117" t="s">
        <v>203</v>
      </c>
      <c r="D114" s="7">
        <v>5</v>
      </c>
      <c r="E114" s="7">
        <v>3</v>
      </c>
      <c r="F114" s="9">
        <f t="shared" si="3"/>
        <v>2</v>
      </c>
      <c r="G114" s="6">
        <v>5</v>
      </c>
      <c r="H114" s="7">
        <v>3</v>
      </c>
      <c r="I114" s="9">
        <v>2</v>
      </c>
    </row>
    <row r="115" spans="1:9" x14ac:dyDescent="0.2">
      <c r="A115" s="122" t="s">
        <v>338</v>
      </c>
      <c r="B115" s="7">
        <v>36</v>
      </c>
      <c r="C115" s="117" t="s">
        <v>204</v>
      </c>
      <c r="D115" s="7">
        <v>10</v>
      </c>
      <c r="E115" s="7">
        <v>8</v>
      </c>
      <c r="F115" s="9">
        <f t="shared" si="3"/>
        <v>2</v>
      </c>
      <c r="G115" s="6">
        <v>10</v>
      </c>
      <c r="H115" s="7">
        <v>8</v>
      </c>
      <c r="I115" s="9">
        <v>2</v>
      </c>
    </row>
    <row r="116" spans="1:9" x14ac:dyDescent="0.2">
      <c r="A116" s="122" t="s">
        <v>339</v>
      </c>
      <c r="B116" s="7">
        <v>40</v>
      </c>
      <c r="C116" s="117" t="s">
        <v>205</v>
      </c>
      <c r="D116" s="7">
        <v>3</v>
      </c>
      <c r="E116" s="7">
        <v>1</v>
      </c>
      <c r="F116" s="9">
        <f t="shared" si="3"/>
        <v>2</v>
      </c>
      <c r="G116" s="6">
        <v>3</v>
      </c>
      <c r="H116" s="7">
        <v>1</v>
      </c>
      <c r="I116" s="9">
        <v>2</v>
      </c>
    </row>
    <row r="117" spans="1:9" x14ac:dyDescent="0.2">
      <c r="A117" s="122" t="s">
        <v>339</v>
      </c>
      <c r="B117" s="7">
        <v>40</v>
      </c>
      <c r="C117" s="117" t="s">
        <v>206</v>
      </c>
      <c r="D117" s="7">
        <v>4</v>
      </c>
      <c r="E117" s="7">
        <v>1</v>
      </c>
      <c r="F117" s="9">
        <f t="shared" si="3"/>
        <v>3</v>
      </c>
      <c r="G117" s="6">
        <v>1</v>
      </c>
      <c r="H117" s="7">
        <v>1</v>
      </c>
      <c r="I117" s="9"/>
    </row>
    <row r="118" spans="1:9" x14ac:dyDescent="0.2">
      <c r="A118" s="122" t="s">
        <v>340</v>
      </c>
      <c r="B118" s="7">
        <v>34</v>
      </c>
      <c r="C118" s="117" t="s">
        <v>207</v>
      </c>
      <c r="D118" s="7">
        <v>11</v>
      </c>
      <c r="E118" s="7">
        <v>8</v>
      </c>
      <c r="F118" s="9">
        <f t="shared" si="3"/>
        <v>3</v>
      </c>
      <c r="G118" s="6">
        <v>11</v>
      </c>
      <c r="H118" s="7">
        <v>8</v>
      </c>
      <c r="I118" s="9">
        <v>3</v>
      </c>
    </row>
    <row r="119" spans="1:9" x14ac:dyDescent="0.2">
      <c r="A119" s="122" t="s">
        <v>341</v>
      </c>
      <c r="B119" s="7">
        <v>41</v>
      </c>
      <c r="C119" s="117" t="s">
        <v>208</v>
      </c>
      <c r="D119" s="7">
        <v>9</v>
      </c>
      <c r="E119" s="7">
        <v>6</v>
      </c>
      <c r="F119" s="9">
        <f t="shared" si="3"/>
        <v>3</v>
      </c>
      <c r="G119" s="6">
        <v>5</v>
      </c>
      <c r="H119" s="7">
        <v>5</v>
      </c>
      <c r="I119" s="9"/>
    </row>
    <row r="120" spans="1:9" x14ac:dyDescent="0.2">
      <c r="A120" s="122" t="s">
        <v>342</v>
      </c>
      <c r="B120" s="7">
        <v>45</v>
      </c>
      <c r="C120" s="117" t="s">
        <v>209</v>
      </c>
      <c r="D120" s="7">
        <v>3</v>
      </c>
      <c r="E120" s="7">
        <v>1</v>
      </c>
      <c r="F120" s="9">
        <f t="shared" si="3"/>
        <v>2</v>
      </c>
      <c r="G120" s="6">
        <v>3</v>
      </c>
      <c r="H120" s="7">
        <v>1</v>
      </c>
      <c r="I120" s="9">
        <v>2</v>
      </c>
    </row>
    <row r="121" spans="1:9" x14ac:dyDescent="0.2">
      <c r="A121" s="122" t="s">
        <v>342</v>
      </c>
      <c r="B121" s="7">
        <v>45</v>
      </c>
      <c r="C121" s="117" t="s">
        <v>210</v>
      </c>
      <c r="D121" s="7">
        <v>4</v>
      </c>
      <c r="E121" s="7">
        <v>1</v>
      </c>
      <c r="F121" s="9">
        <f t="shared" si="3"/>
        <v>3</v>
      </c>
      <c r="G121" s="6">
        <v>1</v>
      </c>
      <c r="H121" s="7">
        <v>1</v>
      </c>
      <c r="I121" s="9"/>
    </row>
    <row r="122" spans="1:9" x14ac:dyDescent="0.2">
      <c r="A122" s="122" t="s">
        <v>343</v>
      </c>
      <c r="B122" s="7">
        <v>34</v>
      </c>
      <c r="C122" s="117" t="s">
        <v>211</v>
      </c>
      <c r="D122" s="7">
        <v>4</v>
      </c>
      <c r="E122" s="7">
        <v>3</v>
      </c>
      <c r="F122" s="9">
        <f t="shared" si="3"/>
        <v>1</v>
      </c>
      <c r="G122" s="6">
        <v>4</v>
      </c>
      <c r="H122" s="7">
        <v>3</v>
      </c>
      <c r="I122" s="9">
        <v>1</v>
      </c>
    </row>
    <row r="123" spans="1:9" x14ac:dyDescent="0.2">
      <c r="A123" s="122" t="s">
        <v>343</v>
      </c>
      <c r="B123" s="7">
        <v>34</v>
      </c>
      <c r="C123" s="117" t="s">
        <v>212</v>
      </c>
      <c r="D123" s="7">
        <v>7</v>
      </c>
      <c r="E123" s="7">
        <v>6</v>
      </c>
      <c r="F123" s="9">
        <f t="shared" si="3"/>
        <v>1</v>
      </c>
      <c r="G123" s="6">
        <v>6</v>
      </c>
      <c r="H123" s="7">
        <v>6</v>
      </c>
      <c r="I123" s="9"/>
    </row>
    <row r="124" spans="1:9" x14ac:dyDescent="0.2">
      <c r="A124" s="122" t="s">
        <v>344</v>
      </c>
      <c r="B124" s="7">
        <v>42</v>
      </c>
      <c r="C124" s="117" t="s">
        <v>213</v>
      </c>
      <c r="D124" s="7">
        <v>1</v>
      </c>
      <c r="E124" s="7">
        <v>1</v>
      </c>
      <c r="F124" s="9">
        <f t="shared" si="3"/>
        <v>0</v>
      </c>
      <c r="G124" s="6">
        <v>1</v>
      </c>
      <c r="H124" s="7">
        <v>1</v>
      </c>
      <c r="I124" s="9"/>
    </row>
    <row r="125" spans="1:9" x14ac:dyDescent="0.2">
      <c r="A125" s="122" t="s">
        <v>345</v>
      </c>
      <c r="B125" s="7">
        <v>40</v>
      </c>
      <c r="C125" s="117" t="s">
        <v>214</v>
      </c>
      <c r="D125" s="7">
        <v>22</v>
      </c>
      <c r="E125" s="7">
        <v>20</v>
      </c>
      <c r="F125" s="9">
        <f t="shared" si="3"/>
        <v>2</v>
      </c>
      <c r="G125" s="6">
        <v>22</v>
      </c>
      <c r="H125" s="7">
        <v>20</v>
      </c>
      <c r="I125" s="9">
        <v>2</v>
      </c>
    </row>
    <row r="126" spans="1:9" x14ac:dyDescent="0.2">
      <c r="A126" s="122" t="s">
        <v>346</v>
      </c>
      <c r="B126" s="7">
        <v>43</v>
      </c>
      <c r="C126" s="117" t="s">
        <v>215</v>
      </c>
      <c r="D126" s="7">
        <v>9</v>
      </c>
      <c r="E126" s="7">
        <v>2</v>
      </c>
      <c r="F126" s="9">
        <f t="shared" si="3"/>
        <v>7</v>
      </c>
      <c r="G126" s="6">
        <v>2</v>
      </c>
      <c r="H126" s="7">
        <v>2</v>
      </c>
      <c r="I126" s="9"/>
    </row>
    <row r="127" spans="1:9" x14ac:dyDescent="0.2">
      <c r="A127" s="122" t="s">
        <v>347</v>
      </c>
      <c r="B127" s="7">
        <v>40</v>
      </c>
      <c r="C127" s="117" t="s">
        <v>216</v>
      </c>
      <c r="D127" s="7">
        <v>4</v>
      </c>
      <c r="E127" s="7">
        <v>2</v>
      </c>
      <c r="F127" s="9">
        <f t="shared" si="3"/>
        <v>2</v>
      </c>
      <c r="G127" s="6">
        <v>4</v>
      </c>
      <c r="H127" s="7">
        <v>2</v>
      </c>
      <c r="I127" s="9">
        <v>2</v>
      </c>
    </row>
    <row r="128" spans="1:9" x14ac:dyDescent="0.2">
      <c r="A128" s="122" t="s">
        <v>348</v>
      </c>
      <c r="B128" s="7">
        <v>39</v>
      </c>
      <c r="C128" s="117" t="s">
        <v>217</v>
      </c>
      <c r="D128" s="7">
        <v>10</v>
      </c>
      <c r="E128" s="7">
        <v>5</v>
      </c>
      <c r="F128" s="9">
        <f t="shared" si="3"/>
        <v>5</v>
      </c>
      <c r="G128" s="6">
        <v>5</v>
      </c>
      <c r="H128" s="7">
        <v>5</v>
      </c>
      <c r="I128" s="9"/>
    </row>
    <row r="129" spans="1:9" x14ac:dyDescent="0.2">
      <c r="A129" s="122" t="s">
        <v>349</v>
      </c>
      <c r="B129" s="7">
        <v>38</v>
      </c>
      <c r="C129" s="117" t="s">
        <v>218</v>
      </c>
      <c r="D129" s="7">
        <v>7</v>
      </c>
      <c r="E129" s="7">
        <v>6</v>
      </c>
      <c r="F129" s="9">
        <f t="shared" si="3"/>
        <v>1</v>
      </c>
      <c r="G129" s="6">
        <v>7</v>
      </c>
      <c r="H129" s="7">
        <v>6</v>
      </c>
      <c r="I129" s="9">
        <v>1</v>
      </c>
    </row>
    <row r="130" spans="1:9" x14ac:dyDescent="0.2">
      <c r="A130" s="122" t="s">
        <v>350</v>
      </c>
      <c r="B130" s="7">
        <v>32</v>
      </c>
      <c r="C130" s="117" t="s">
        <v>219</v>
      </c>
      <c r="D130" s="7">
        <v>2</v>
      </c>
      <c r="E130" s="7">
        <v>2</v>
      </c>
      <c r="F130" s="9">
        <f t="shared" si="3"/>
        <v>0</v>
      </c>
      <c r="G130" s="6">
        <v>2</v>
      </c>
      <c r="H130" s="7">
        <v>2</v>
      </c>
      <c r="I130" s="9"/>
    </row>
    <row r="131" spans="1:9" x14ac:dyDescent="0.2">
      <c r="A131" s="122" t="s">
        <v>351</v>
      </c>
      <c r="B131" s="13">
        <v>36</v>
      </c>
      <c r="C131" s="118" t="s">
        <v>220</v>
      </c>
      <c r="D131" s="13">
        <v>6</v>
      </c>
      <c r="E131" s="13">
        <v>4</v>
      </c>
      <c r="F131" s="9">
        <v>2</v>
      </c>
      <c r="G131" s="6">
        <v>4</v>
      </c>
      <c r="H131" s="13">
        <v>4</v>
      </c>
      <c r="I131" s="9"/>
    </row>
    <row r="132" spans="1:9" x14ac:dyDescent="0.2">
      <c r="A132" s="122" t="s">
        <v>352</v>
      </c>
      <c r="B132" s="7">
        <v>31</v>
      </c>
      <c r="C132" s="117" t="s">
        <v>221</v>
      </c>
      <c r="D132" s="7">
        <v>9</v>
      </c>
      <c r="E132" s="7">
        <v>6</v>
      </c>
      <c r="F132" s="9">
        <f t="shared" ref="F132:F162" si="4">D132-E132</f>
        <v>3</v>
      </c>
      <c r="G132" s="6">
        <v>8</v>
      </c>
      <c r="H132" s="7">
        <v>5</v>
      </c>
      <c r="I132" s="9">
        <v>3</v>
      </c>
    </row>
    <row r="133" spans="1:9" x14ac:dyDescent="0.2">
      <c r="A133" s="122" t="s">
        <v>352</v>
      </c>
      <c r="B133" s="7">
        <v>31</v>
      </c>
      <c r="C133" s="117" t="s">
        <v>222</v>
      </c>
      <c r="D133" s="7">
        <v>7</v>
      </c>
      <c r="E133" s="7">
        <v>5</v>
      </c>
      <c r="F133" s="9">
        <f t="shared" si="4"/>
        <v>2</v>
      </c>
      <c r="G133" s="6">
        <v>5</v>
      </c>
      <c r="H133" s="7">
        <v>4</v>
      </c>
      <c r="I133" s="9">
        <v>1</v>
      </c>
    </row>
    <row r="134" spans="1:9" x14ac:dyDescent="0.2">
      <c r="A134" s="122" t="s">
        <v>353</v>
      </c>
      <c r="B134" s="7">
        <v>35</v>
      </c>
      <c r="C134" s="116" t="s">
        <v>223</v>
      </c>
      <c r="D134" s="7">
        <v>5</v>
      </c>
      <c r="E134" s="7">
        <v>2</v>
      </c>
      <c r="F134" s="9">
        <f t="shared" si="4"/>
        <v>3</v>
      </c>
      <c r="G134" s="6">
        <v>5</v>
      </c>
      <c r="H134" s="7">
        <v>2</v>
      </c>
      <c r="I134" s="9">
        <v>3</v>
      </c>
    </row>
    <row r="135" spans="1:9" x14ac:dyDescent="0.2">
      <c r="A135" s="122" t="s">
        <v>353</v>
      </c>
      <c r="B135" s="7">
        <v>35</v>
      </c>
      <c r="C135" s="117" t="s">
        <v>224</v>
      </c>
      <c r="D135" s="7">
        <v>8</v>
      </c>
      <c r="E135" s="7">
        <v>3</v>
      </c>
      <c r="F135" s="9">
        <f t="shared" si="4"/>
        <v>5</v>
      </c>
      <c r="G135" s="6">
        <v>6</v>
      </c>
      <c r="H135" s="7">
        <v>3</v>
      </c>
      <c r="I135" s="9">
        <v>3</v>
      </c>
    </row>
    <row r="136" spans="1:9" x14ac:dyDescent="0.2">
      <c r="A136" s="122" t="s">
        <v>354</v>
      </c>
      <c r="B136" s="7">
        <v>38</v>
      </c>
      <c r="C136" s="117" t="s">
        <v>225</v>
      </c>
      <c r="D136" s="7">
        <v>4</v>
      </c>
      <c r="E136" s="7">
        <v>2</v>
      </c>
      <c r="F136" s="9">
        <f t="shared" si="4"/>
        <v>2</v>
      </c>
      <c r="G136" s="6">
        <v>4</v>
      </c>
      <c r="H136" s="7">
        <v>2</v>
      </c>
      <c r="I136" s="9">
        <v>2</v>
      </c>
    </row>
    <row r="137" spans="1:9" x14ac:dyDescent="0.2">
      <c r="A137" s="122" t="s">
        <v>354</v>
      </c>
      <c r="B137" s="7">
        <v>39</v>
      </c>
      <c r="C137" s="117" t="s">
        <v>226</v>
      </c>
      <c r="D137" s="7">
        <v>2</v>
      </c>
      <c r="E137" s="7">
        <v>2</v>
      </c>
      <c r="F137" s="9">
        <f t="shared" si="4"/>
        <v>0</v>
      </c>
      <c r="G137" s="6">
        <v>2</v>
      </c>
      <c r="H137" s="7">
        <v>2</v>
      </c>
      <c r="I137" s="9"/>
    </row>
    <row r="138" spans="1:9" x14ac:dyDescent="0.2">
      <c r="A138" s="122" t="s">
        <v>354</v>
      </c>
      <c r="B138" s="7">
        <v>39</v>
      </c>
      <c r="C138" s="117" t="s">
        <v>227</v>
      </c>
      <c r="D138" s="7">
        <v>4</v>
      </c>
      <c r="E138" s="7">
        <v>2</v>
      </c>
      <c r="F138" s="9">
        <f t="shared" si="4"/>
        <v>2</v>
      </c>
      <c r="G138" s="6">
        <v>2</v>
      </c>
      <c r="H138" s="7">
        <v>2</v>
      </c>
      <c r="I138" s="9"/>
    </row>
    <row r="139" spans="1:9" x14ac:dyDescent="0.2">
      <c r="A139" s="122" t="s">
        <v>355</v>
      </c>
      <c r="B139" s="7">
        <v>37</v>
      </c>
      <c r="C139" s="117" t="s">
        <v>228</v>
      </c>
      <c r="D139" s="7">
        <v>4</v>
      </c>
      <c r="E139" s="7">
        <v>4</v>
      </c>
      <c r="F139" s="9">
        <f t="shared" si="4"/>
        <v>0</v>
      </c>
      <c r="G139" s="6">
        <v>4</v>
      </c>
      <c r="H139" s="7">
        <v>4</v>
      </c>
      <c r="I139" s="9"/>
    </row>
    <row r="140" spans="1:9" x14ac:dyDescent="0.2">
      <c r="A140" s="122" t="s">
        <v>355</v>
      </c>
      <c r="B140" s="7">
        <v>37</v>
      </c>
      <c r="C140" s="117" t="s">
        <v>229</v>
      </c>
      <c r="D140" s="7">
        <v>7</v>
      </c>
      <c r="E140" s="7">
        <v>3</v>
      </c>
      <c r="F140" s="9">
        <f t="shared" si="4"/>
        <v>4</v>
      </c>
      <c r="G140" s="6">
        <v>7</v>
      </c>
      <c r="H140" s="7">
        <v>3</v>
      </c>
      <c r="I140" s="9">
        <v>4</v>
      </c>
    </row>
    <row r="141" spans="1:9" x14ac:dyDescent="0.2">
      <c r="A141" s="122" t="s">
        <v>356</v>
      </c>
      <c r="B141" s="7">
        <v>32</v>
      </c>
      <c r="C141" s="117" t="s">
        <v>230</v>
      </c>
      <c r="D141" s="7">
        <v>3</v>
      </c>
      <c r="E141" s="7">
        <v>1</v>
      </c>
      <c r="F141" s="9">
        <f t="shared" si="4"/>
        <v>2</v>
      </c>
      <c r="G141" s="6">
        <v>3</v>
      </c>
      <c r="H141" s="7">
        <v>1</v>
      </c>
      <c r="I141" s="9">
        <v>2</v>
      </c>
    </row>
    <row r="142" spans="1:9" x14ac:dyDescent="0.2">
      <c r="A142" s="122" t="s">
        <v>357</v>
      </c>
      <c r="B142" s="7">
        <v>44</v>
      </c>
      <c r="C142" s="117" t="s">
        <v>231</v>
      </c>
      <c r="D142" s="7">
        <v>3</v>
      </c>
      <c r="E142" s="7">
        <v>1</v>
      </c>
      <c r="F142" s="9">
        <f t="shared" si="4"/>
        <v>2</v>
      </c>
      <c r="G142" s="6">
        <v>2</v>
      </c>
      <c r="H142" s="7">
        <v>1</v>
      </c>
      <c r="I142" s="9">
        <v>1</v>
      </c>
    </row>
    <row r="143" spans="1:9" x14ac:dyDescent="0.2">
      <c r="A143" s="122" t="s">
        <v>358</v>
      </c>
      <c r="B143" s="7">
        <v>42</v>
      </c>
      <c r="C143" s="117" t="s">
        <v>232</v>
      </c>
      <c r="D143" s="7">
        <v>5</v>
      </c>
      <c r="E143" s="7">
        <v>3</v>
      </c>
      <c r="F143" s="9">
        <f t="shared" si="4"/>
        <v>2</v>
      </c>
      <c r="G143" s="6">
        <v>3</v>
      </c>
      <c r="H143" s="7">
        <v>3</v>
      </c>
      <c r="I143" s="9"/>
    </row>
    <row r="144" spans="1:9" x14ac:dyDescent="0.2">
      <c r="A144" s="122" t="s">
        <v>359</v>
      </c>
      <c r="B144" s="7">
        <v>44</v>
      </c>
      <c r="C144" s="117" t="s">
        <v>233</v>
      </c>
      <c r="D144" s="7">
        <v>5</v>
      </c>
      <c r="E144" s="7">
        <v>3</v>
      </c>
      <c r="F144" s="9">
        <f t="shared" si="4"/>
        <v>2</v>
      </c>
      <c r="G144" s="6">
        <v>3</v>
      </c>
      <c r="H144" s="7">
        <v>3</v>
      </c>
      <c r="I144" s="9"/>
    </row>
    <row r="145" spans="1:9" x14ac:dyDescent="0.2">
      <c r="A145" s="122" t="s">
        <v>360</v>
      </c>
      <c r="B145" s="7">
        <v>42</v>
      </c>
      <c r="C145" s="117" t="s">
        <v>234</v>
      </c>
      <c r="D145" s="7">
        <v>4</v>
      </c>
      <c r="E145" s="7">
        <v>2</v>
      </c>
      <c r="F145" s="9">
        <f t="shared" si="4"/>
        <v>2</v>
      </c>
      <c r="G145" s="6">
        <v>2</v>
      </c>
      <c r="H145" s="7">
        <v>2</v>
      </c>
      <c r="I145" s="9"/>
    </row>
    <row r="146" spans="1:9" x14ac:dyDescent="0.2">
      <c r="A146" s="122" t="s">
        <v>361</v>
      </c>
      <c r="B146" s="7">
        <v>42</v>
      </c>
      <c r="C146" s="117" t="s">
        <v>235</v>
      </c>
      <c r="D146" s="7">
        <v>5</v>
      </c>
      <c r="E146" s="7">
        <v>1</v>
      </c>
      <c r="F146" s="9">
        <f t="shared" si="4"/>
        <v>4</v>
      </c>
      <c r="G146" s="6">
        <v>1</v>
      </c>
      <c r="H146" s="7">
        <v>1</v>
      </c>
      <c r="I146" s="9"/>
    </row>
    <row r="147" spans="1:9" x14ac:dyDescent="0.2">
      <c r="A147" s="122" t="s">
        <v>362</v>
      </c>
      <c r="B147" s="7">
        <v>43</v>
      </c>
      <c r="C147" s="117" t="s">
        <v>236</v>
      </c>
      <c r="D147" s="7">
        <v>2</v>
      </c>
      <c r="E147" s="7">
        <v>1</v>
      </c>
      <c r="F147" s="9">
        <f t="shared" si="4"/>
        <v>1</v>
      </c>
      <c r="G147" s="6">
        <v>2</v>
      </c>
      <c r="H147" s="7">
        <v>1</v>
      </c>
      <c r="I147" s="9">
        <v>1</v>
      </c>
    </row>
    <row r="148" spans="1:9" x14ac:dyDescent="0.2">
      <c r="A148" s="122" t="s">
        <v>363</v>
      </c>
      <c r="B148" s="7">
        <v>41</v>
      </c>
      <c r="C148" s="117" t="s">
        <v>237</v>
      </c>
      <c r="D148" s="7">
        <v>7</v>
      </c>
      <c r="E148" s="7">
        <v>3</v>
      </c>
      <c r="F148" s="9">
        <f t="shared" si="4"/>
        <v>4</v>
      </c>
      <c r="G148" s="6">
        <v>2</v>
      </c>
      <c r="H148" s="7">
        <v>2</v>
      </c>
      <c r="I148" s="9"/>
    </row>
    <row r="149" spans="1:9" x14ac:dyDescent="0.2">
      <c r="A149" s="122" t="s">
        <v>364</v>
      </c>
      <c r="B149" s="7">
        <v>35</v>
      </c>
      <c r="C149" s="117" t="s">
        <v>238</v>
      </c>
      <c r="D149" s="7">
        <v>5</v>
      </c>
      <c r="E149" s="7">
        <v>2</v>
      </c>
      <c r="F149" s="9">
        <f t="shared" si="4"/>
        <v>3</v>
      </c>
      <c r="G149" s="6">
        <v>5</v>
      </c>
      <c r="H149" s="7">
        <v>2</v>
      </c>
      <c r="I149" s="9">
        <v>3</v>
      </c>
    </row>
    <row r="150" spans="1:9" x14ac:dyDescent="0.2">
      <c r="A150" s="122" t="s">
        <v>365</v>
      </c>
      <c r="B150" s="7">
        <v>36</v>
      </c>
      <c r="C150" s="117" t="s">
        <v>239</v>
      </c>
      <c r="D150" s="7">
        <v>11</v>
      </c>
      <c r="E150" s="7">
        <v>4</v>
      </c>
      <c r="F150" s="9">
        <f t="shared" si="4"/>
        <v>7</v>
      </c>
      <c r="G150" s="6">
        <v>10</v>
      </c>
      <c r="H150" s="7">
        <v>4</v>
      </c>
      <c r="I150" s="9">
        <v>6</v>
      </c>
    </row>
    <row r="151" spans="1:9" x14ac:dyDescent="0.2">
      <c r="A151" s="122" t="s">
        <v>366</v>
      </c>
      <c r="B151" s="7">
        <v>42</v>
      </c>
      <c r="C151" s="117" t="s">
        <v>240</v>
      </c>
      <c r="D151" s="7">
        <v>20</v>
      </c>
      <c r="E151" s="7">
        <v>9</v>
      </c>
      <c r="F151" s="9">
        <f t="shared" si="4"/>
        <v>11</v>
      </c>
      <c r="G151" s="6">
        <v>9</v>
      </c>
      <c r="H151" s="7">
        <v>9</v>
      </c>
      <c r="I151" s="9"/>
    </row>
    <row r="152" spans="1:9" x14ac:dyDescent="0.2">
      <c r="A152" s="122" t="s">
        <v>367</v>
      </c>
      <c r="B152" s="7">
        <v>34</v>
      </c>
      <c r="C152" s="117" t="s">
        <v>241</v>
      </c>
      <c r="D152" s="7">
        <v>8</v>
      </c>
      <c r="E152" s="7">
        <v>4</v>
      </c>
      <c r="F152" s="9">
        <f t="shared" si="4"/>
        <v>4</v>
      </c>
      <c r="G152" s="6">
        <v>4</v>
      </c>
      <c r="H152" s="7">
        <v>4</v>
      </c>
      <c r="I152" s="9"/>
    </row>
    <row r="153" spans="1:9" x14ac:dyDescent="0.2">
      <c r="A153" s="122" t="s">
        <v>367</v>
      </c>
      <c r="B153" s="7">
        <v>34</v>
      </c>
      <c r="C153" s="117" t="s">
        <v>242</v>
      </c>
      <c r="D153" s="7">
        <v>7</v>
      </c>
      <c r="E153" s="7">
        <v>6</v>
      </c>
      <c r="F153" s="9">
        <f t="shared" si="4"/>
        <v>1</v>
      </c>
      <c r="G153" s="6">
        <v>7</v>
      </c>
      <c r="H153" s="7">
        <v>6</v>
      </c>
      <c r="I153" s="9">
        <v>1</v>
      </c>
    </row>
    <row r="154" spans="1:9" x14ac:dyDescent="0.2">
      <c r="A154" s="122" t="s">
        <v>368</v>
      </c>
      <c r="B154" s="7">
        <v>45</v>
      </c>
      <c r="C154" s="117" t="s">
        <v>243</v>
      </c>
      <c r="D154" s="7">
        <v>2</v>
      </c>
      <c r="E154" s="7">
        <v>2</v>
      </c>
      <c r="F154" s="9">
        <f t="shared" si="4"/>
        <v>0</v>
      </c>
      <c r="G154" s="6">
        <v>2</v>
      </c>
      <c r="H154" s="7">
        <v>2</v>
      </c>
      <c r="I154" s="9"/>
    </row>
    <row r="155" spans="1:9" x14ac:dyDescent="0.2">
      <c r="A155" s="122" t="s">
        <v>369</v>
      </c>
      <c r="B155" s="7">
        <v>42</v>
      </c>
      <c r="C155" s="117" t="s">
        <v>244</v>
      </c>
      <c r="D155" s="7">
        <v>8</v>
      </c>
      <c r="E155" s="7">
        <v>5</v>
      </c>
      <c r="F155" s="9">
        <f t="shared" si="4"/>
        <v>3</v>
      </c>
      <c r="G155" s="6">
        <v>8</v>
      </c>
      <c r="H155" s="7">
        <v>5</v>
      </c>
      <c r="I155" s="9">
        <v>3</v>
      </c>
    </row>
    <row r="156" spans="1:9" x14ac:dyDescent="0.2">
      <c r="A156" s="122" t="s">
        <v>370</v>
      </c>
      <c r="B156" s="7">
        <v>40</v>
      </c>
      <c r="C156" s="117" t="s">
        <v>245</v>
      </c>
      <c r="D156" s="7">
        <v>2</v>
      </c>
      <c r="E156" s="7">
        <v>1</v>
      </c>
      <c r="F156" s="9">
        <f t="shared" si="4"/>
        <v>1</v>
      </c>
      <c r="G156" s="6">
        <v>2</v>
      </c>
      <c r="H156" s="7">
        <v>1</v>
      </c>
      <c r="I156" s="9">
        <v>1</v>
      </c>
    </row>
    <row r="157" spans="1:9" x14ac:dyDescent="0.2">
      <c r="A157" s="122" t="s">
        <v>371</v>
      </c>
      <c r="B157" s="7">
        <v>40</v>
      </c>
      <c r="C157" s="117" t="s">
        <v>246</v>
      </c>
      <c r="D157" s="7">
        <v>13</v>
      </c>
      <c r="E157" s="7">
        <v>8</v>
      </c>
      <c r="F157" s="9">
        <f t="shared" si="4"/>
        <v>5</v>
      </c>
      <c r="G157" s="6">
        <v>11</v>
      </c>
      <c r="H157" s="7">
        <v>8</v>
      </c>
      <c r="I157" s="9">
        <v>3</v>
      </c>
    </row>
    <row r="158" spans="1:9" x14ac:dyDescent="0.2">
      <c r="A158" s="122" t="s">
        <v>372</v>
      </c>
      <c r="B158" s="7">
        <v>41</v>
      </c>
      <c r="C158" s="116" t="s">
        <v>247</v>
      </c>
      <c r="D158" s="7">
        <v>6</v>
      </c>
      <c r="E158" s="7">
        <v>4</v>
      </c>
      <c r="F158" s="9">
        <f t="shared" si="4"/>
        <v>2</v>
      </c>
      <c r="G158" s="6">
        <v>4</v>
      </c>
      <c r="H158" s="7">
        <v>4</v>
      </c>
      <c r="I158" s="9"/>
    </row>
    <row r="159" spans="1:9" x14ac:dyDescent="0.2">
      <c r="A159" s="122" t="s">
        <v>372</v>
      </c>
      <c r="B159" s="7">
        <v>41</v>
      </c>
      <c r="C159" s="117" t="s">
        <v>248</v>
      </c>
      <c r="D159" s="7">
        <v>9</v>
      </c>
      <c r="E159" s="7">
        <v>8</v>
      </c>
      <c r="F159" s="9">
        <f t="shared" si="4"/>
        <v>1</v>
      </c>
      <c r="G159" s="6">
        <v>8</v>
      </c>
      <c r="H159" s="7">
        <v>8</v>
      </c>
      <c r="I159" s="9"/>
    </row>
    <row r="160" spans="1:9" x14ac:dyDescent="0.2">
      <c r="A160" s="122" t="s">
        <v>373</v>
      </c>
      <c r="B160" s="7">
        <v>39</v>
      </c>
      <c r="C160" s="117" t="s">
        <v>249</v>
      </c>
      <c r="D160" s="7">
        <v>5</v>
      </c>
      <c r="E160" s="7">
        <v>3</v>
      </c>
      <c r="F160" s="9">
        <f t="shared" si="4"/>
        <v>2</v>
      </c>
      <c r="G160" s="6">
        <v>3</v>
      </c>
      <c r="H160" s="7">
        <v>3</v>
      </c>
      <c r="I160" s="9"/>
    </row>
    <row r="161" spans="1:9" x14ac:dyDescent="0.2">
      <c r="A161" s="122" t="s">
        <v>374</v>
      </c>
      <c r="B161" s="7">
        <v>44</v>
      </c>
      <c r="C161" s="117" t="s">
        <v>250</v>
      </c>
      <c r="D161" s="7">
        <v>9</v>
      </c>
      <c r="E161" s="7">
        <v>2</v>
      </c>
      <c r="F161" s="9">
        <f t="shared" si="4"/>
        <v>7</v>
      </c>
      <c r="G161" s="6">
        <v>2</v>
      </c>
      <c r="H161" s="7">
        <v>2</v>
      </c>
      <c r="I161" s="9"/>
    </row>
    <row r="162" spans="1:9" x14ac:dyDescent="0.2">
      <c r="A162" s="122" t="s">
        <v>375</v>
      </c>
      <c r="B162" s="7">
        <v>34</v>
      </c>
      <c r="C162" s="117" t="s">
        <v>251</v>
      </c>
      <c r="D162" s="7">
        <v>8</v>
      </c>
      <c r="E162" s="7">
        <v>7</v>
      </c>
      <c r="F162" s="9">
        <f t="shared" si="4"/>
        <v>1</v>
      </c>
      <c r="G162" s="6">
        <v>7</v>
      </c>
      <c r="H162" s="7">
        <v>7</v>
      </c>
      <c r="I162" s="9"/>
    </row>
    <row r="163" spans="1:9" x14ac:dyDescent="0.2">
      <c r="A163" s="122" t="s">
        <v>376</v>
      </c>
      <c r="B163" s="7">
        <v>41</v>
      </c>
      <c r="C163" s="117" t="s">
        <v>252</v>
      </c>
      <c r="D163" s="7">
        <v>5</v>
      </c>
      <c r="E163" s="7">
        <v>1</v>
      </c>
      <c r="F163" s="9">
        <v>4</v>
      </c>
      <c r="G163" s="6">
        <v>1</v>
      </c>
      <c r="H163" s="7">
        <v>1</v>
      </c>
      <c r="I163" s="9"/>
    </row>
    <row r="164" spans="1:9" x14ac:dyDescent="0.2">
      <c r="A164" s="122" t="s">
        <v>377</v>
      </c>
      <c r="B164" s="7">
        <v>40</v>
      </c>
      <c r="C164" s="117" t="s">
        <v>253</v>
      </c>
      <c r="D164" s="7">
        <v>3</v>
      </c>
      <c r="E164" s="7">
        <v>3</v>
      </c>
      <c r="F164" s="9">
        <f>D164-E164</f>
        <v>0</v>
      </c>
      <c r="G164" s="6">
        <v>3</v>
      </c>
      <c r="H164" s="7">
        <v>3</v>
      </c>
      <c r="I164" s="9"/>
    </row>
    <row r="165" spans="1:9" x14ac:dyDescent="0.2">
      <c r="A165" s="122" t="s">
        <v>378</v>
      </c>
      <c r="B165" s="7">
        <v>41</v>
      </c>
      <c r="C165" s="117" t="s">
        <v>254</v>
      </c>
      <c r="D165" s="7">
        <v>7</v>
      </c>
      <c r="E165" s="7">
        <v>3</v>
      </c>
      <c r="F165" s="9">
        <f>D165-E165</f>
        <v>4</v>
      </c>
      <c r="G165" s="6">
        <v>3</v>
      </c>
      <c r="H165" s="7">
        <v>3</v>
      </c>
      <c r="I165" s="9"/>
    </row>
    <row r="166" spans="1:9" x14ac:dyDescent="0.2">
      <c r="A166" s="122" t="s">
        <v>379</v>
      </c>
      <c r="B166" s="52">
        <v>43</v>
      </c>
      <c r="C166" s="118" t="s">
        <v>255</v>
      </c>
      <c r="D166" s="52">
        <v>5</v>
      </c>
      <c r="E166" s="52">
        <v>3</v>
      </c>
      <c r="F166" s="53">
        <f>D166-E166</f>
        <v>2</v>
      </c>
      <c r="G166" s="6">
        <v>3</v>
      </c>
      <c r="H166" s="52">
        <v>3</v>
      </c>
      <c r="I166" s="53"/>
    </row>
    <row r="167" spans="1:9" ht="16" thickBot="1" x14ac:dyDescent="0.25">
      <c r="A167" s="123" t="s">
        <v>380</v>
      </c>
      <c r="B167" s="11">
        <v>38</v>
      </c>
      <c r="C167" s="119" t="s">
        <v>256</v>
      </c>
      <c r="D167" s="11">
        <v>5</v>
      </c>
      <c r="E167" s="11">
        <v>1</v>
      </c>
      <c r="F167" s="12">
        <f>D167-E167</f>
        <v>4</v>
      </c>
      <c r="G167" s="10">
        <v>1</v>
      </c>
      <c r="H167" s="11">
        <v>1</v>
      </c>
      <c r="I167" s="12"/>
    </row>
    <row r="168" spans="1:9" x14ac:dyDescent="0.2">
      <c r="A168" s="117"/>
      <c r="B168" s="7"/>
      <c r="D168" s="7"/>
      <c r="E168" s="7"/>
      <c r="F168" s="7"/>
      <c r="G168" s="7"/>
      <c r="H168" s="7"/>
      <c r="I168" s="7"/>
    </row>
  </sheetData>
  <sortState xmlns:xlrd2="http://schemas.microsoft.com/office/spreadsheetml/2017/richdata2" ref="A3:I167">
    <sortCondition ref="A3:A167"/>
  </sortState>
  <mergeCells count="2">
    <mergeCell ref="A1:F1"/>
    <mergeCell ref="G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D36C-71C0-4357-8824-E564090FC6E8}">
  <sheetPr codeName="Sheet2"/>
  <dimension ref="A1:CK925"/>
  <sheetViews>
    <sheetView topLeftCell="BO1" workbookViewId="0">
      <pane ySplit="1" topLeftCell="A2" activePane="bottomLeft" state="frozen"/>
      <selection pane="bottomLeft" activeCell="G16" sqref="G16"/>
    </sheetView>
  </sheetViews>
  <sheetFormatPr baseColWidth="10" defaultColWidth="8.83203125" defaultRowHeight="15" x14ac:dyDescent="0.2"/>
  <cols>
    <col min="1" max="1" width="9.1640625" style="113"/>
    <col min="2" max="2" width="10.83203125" style="41" customWidth="1"/>
    <col min="3" max="3" width="11.5" style="109" customWidth="1"/>
    <col min="4" max="10" width="9.1640625" style="41"/>
    <col min="11" max="11" width="11.5" style="41" customWidth="1"/>
    <col min="12" max="12" width="9.1640625" style="41"/>
    <col min="13" max="58" width="5.5" style="41" customWidth="1"/>
    <col min="59" max="74" width="9.1640625" style="41"/>
    <col min="75" max="75" width="13.5" style="41" customWidth="1"/>
    <col min="76" max="76" width="11.6640625" style="41" customWidth="1"/>
    <col min="77" max="77" width="18" style="7" customWidth="1"/>
  </cols>
  <sheetData>
    <row r="1" spans="1:85" ht="49" thickBot="1" x14ac:dyDescent="0.25">
      <c r="A1" s="124" t="s">
        <v>2</v>
      </c>
      <c r="B1" s="27" t="s">
        <v>9</v>
      </c>
      <c r="C1" s="107" t="s">
        <v>94</v>
      </c>
      <c r="D1" s="27" t="s">
        <v>10</v>
      </c>
      <c r="E1" s="27" t="s">
        <v>11</v>
      </c>
      <c r="F1" s="27" t="s">
        <v>12</v>
      </c>
      <c r="G1" s="27" t="s">
        <v>13</v>
      </c>
      <c r="H1" s="27" t="s">
        <v>14</v>
      </c>
      <c r="I1" s="27" t="s">
        <v>13</v>
      </c>
      <c r="J1" s="27" t="s">
        <v>15</v>
      </c>
      <c r="K1" s="28" t="s">
        <v>16</v>
      </c>
      <c r="L1" s="27" t="s">
        <v>17</v>
      </c>
      <c r="M1" s="29">
        <v>1</v>
      </c>
      <c r="N1" s="30" t="s">
        <v>8</v>
      </c>
      <c r="O1" s="29">
        <v>2</v>
      </c>
      <c r="P1" s="30" t="s">
        <v>8</v>
      </c>
      <c r="Q1" s="29">
        <v>3</v>
      </c>
      <c r="R1" s="30" t="s">
        <v>8</v>
      </c>
      <c r="S1" s="29">
        <v>4</v>
      </c>
      <c r="T1" s="30" t="s">
        <v>8</v>
      </c>
      <c r="U1" s="29">
        <v>5</v>
      </c>
      <c r="V1" s="30" t="s">
        <v>8</v>
      </c>
      <c r="W1" s="29">
        <v>6</v>
      </c>
      <c r="X1" s="30" t="s">
        <v>8</v>
      </c>
      <c r="Y1" s="29">
        <v>7</v>
      </c>
      <c r="Z1" s="30" t="s">
        <v>8</v>
      </c>
      <c r="AA1" s="29">
        <v>8</v>
      </c>
      <c r="AB1" s="30" t="s">
        <v>8</v>
      </c>
      <c r="AC1" s="29">
        <v>9</v>
      </c>
      <c r="AD1" s="30" t="s">
        <v>8</v>
      </c>
      <c r="AE1" s="29">
        <v>10</v>
      </c>
      <c r="AF1" s="30" t="s">
        <v>8</v>
      </c>
      <c r="AG1" s="29">
        <v>11</v>
      </c>
      <c r="AH1" s="30" t="s">
        <v>8</v>
      </c>
      <c r="AI1" s="29">
        <v>12</v>
      </c>
      <c r="AJ1" s="30" t="s">
        <v>8</v>
      </c>
      <c r="AK1" s="29">
        <v>13</v>
      </c>
      <c r="AL1" s="30" t="s">
        <v>8</v>
      </c>
      <c r="AM1" s="29">
        <v>14</v>
      </c>
      <c r="AN1" s="30" t="s">
        <v>8</v>
      </c>
      <c r="AO1" s="29">
        <v>15</v>
      </c>
      <c r="AP1" s="30" t="s">
        <v>8</v>
      </c>
      <c r="AQ1" s="29">
        <v>16</v>
      </c>
      <c r="AR1" s="30" t="s">
        <v>8</v>
      </c>
      <c r="AS1" s="29">
        <v>17</v>
      </c>
      <c r="AT1" s="30" t="s">
        <v>8</v>
      </c>
      <c r="AU1" s="29">
        <v>18</v>
      </c>
      <c r="AV1" s="30" t="s">
        <v>8</v>
      </c>
      <c r="AW1" s="29">
        <v>19</v>
      </c>
      <c r="AX1" s="30" t="s">
        <v>8</v>
      </c>
      <c r="AY1" s="29">
        <v>20</v>
      </c>
      <c r="AZ1" s="30" t="s">
        <v>8</v>
      </c>
      <c r="BA1" s="29">
        <v>21</v>
      </c>
      <c r="BB1" s="30" t="s">
        <v>8</v>
      </c>
      <c r="BC1" s="29">
        <v>22</v>
      </c>
      <c r="BD1" s="30" t="s">
        <v>8</v>
      </c>
      <c r="BE1" s="89" t="s">
        <v>18</v>
      </c>
      <c r="BF1" s="90"/>
      <c r="BG1" s="31" t="s">
        <v>19</v>
      </c>
      <c r="BH1" s="27" t="s">
        <v>20</v>
      </c>
      <c r="BI1" s="27" t="s">
        <v>21</v>
      </c>
      <c r="BJ1" s="27" t="s">
        <v>22</v>
      </c>
      <c r="BK1" s="27" t="s">
        <v>23</v>
      </c>
      <c r="BL1" s="27" t="s">
        <v>24</v>
      </c>
      <c r="BM1" s="27" t="s">
        <v>25</v>
      </c>
      <c r="BN1" s="32" t="s">
        <v>26</v>
      </c>
      <c r="BO1" s="31" t="s">
        <v>27</v>
      </c>
      <c r="BP1" s="27" t="s">
        <v>28</v>
      </c>
      <c r="BQ1" s="27" t="s">
        <v>29</v>
      </c>
      <c r="BR1" s="55" t="s">
        <v>30</v>
      </c>
      <c r="BS1" s="54" t="s">
        <v>31</v>
      </c>
      <c r="BT1" s="27" t="s">
        <v>32</v>
      </c>
      <c r="BU1" s="32" t="s">
        <v>33</v>
      </c>
      <c r="BV1" s="33" t="s">
        <v>34</v>
      </c>
      <c r="BW1" s="31" t="s">
        <v>35</v>
      </c>
      <c r="BX1" s="31" t="s">
        <v>36</v>
      </c>
      <c r="BY1" s="62" t="s">
        <v>82</v>
      </c>
      <c r="BZ1" s="15"/>
      <c r="CA1" s="91" t="s">
        <v>86</v>
      </c>
      <c r="CB1" s="92"/>
      <c r="CC1" s="92"/>
      <c r="CD1" s="92"/>
      <c r="CE1" s="93"/>
      <c r="CF1" s="80"/>
    </row>
    <row r="2" spans="1:85" ht="19" customHeight="1" x14ac:dyDescent="0.2">
      <c r="A2" s="109" t="s">
        <v>257</v>
      </c>
      <c r="B2" s="34">
        <v>42</v>
      </c>
      <c r="C2" s="108" t="s">
        <v>95</v>
      </c>
      <c r="D2" s="34">
        <v>1</v>
      </c>
      <c r="E2" s="34">
        <v>2</v>
      </c>
      <c r="F2" s="34"/>
      <c r="G2" s="34"/>
      <c r="H2" s="34"/>
      <c r="I2" s="34"/>
      <c r="J2" s="34" t="s">
        <v>37</v>
      </c>
      <c r="K2" s="34"/>
      <c r="L2" s="34">
        <v>5</v>
      </c>
      <c r="M2" s="35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 t="s">
        <v>38</v>
      </c>
      <c r="AB2" s="36">
        <f>5.5/5.5</f>
        <v>1</v>
      </c>
      <c r="AC2" s="36"/>
      <c r="AD2" s="36"/>
      <c r="AE2" s="36"/>
      <c r="AF2" s="36"/>
      <c r="AG2" s="36"/>
      <c r="AH2" s="36"/>
      <c r="AI2" s="36"/>
      <c r="AJ2" s="36"/>
      <c r="AK2" s="36" t="s">
        <v>39</v>
      </c>
      <c r="AL2" s="36">
        <f>4.5/5.5</f>
        <v>0.81818181818181823</v>
      </c>
      <c r="AM2" s="36"/>
      <c r="AN2" s="36"/>
      <c r="AO2" s="36" t="s">
        <v>40</v>
      </c>
      <c r="AP2" s="36">
        <f>2/5.5</f>
        <v>0.36363636363636365</v>
      </c>
      <c r="AQ2" s="36" t="s">
        <v>38</v>
      </c>
      <c r="AR2" s="36">
        <f>5/5.5</f>
        <v>0.90909090909090906</v>
      </c>
      <c r="AS2" s="36"/>
      <c r="AT2" s="36"/>
      <c r="AU2" s="36"/>
      <c r="AV2" s="36"/>
      <c r="AW2" s="36"/>
      <c r="AX2" s="36"/>
      <c r="AY2" s="36"/>
      <c r="AZ2" s="36"/>
      <c r="BA2" s="36" t="s">
        <v>39</v>
      </c>
      <c r="BB2" s="36">
        <f>5/5.5</f>
        <v>0.90909090909090906</v>
      </c>
      <c r="BC2" s="36"/>
      <c r="BD2" s="36"/>
      <c r="BE2" s="26"/>
      <c r="BF2" s="26"/>
      <c r="BG2" s="37">
        <v>2</v>
      </c>
      <c r="BH2" s="26"/>
      <c r="BI2" s="26">
        <v>2</v>
      </c>
      <c r="BJ2" s="26"/>
      <c r="BK2" s="26"/>
      <c r="BL2" s="26"/>
      <c r="BM2" s="26"/>
      <c r="BN2" s="26">
        <v>1</v>
      </c>
      <c r="BO2" s="37">
        <f t="shared" ref="BO2:BO65" si="0">BG2+BI2+BU2</f>
        <v>4</v>
      </c>
      <c r="BP2" s="56">
        <f t="shared" ref="BP2:BP65" si="1">BH2+BJ2</f>
        <v>0</v>
      </c>
      <c r="BQ2" s="56">
        <f t="shared" ref="BQ2:BQ65" si="2">BK2+BM2+BV2+BS2</f>
        <v>0</v>
      </c>
      <c r="BR2" s="57">
        <f t="shared" ref="BR2:BR65" si="3">BL2+BN2+BT2</f>
        <v>1</v>
      </c>
      <c r="BS2" s="38"/>
      <c r="BT2" s="38"/>
      <c r="BU2" s="26"/>
      <c r="BV2" s="26"/>
      <c r="BW2" s="39">
        <f t="shared" ref="BW2:BW65" si="4">SUM(BO2:BR2)</f>
        <v>5</v>
      </c>
      <c r="BX2" s="77">
        <v>2</v>
      </c>
      <c r="BY2" s="63">
        <v>9</v>
      </c>
      <c r="BZ2" s="7"/>
      <c r="CA2" s="94" t="s">
        <v>83</v>
      </c>
      <c r="CB2" s="95"/>
      <c r="CC2" s="95"/>
      <c r="CD2" s="95"/>
      <c r="CE2" s="9">
        <v>1</v>
      </c>
    </row>
    <row r="3" spans="1:85" ht="16" x14ac:dyDescent="0.2">
      <c r="A3" s="109" t="s">
        <v>257</v>
      </c>
      <c r="B3" s="26">
        <v>42</v>
      </c>
      <c r="C3" s="109" t="s">
        <v>95</v>
      </c>
      <c r="D3" s="26">
        <v>2</v>
      </c>
      <c r="E3" s="26">
        <v>2</v>
      </c>
      <c r="F3" s="26"/>
      <c r="G3" s="26"/>
      <c r="H3" s="26"/>
      <c r="I3" s="26"/>
      <c r="J3" s="26" t="s">
        <v>41</v>
      </c>
      <c r="K3" s="26"/>
      <c r="L3" s="26">
        <v>5</v>
      </c>
      <c r="M3" s="40"/>
      <c r="N3" s="36"/>
      <c r="O3" s="36"/>
      <c r="P3" s="36"/>
      <c r="Q3" s="36"/>
      <c r="R3" s="36"/>
      <c r="S3" s="36" t="s">
        <v>39</v>
      </c>
      <c r="T3" s="36">
        <f>3/8</f>
        <v>0.375</v>
      </c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 t="s">
        <v>39</v>
      </c>
      <c r="AV3" s="36">
        <f>9/8</f>
        <v>1.125</v>
      </c>
      <c r="AW3" s="36"/>
      <c r="AX3" s="36"/>
      <c r="AY3" s="36"/>
      <c r="AZ3" s="36"/>
      <c r="BA3" s="36"/>
      <c r="BB3" s="36"/>
      <c r="BC3" s="36"/>
      <c r="BD3" s="36"/>
      <c r="BE3" s="26"/>
      <c r="BF3" s="26"/>
      <c r="BG3" s="37"/>
      <c r="BH3" s="26"/>
      <c r="BI3" s="26">
        <v>1</v>
      </c>
      <c r="BJ3" s="26">
        <v>1</v>
      </c>
      <c r="BK3" s="26"/>
      <c r="BL3" s="26"/>
      <c r="BM3" s="26"/>
      <c r="BN3" s="26"/>
      <c r="BO3" s="37">
        <f t="shared" si="0"/>
        <v>1</v>
      </c>
      <c r="BP3" s="56">
        <f t="shared" si="1"/>
        <v>1</v>
      </c>
      <c r="BQ3" s="56">
        <f t="shared" si="2"/>
        <v>0</v>
      </c>
      <c r="BR3" s="57">
        <f t="shared" si="3"/>
        <v>0</v>
      </c>
      <c r="BS3" s="38"/>
      <c r="BT3" s="38"/>
      <c r="BU3" s="26"/>
      <c r="BW3" s="39">
        <f t="shared" si="4"/>
        <v>2</v>
      </c>
      <c r="BX3" s="78">
        <v>2</v>
      </c>
      <c r="BY3" s="63">
        <v>10</v>
      </c>
      <c r="BZ3" s="7"/>
      <c r="CA3" s="94" t="s">
        <v>84</v>
      </c>
      <c r="CB3" s="95"/>
      <c r="CC3" s="95"/>
      <c r="CD3" s="95"/>
      <c r="CE3" s="9">
        <v>2</v>
      </c>
      <c r="CG3" s="7"/>
    </row>
    <row r="4" spans="1:85" ht="16" x14ac:dyDescent="0.2">
      <c r="A4" s="109" t="s">
        <v>257</v>
      </c>
      <c r="B4" s="26">
        <v>42</v>
      </c>
      <c r="C4" s="109" t="s">
        <v>95</v>
      </c>
      <c r="D4" s="26">
        <v>3</v>
      </c>
      <c r="E4" s="26">
        <v>2</v>
      </c>
      <c r="F4" s="26"/>
      <c r="G4" s="26"/>
      <c r="H4" s="26"/>
      <c r="I4" s="26"/>
      <c r="J4" s="26" t="s">
        <v>41</v>
      </c>
      <c r="K4" s="26"/>
      <c r="L4" s="26">
        <v>5</v>
      </c>
      <c r="M4" s="40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 t="s">
        <v>39</v>
      </c>
      <c r="AT4" s="36">
        <f>6/6</f>
        <v>1</v>
      </c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26"/>
      <c r="BF4" s="26"/>
      <c r="BG4" s="37"/>
      <c r="BH4" s="26"/>
      <c r="BI4" s="26">
        <v>1</v>
      </c>
      <c r="BJ4" s="26"/>
      <c r="BK4" s="26"/>
      <c r="BL4" s="26"/>
      <c r="BM4" s="26"/>
      <c r="BN4" s="26"/>
      <c r="BO4" s="37">
        <f t="shared" si="0"/>
        <v>1</v>
      </c>
      <c r="BP4" s="56">
        <f t="shared" si="1"/>
        <v>0</v>
      </c>
      <c r="BQ4" s="56">
        <f t="shared" si="2"/>
        <v>0</v>
      </c>
      <c r="BR4" s="57">
        <f t="shared" si="3"/>
        <v>0</v>
      </c>
      <c r="BS4" s="38"/>
      <c r="BT4" s="38"/>
      <c r="BU4" s="26"/>
      <c r="BV4" s="26"/>
      <c r="BW4" s="39">
        <f t="shared" si="4"/>
        <v>1</v>
      </c>
      <c r="BX4" s="78">
        <v>1</v>
      </c>
      <c r="BY4" s="63">
        <v>10</v>
      </c>
      <c r="BZ4" s="7"/>
      <c r="CA4" s="94" t="s">
        <v>85</v>
      </c>
      <c r="CB4" s="95"/>
      <c r="CC4" s="95"/>
      <c r="CD4" s="95"/>
      <c r="CE4" s="9">
        <v>3</v>
      </c>
      <c r="CG4" s="7"/>
    </row>
    <row r="5" spans="1:85" x14ac:dyDescent="0.2">
      <c r="A5" s="109" t="s">
        <v>257</v>
      </c>
      <c r="B5" s="26">
        <v>42</v>
      </c>
      <c r="C5" s="109" t="s">
        <v>95</v>
      </c>
      <c r="D5" s="26">
        <v>4</v>
      </c>
      <c r="E5" s="26">
        <v>2</v>
      </c>
      <c r="F5" s="26"/>
      <c r="G5" s="26"/>
      <c r="H5" s="26"/>
      <c r="I5" s="26"/>
      <c r="J5" s="26" t="s">
        <v>41</v>
      </c>
      <c r="K5" s="26"/>
      <c r="L5" s="26">
        <v>5</v>
      </c>
      <c r="M5" s="40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26"/>
      <c r="BF5" s="26"/>
      <c r="BG5" s="37"/>
      <c r="BH5" s="26"/>
      <c r="BI5" s="26"/>
      <c r="BJ5" s="26"/>
      <c r="BK5" s="26"/>
      <c r="BL5" s="26"/>
      <c r="BM5" s="26"/>
      <c r="BN5" s="26"/>
      <c r="BO5" s="37">
        <f t="shared" si="0"/>
        <v>0</v>
      </c>
      <c r="BP5" s="56">
        <f t="shared" si="1"/>
        <v>0</v>
      </c>
      <c r="BQ5" s="56">
        <f t="shared" si="2"/>
        <v>0</v>
      </c>
      <c r="BR5" s="57">
        <f t="shared" si="3"/>
        <v>0</v>
      </c>
      <c r="BS5" s="38"/>
      <c r="BT5" s="38"/>
      <c r="BU5" s="26"/>
      <c r="BV5" s="26"/>
      <c r="BW5" s="39">
        <f t="shared" si="4"/>
        <v>0</v>
      </c>
      <c r="BX5" s="78">
        <v>0</v>
      </c>
      <c r="BY5" s="63">
        <v>10</v>
      </c>
      <c r="BZ5" s="7"/>
      <c r="CA5" s="18"/>
      <c r="CB5" s="13"/>
      <c r="CC5" s="13"/>
      <c r="CD5" s="68"/>
      <c r="CE5" s="69"/>
      <c r="CG5" s="7"/>
    </row>
    <row r="6" spans="1:85" ht="16" x14ac:dyDescent="0.2">
      <c r="A6" s="109" t="s">
        <v>257</v>
      </c>
      <c r="B6" s="26">
        <v>42</v>
      </c>
      <c r="C6" s="109" t="s">
        <v>95</v>
      </c>
      <c r="D6" s="26">
        <v>5</v>
      </c>
      <c r="E6" s="26">
        <v>2</v>
      </c>
      <c r="F6" s="26"/>
      <c r="G6" s="26"/>
      <c r="H6" s="26"/>
      <c r="I6" s="26"/>
      <c r="J6" s="26" t="s">
        <v>42</v>
      </c>
      <c r="K6" s="26"/>
      <c r="L6" s="26">
        <v>5</v>
      </c>
      <c r="M6" s="40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 t="s">
        <v>39</v>
      </c>
      <c r="AR6" s="36">
        <f>8/8</f>
        <v>1</v>
      </c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 t="s">
        <v>38</v>
      </c>
      <c r="BD6" s="36">
        <f>8/8</f>
        <v>1</v>
      </c>
      <c r="BE6" s="26"/>
      <c r="BF6" s="26"/>
      <c r="BG6" s="37">
        <v>1</v>
      </c>
      <c r="BH6" s="26"/>
      <c r="BI6" s="26">
        <v>1</v>
      </c>
      <c r="BJ6" s="26"/>
      <c r="BK6" s="26"/>
      <c r="BL6" s="26"/>
      <c r="BM6" s="26"/>
      <c r="BN6" s="26"/>
      <c r="BO6" s="37">
        <f t="shared" si="0"/>
        <v>2</v>
      </c>
      <c r="BP6" s="56">
        <f t="shared" si="1"/>
        <v>0</v>
      </c>
      <c r="BQ6" s="56">
        <f t="shared" si="2"/>
        <v>0</v>
      </c>
      <c r="BR6" s="57">
        <f t="shared" si="3"/>
        <v>0</v>
      </c>
      <c r="BS6" s="38"/>
      <c r="BT6" s="38"/>
      <c r="BU6" s="26"/>
      <c r="BV6" s="26"/>
      <c r="BW6" s="39">
        <f t="shared" si="4"/>
        <v>2</v>
      </c>
      <c r="BX6" s="78">
        <v>1</v>
      </c>
      <c r="BY6" s="63">
        <v>8</v>
      </c>
      <c r="BZ6" s="7"/>
      <c r="CA6" s="18"/>
      <c r="CB6" s="14" t="s">
        <v>78</v>
      </c>
      <c r="CC6" s="13">
        <v>13</v>
      </c>
      <c r="CD6" s="68"/>
      <c r="CE6" s="69"/>
      <c r="CG6" s="7"/>
    </row>
    <row r="7" spans="1:85" ht="16" x14ac:dyDescent="0.2">
      <c r="A7" s="109" t="s">
        <v>257</v>
      </c>
      <c r="B7" s="26">
        <v>42</v>
      </c>
      <c r="C7" s="109" t="s">
        <v>95</v>
      </c>
      <c r="D7" s="26">
        <v>6</v>
      </c>
      <c r="E7" s="26">
        <v>2</v>
      </c>
      <c r="F7" s="26"/>
      <c r="G7" s="26"/>
      <c r="H7" s="26"/>
      <c r="I7" s="26"/>
      <c r="J7" s="26" t="s">
        <v>41</v>
      </c>
      <c r="K7" s="26"/>
      <c r="L7" s="26">
        <v>5</v>
      </c>
      <c r="M7" s="40"/>
      <c r="N7" s="36"/>
      <c r="O7" s="36"/>
      <c r="P7" s="36"/>
      <c r="Q7" s="36"/>
      <c r="R7" s="36"/>
      <c r="S7" s="36" t="s">
        <v>38</v>
      </c>
      <c r="T7" s="36">
        <f>2.5/8</f>
        <v>0.3125</v>
      </c>
      <c r="U7" s="36" t="s">
        <v>39</v>
      </c>
      <c r="V7" s="36">
        <f>3.5/8</f>
        <v>0.4375</v>
      </c>
      <c r="W7" s="36" t="s">
        <v>39</v>
      </c>
      <c r="X7" s="36">
        <f>2.5/8</f>
        <v>0.3125</v>
      </c>
      <c r="Y7" s="36"/>
      <c r="Z7" s="36"/>
      <c r="AA7" s="36"/>
      <c r="AB7" s="36"/>
      <c r="AC7" s="36"/>
      <c r="AD7" s="36"/>
      <c r="AE7" s="36" t="s">
        <v>43</v>
      </c>
      <c r="AF7" s="36">
        <v>0.75</v>
      </c>
      <c r="AG7" s="36"/>
      <c r="AH7" s="36"/>
      <c r="AI7" s="36"/>
      <c r="AJ7" s="36"/>
      <c r="AK7" s="36" t="s">
        <v>40</v>
      </c>
      <c r="AL7" s="36">
        <f>5/8</f>
        <v>0.625</v>
      </c>
      <c r="AM7" s="36" t="s">
        <v>39</v>
      </c>
      <c r="AN7" s="36">
        <f>4/8</f>
        <v>0.5</v>
      </c>
      <c r="AO7" s="36"/>
      <c r="AP7" s="36"/>
      <c r="AQ7" s="36" t="s">
        <v>38</v>
      </c>
      <c r="AR7" s="36">
        <f>6/8</f>
        <v>0.75</v>
      </c>
      <c r="AS7" s="36"/>
      <c r="AT7" s="36"/>
      <c r="AU7" s="36" t="s">
        <v>38</v>
      </c>
      <c r="AV7" s="36">
        <f>2.5/8</f>
        <v>0.3125</v>
      </c>
      <c r="AW7" s="36"/>
      <c r="AX7" s="36"/>
      <c r="AY7" s="36"/>
      <c r="AZ7" s="36"/>
      <c r="BA7" s="36" t="s">
        <v>38</v>
      </c>
      <c r="BB7" s="36">
        <f>8/8</f>
        <v>1</v>
      </c>
      <c r="BC7" s="36" t="s">
        <v>38</v>
      </c>
      <c r="BD7" s="36"/>
      <c r="BE7" s="26"/>
      <c r="BF7" s="26"/>
      <c r="BG7" s="37">
        <v>2</v>
      </c>
      <c r="BH7" s="26">
        <v>3</v>
      </c>
      <c r="BI7" s="26"/>
      <c r="BJ7" s="26">
        <v>3</v>
      </c>
      <c r="BK7" s="26"/>
      <c r="BL7" s="26"/>
      <c r="BM7" s="26"/>
      <c r="BN7" s="26">
        <v>1</v>
      </c>
      <c r="BO7" s="37">
        <f t="shared" si="0"/>
        <v>2</v>
      </c>
      <c r="BP7" s="56">
        <f t="shared" si="1"/>
        <v>6</v>
      </c>
      <c r="BQ7" s="56">
        <f t="shared" si="2"/>
        <v>1</v>
      </c>
      <c r="BR7" s="57">
        <f t="shared" si="3"/>
        <v>1</v>
      </c>
      <c r="BS7" s="38">
        <v>1</v>
      </c>
      <c r="BT7" s="38"/>
      <c r="BU7" s="26"/>
      <c r="BV7" s="26"/>
      <c r="BW7" s="39">
        <f t="shared" si="4"/>
        <v>10</v>
      </c>
      <c r="BX7" s="78">
        <v>2</v>
      </c>
      <c r="BY7" s="63">
        <v>10</v>
      </c>
      <c r="BZ7" s="7"/>
      <c r="CA7" s="18"/>
      <c r="CB7" s="14" t="s">
        <v>69</v>
      </c>
      <c r="CC7" s="13">
        <v>12</v>
      </c>
      <c r="CD7" s="98" t="s">
        <v>87</v>
      </c>
      <c r="CE7" s="99"/>
      <c r="CG7" s="7"/>
    </row>
    <row r="8" spans="1:85" ht="16" x14ac:dyDescent="0.2">
      <c r="A8" s="109" t="s">
        <v>257</v>
      </c>
      <c r="B8" s="26">
        <v>42</v>
      </c>
      <c r="C8" s="109" t="s">
        <v>95</v>
      </c>
      <c r="D8" s="26">
        <v>7</v>
      </c>
      <c r="E8" s="26">
        <v>2</v>
      </c>
      <c r="F8" s="26"/>
      <c r="G8" s="26"/>
      <c r="H8" s="26"/>
      <c r="I8" s="26"/>
      <c r="J8" s="26" t="s">
        <v>44</v>
      </c>
      <c r="K8" s="26"/>
      <c r="L8" s="26">
        <v>7</v>
      </c>
      <c r="M8" s="40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 t="s">
        <v>40</v>
      </c>
      <c r="AD8" s="36">
        <f>8/8</f>
        <v>1</v>
      </c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 t="s">
        <v>38</v>
      </c>
      <c r="AR8" s="36">
        <f>8/8</f>
        <v>1</v>
      </c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26"/>
      <c r="BF8" s="26"/>
      <c r="BG8" s="37">
        <v>1</v>
      </c>
      <c r="BH8" s="26"/>
      <c r="BI8" s="26"/>
      <c r="BJ8" s="26"/>
      <c r="BK8" s="26"/>
      <c r="BL8" s="26"/>
      <c r="BM8" s="26">
        <v>1</v>
      </c>
      <c r="BN8" s="26"/>
      <c r="BO8" s="37">
        <f t="shared" si="0"/>
        <v>1</v>
      </c>
      <c r="BP8" s="56">
        <f t="shared" si="1"/>
        <v>0</v>
      </c>
      <c r="BQ8" s="56">
        <f t="shared" si="2"/>
        <v>1</v>
      </c>
      <c r="BR8" s="57">
        <f t="shared" si="3"/>
        <v>0</v>
      </c>
      <c r="BS8" s="38"/>
      <c r="BT8" s="38"/>
      <c r="BU8" s="26"/>
      <c r="BV8" s="26"/>
      <c r="BW8" s="39">
        <f t="shared" si="4"/>
        <v>2</v>
      </c>
      <c r="BX8" s="78">
        <v>2</v>
      </c>
      <c r="BY8" s="63">
        <v>4</v>
      </c>
      <c r="BZ8" s="7"/>
      <c r="CA8" s="18"/>
      <c r="CB8" s="14" t="s">
        <v>65</v>
      </c>
      <c r="CC8" s="13">
        <v>11</v>
      </c>
      <c r="CD8" s="98"/>
      <c r="CE8" s="99"/>
      <c r="CG8" s="7"/>
    </row>
    <row r="9" spans="1:85" ht="16" x14ac:dyDescent="0.2">
      <c r="A9" s="109" t="s">
        <v>257</v>
      </c>
      <c r="B9" s="26">
        <v>42</v>
      </c>
      <c r="C9" s="109" t="s">
        <v>95</v>
      </c>
      <c r="D9" s="26">
        <v>8</v>
      </c>
      <c r="E9" s="26">
        <v>2</v>
      </c>
      <c r="F9" s="26"/>
      <c r="G9" s="26"/>
      <c r="H9" s="26"/>
      <c r="I9" s="26"/>
      <c r="J9" s="26" t="s">
        <v>45</v>
      </c>
      <c r="K9" s="26"/>
      <c r="L9" s="26">
        <v>7</v>
      </c>
      <c r="M9" s="40"/>
      <c r="N9" s="36"/>
      <c r="O9" s="36"/>
      <c r="P9" s="36"/>
      <c r="Q9" s="36" t="s">
        <v>39</v>
      </c>
      <c r="R9" s="36">
        <f>3/8</f>
        <v>0.375</v>
      </c>
      <c r="S9" s="36" t="s">
        <v>40</v>
      </c>
      <c r="T9" s="36">
        <f>3.5/8</f>
        <v>0.4375</v>
      </c>
      <c r="U9" s="36" t="s">
        <v>38</v>
      </c>
      <c r="V9" s="36">
        <f>6/8</f>
        <v>0.75</v>
      </c>
      <c r="W9" s="36" t="s">
        <v>40</v>
      </c>
      <c r="X9" s="36">
        <f>5/8</f>
        <v>0.625</v>
      </c>
      <c r="Y9" s="36" t="s">
        <v>38</v>
      </c>
      <c r="Z9" s="36">
        <f>6/8</f>
        <v>0.75</v>
      </c>
      <c r="AA9" s="36" t="s">
        <v>40</v>
      </c>
      <c r="AB9" s="36">
        <f>4/8</f>
        <v>0.5</v>
      </c>
      <c r="AC9" s="36" t="s">
        <v>43</v>
      </c>
      <c r="AD9" s="36">
        <f>6.5/8</f>
        <v>0.8125</v>
      </c>
      <c r="AE9" s="36"/>
      <c r="AF9" s="36"/>
      <c r="AG9" s="36"/>
      <c r="AH9" s="36"/>
      <c r="AI9" s="36"/>
      <c r="AJ9" s="36"/>
      <c r="AK9" s="36" t="s">
        <v>39</v>
      </c>
      <c r="AL9" s="36">
        <f>4/8</f>
        <v>0.5</v>
      </c>
      <c r="AM9" s="36"/>
      <c r="AN9" s="36"/>
      <c r="AO9" s="36" t="s">
        <v>39</v>
      </c>
      <c r="AP9" s="36">
        <f>8/8</f>
        <v>1</v>
      </c>
      <c r="AQ9" s="36"/>
      <c r="AR9" s="36"/>
      <c r="AS9" s="36"/>
      <c r="AT9" s="36"/>
      <c r="AU9" s="36" t="s">
        <v>39</v>
      </c>
      <c r="AV9" s="36">
        <f>5/8</f>
        <v>0.625</v>
      </c>
      <c r="AW9" s="36" t="s">
        <v>38</v>
      </c>
      <c r="AX9" s="36">
        <f>7/8</f>
        <v>0.875</v>
      </c>
      <c r="AY9" s="36"/>
      <c r="AZ9" s="36"/>
      <c r="BA9" s="36"/>
      <c r="BB9" s="36"/>
      <c r="BC9" s="36"/>
      <c r="BD9" s="36"/>
      <c r="BE9" s="26"/>
      <c r="BF9" s="26"/>
      <c r="BG9" s="37">
        <v>3</v>
      </c>
      <c r="BH9" s="26"/>
      <c r="BI9" s="26">
        <v>1</v>
      </c>
      <c r="BJ9" s="26">
        <v>3</v>
      </c>
      <c r="BK9" s="26"/>
      <c r="BL9" s="26"/>
      <c r="BM9" s="26"/>
      <c r="BN9" s="26">
        <v>3</v>
      </c>
      <c r="BO9" s="37">
        <f t="shared" si="0"/>
        <v>4</v>
      </c>
      <c r="BP9" s="56">
        <f t="shared" si="1"/>
        <v>3</v>
      </c>
      <c r="BQ9" s="56">
        <f t="shared" si="2"/>
        <v>1</v>
      </c>
      <c r="BR9" s="57">
        <f t="shared" si="3"/>
        <v>3</v>
      </c>
      <c r="BS9" s="38">
        <v>1</v>
      </c>
      <c r="BT9" s="38"/>
      <c r="BU9" s="26"/>
      <c r="BV9" s="26"/>
      <c r="BW9" s="39">
        <f t="shared" si="4"/>
        <v>11</v>
      </c>
      <c r="BX9" s="78">
        <v>2</v>
      </c>
      <c r="BY9" s="63">
        <v>5</v>
      </c>
      <c r="BZ9" s="7"/>
      <c r="CA9" s="18"/>
      <c r="CB9" s="14" t="s">
        <v>41</v>
      </c>
      <c r="CC9" s="13">
        <v>10</v>
      </c>
      <c r="CD9" s="98"/>
      <c r="CE9" s="99"/>
      <c r="CG9" s="7"/>
    </row>
    <row r="10" spans="1:85" ht="16" x14ac:dyDescent="0.2">
      <c r="A10" s="109" t="s">
        <v>257</v>
      </c>
      <c r="B10" s="26">
        <v>42</v>
      </c>
      <c r="C10" s="109" t="s">
        <v>95</v>
      </c>
      <c r="D10" s="26">
        <v>9</v>
      </c>
      <c r="E10" s="26">
        <v>2</v>
      </c>
      <c r="F10" s="26"/>
      <c r="G10" s="26"/>
      <c r="H10" s="26"/>
      <c r="I10" s="26"/>
      <c r="J10" s="26" t="s">
        <v>44</v>
      </c>
      <c r="K10" s="26"/>
      <c r="L10" s="26">
        <v>7</v>
      </c>
      <c r="M10" s="40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 t="s">
        <v>39</v>
      </c>
      <c r="AB10" s="36">
        <f>7.5/8</f>
        <v>0.9375</v>
      </c>
      <c r="AC10" s="36"/>
      <c r="AD10" s="36"/>
      <c r="AE10" s="36"/>
      <c r="AF10" s="36"/>
      <c r="AG10" s="36" t="s">
        <v>39</v>
      </c>
      <c r="AH10" s="36">
        <f>8/8</f>
        <v>1</v>
      </c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 t="s">
        <v>38</v>
      </c>
      <c r="BD10" s="36">
        <f>8/8</f>
        <v>1</v>
      </c>
      <c r="BE10" s="26" t="s">
        <v>39</v>
      </c>
      <c r="BF10" s="26" t="s">
        <v>46</v>
      </c>
      <c r="BG10" s="37">
        <v>1</v>
      </c>
      <c r="BH10" s="26"/>
      <c r="BI10" s="26">
        <v>2</v>
      </c>
      <c r="BJ10" s="26"/>
      <c r="BK10" s="26"/>
      <c r="BL10" s="26"/>
      <c r="BM10" s="26"/>
      <c r="BN10" s="26"/>
      <c r="BO10" s="37">
        <f t="shared" si="0"/>
        <v>4</v>
      </c>
      <c r="BP10" s="56">
        <f t="shared" si="1"/>
        <v>0</v>
      </c>
      <c r="BQ10" s="56">
        <f t="shared" si="2"/>
        <v>0</v>
      </c>
      <c r="BR10" s="57">
        <f t="shared" si="3"/>
        <v>0</v>
      </c>
      <c r="BS10" s="38"/>
      <c r="BT10" s="38"/>
      <c r="BU10" s="26">
        <v>1</v>
      </c>
      <c r="BV10" s="26"/>
      <c r="BW10" s="39">
        <f t="shared" si="4"/>
        <v>4</v>
      </c>
      <c r="BX10" s="78">
        <v>1</v>
      </c>
      <c r="BY10" s="63">
        <v>4</v>
      </c>
      <c r="BZ10" s="7"/>
      <c r="CA10" s="18"/>
      <c r="CB10" s="14" t="s">
        <v>37</v>
      </c>
      <c r="CC10" s="13">
        <v>9</v>
      </c>
      <c r="CD10" s="98"/>
      <c r="CE10" s="99"/>
      <c r="CG10" s="7"/>
    </row>
    <row r="11" spans="1:85" ht="16" x14ac:dyDescent="0.2">
      <c r="A11" s="109" t="s">
        <v>257</v>
      </c>
      <c r="B11" s="26">
        <v>42</v>
      </c>
      <c r="C11" s="109" t="s">
        <v>95</v>
      </c>
      <c r="D11" s="26">
        <v>10</v>
      </c>
      <c r="E11" s="26">
        <v>2</v>
      </c>
      <c r="F11" s="26"/>
      <c r="G11" s="26"/>
      <c r="H11" s="26"/>
      <c r="I11" s="26"/>
      <c r="J11" s="26"/>
      <c r="K11" s="26" t="s">
        <v>47</v>
      </c>
      <c r="L11" s="26">
        <v>7</v>
      </c>
      <c r="M11" s="40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 t="s">
        <v>38</v>
      </c>
      <c r="AB11" s="36">
        <f>5.5/8</f>
        <v>0.6875</v>
      </c>
      <c r="AC11" s="36"/>
      <c r="AD11" s="36"/>
      <c r="AE11" s="36" t="s">
        <v>38</v>
      </c>
      <c r="AF11" s="36">
        <f>5.5/8</f>
        <v>0.6875</v>
      </c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26"/>
      <c r="BF11" s="26"/>
      <c r="BG11" s="37"/>
      <c r="BH11" s="26">
        <v>2</v>
      </c>
      <c r="BI11" s="26"/>
      <c r="BJ11" s="26"/>
      <c r="BK11" s="26"/>
      <c r="BL11" s="26"/>
      <c r="BM11" s="26"/>
      <c r="BN11" s="26"/>
      <c r="BO11" s="37">
        <f t="shared" si="0"/>
        <v>0</v>
      </c>
      <c r="BP11" s="56">
        <f t="shared" si="1"/>
        <v>2</v>
      </c>
      <c r="BQ11" s="56">
        <f t="shared" si="2"/>
        <v>0</v>
      </c>
      <c r="BR11" s="57">
        <f t="shared" si="3"/>
        <v>0</v>
      </c>
      <c r="BS11" s="38"/>
      <c r="BT11" s="38"/>
      <c r="BU11" s="26"/>
      <c r="BV11" s="26"/>
      <c r="BW11" s="39">
        <f t="shared" si="4"/>
        <v>2</v>
      </c>
      <c r="BX11" s="78">
        <v>3</v>
      </c>
      <c r="BY11" s="63">
        <v>3</v>
      </c>
      <c r="BZ11" s="7"/>
      <c r="CA11" s="18"/>
      <c r="CB11" s="14" t="s">
        <v>42</v>
      </c>
      <c r="CC11" s="13">
        <v>8</v>
      </c>
      <c r="CD11" s="98"/>
      <c r="CE11" s="99"/>
      <c r="CG11" s="7"/>
    </row>
    <row r="12" spans="1:85" ht="16" x14ac:dyDescent="0.2">
      <c r="A12" s="109" t="s">
        <v>257</v>
      </c>
      <c r="B12" s="26">
        <v>42</v>
      </c>
      <c r="C12" s="109" t="s">
        <v>95</v>
      </c>
      <c r="D12" s="26">
        <v>11</v>
      </c>
      <c r="E12" s="26">
        <v>2</v>
      </c>
      <c r="F12" s="26"/>
      <c r="G12" s="26"/>
      <c r="H12" s="26"/>
      <c r="I12" s="26"/>
      <c r="J12" s="26"/>
      <c r="K12" s="26" t="s">
        <v>47</v>
      </c>
      <c r="L12" s="26">
        <v>7</v>
      </c>
      <c r="M12" s="40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 t="s">
        <v>43</v>
      </c>
      <c r="AD12" s="36">
        <f>3/8</f>
        <v>0.375</v>
      </c>
      <c r="AE12" s="36"/>
      <c r="AF12" s="36"/>
      <c r="AG12" s="36"/>
      <c r="AH12" s="36"/>
      <c r="AI12" s="36"/>
      <c r="AJ12" s="36"/>
      <c r="AK12" s="36"/>
      <c r="AL12" s="36"/>
      <c r="AM12" s="36" t="s">
        <v>48</v>
      </c>
      <c r="AN12" s="36">
        <f>2.5/8</f>
        <v>0.3125</v>
      </c>
      <c r="AO12" s="36"/>
      <c r="AP12" s="36"/>
      <c r="AQ12" s="36"/>
      <c r="AR12" s="36"/>
      <c r="AS12" s="36" t="s">
        <v>39</v>
      </c>
      <c r="AT12" s="36">
        <f>2.5/8</f>
        <v>0.3125</v>
      </c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26"/>
      <c r="BF12" s="26"/>
      <c r="BG12" s="37"/>
      <c r="BH12" s="26"/>
      <c r="BI12" s="26"/>
      <c r="BJ12" s="26">
        <v>1</v>
      </c>
      <c r="BK12" s="26"/>
      <c r="BL12" s="26">
        <v>1</v>
      </c>
      <c r="BM12" s="26"/>
      <c r="BN12" s="26"/>
      <c r="BO12" s="37">
        <f t="shared" si="0"/>
        <v>0</v>
      </c>
      <c r="BP12" s="56">
        <f t="shared" si="1"/>
        <v>1</v>
      </c>
      <c r="BQ12" s="56">
        <f t="shared" si="2"/>
        <v>1</v>
      </c>
      <c r="BR12" s="57">
        <f t="shared" si="3"/>
        <v>1</v>
      </c>
      <c r="BS12" s="38">
        <v>1</v>
      </c>
      <c r="BT12" s="38"/>
      <c r="BU12" s="26"/>
      <c r="BV12" s="26"/>
      <c r="BW12" s="39">
        <f t="shared" si="4"/>
        <v>3</v>
      </c>
      <c r="BX12" s="78">
        <v>4</v>
      </c>
      <c r="BY12" s="63">
        <v>3</v>
      </c>
      <c r="BZ12" s="7"/>
      <c r="CA12" s="70"/>
      <c r="CB12" s="14" t="s">
        <v>60</v>
      </c>
      <c r="CC12" s="13">
        <v>7</v>
      </c>
      <c r="CD12" s="98"/>
      <c r="CE12" s="99"/>
      <c r="CG12" s="7"/>
    </row>
    <row r="13" spans="1:85" ht="16" x14ac:dyDescent="0.2">
      <c r="A13" s="111" t="s">
        <v>257</v>
      </c>
      <c r="B13" s="26">
        <v>42</v>
      </c>
      <c r="C13" s="109" t="s">
        <v>95</v>
      </c>
      <c r="D13" s="26">
        <v>12</v>
      </c>
      <c r="E13" s="26">
        <v>2</v>
      </c>
      <c r="F13" s="26"/>
      <c r="G13" s="26"/>
      <c r="H13" s="26"/>
      <c r="I13" s="26"/>
      <c r="J13" s="26"/>
      <c r="K13" s="26" t="s">
        <v>47</v>
      </c>
      <c r="L13" s="26">
        <v>7</v>
      </c>
      <c r="M13" s="40" t="s">
        <v>39</v>
      </c>
      <c r="N13" s="36">
        <f>7/8</f>
        <v>0.875</v>
      </c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 t="s">
        <v>39</v>
      </c>
      <c r="AX13" s="36">
        <f>6/8</f>
        <v>0.75</v>
      </c>
      <c r="AY13" s="36" t="s">
        <v>39</v>
      </c>
      <c r="AZ13" s="36">
        <f>7/8</f>
        <v>0.875</v>
      </c>
      <c r="BA13" s="36"/>
      <c r="BB13" s="36"/>
      <c r="BC13" s="36"/>
      <c r="BD13" s="36"/>
      <c r="BE13" s="26"/>
      <c r="BF13" s="26"/>
      <c r="BG13" s="39"/>
      <c r="BH13" s="38"/>
      <c r="BI13" s="38">
        <v>3</v>
      </c>
      <c r="BJ13" s="38"/>
      <c r="BK13" s="38"/>
      <c r="BL13" s="38"/>
      <c r="BM13" s="38"/>
      <c r="BN13" s="38"/>
      <c r="BO13" s="37">
        <f t="shared" si="0"/>
        <v>3</v>
      </c>
      <c r="BP13" s="56">
        <f t="shared" si="1"/>
        <v>0</v>
      </c>
      <c r="BQ13" s="56">
        <f t="shared" si="2"/>
        <v>0</v>
      </c>
      <c r="BR13" s="57">
        <f t="shared" si="3"/>
        <v>0</v>
      </c>
      <c r="BS13" s="38"/>
      <c r="BT13" s="38"/>
      <c r="BU13" s="26"/>
      <c r="BV13" s="26"/>
      <c r="BW13" s="39">
        <f t="shared" si="4"/>
        <v>3</v>
      </c>
      <c r="BX13" s="78">
        <v>1</v>
      </c>
      <c r="BY13" s="63">
        <v>3</v>
      </c>
      <c r="BZ13" s="7"/>
      <c r="CA13" s="18"/>
      <c r="CB13" s="14" t="s">
        <v>64</v>
      </c>
      <c r="CC13" s="13">
        <v>6</v>
      </c>
      <c r="CD13" s="98"/>
      <c r="CE13" s="99"/>
      <c r="CG13" s="7"/>
    </row>
    <row r="14" spans="1:85" ht="16" x14ac:dyDescent="0.2">
      <c r="A14" s="111" t="s">
        <v>257</v>
      </c>
      <c r="B14" s="26">
        <v>42</v>
      </c>
      <c r="C14" s="109" t="s">
        <v>95</v>
      </c>
      <c r="D14" s="26">
        <v>13</v>
      </c>
      <c r="E14" s="26">
        <v>2</v>
      </c>
      <c r="F14" s="26"/>
      <c r="G14" s="26"/>
      <c r="H14" s="26"/>
      <c r="I14" s="26"/>
      <c r="J14" s="26"/>
      <c r="K14" s="26" t="s">
        <v>47</v>
      </c>
      <c r="L14" s="26">
        <v>7</v>
      </c>
      <c r="M14" s="40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 t="s">
        <v>39</v>
      </c>
      <c r="AD14" s="36">
        <f>7/8</f>
        <v>0.875</v>
      </c>
      <c r="AE14" s="36"/>
      <c r="AF14" s="36"/>
      <c r="AG14" s="36"/>
      <c r="AH14" s="36"/>
      <c r="AI14" s="36"/>
      <c r="AJ14" s="36"/>
      <c r="AK14" s="36"/>
      <c r="AL14" s="36"/>
      <c r="AM14" s="36" t="s">
        <v>39</v>
      </c>
      <c r="AN14" s="36">
        <f>7/8</f>
        <v>0.875</v>
      </c>
      <c r="AO14" s="36" t="s">
        <v>39</v>
      </c>
      <c r="AP14" s="36">
        <f>8/8</f>
        <v>1</v>
      </c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26"/>
      <c r="BF14" s="26"/>
      <c r="BG14" s="39"/>
      <c r="BH14" s="38"/>
      <c r="BI14" s="38">
        <v>3</v>
      </c>
      <c r="BJ14" s="38"/>
      <c r="BK14" s="38"/>
      <c r="BL14" s="38"/>
      <c r="BM14" s="38"/>
      <c r="BN14" s="38"/>
      <c r="BO14" s="37">
        <f t="shared" si="0"/>
        <v>3</v>
      </c>
      <c r="BP14" s="56">
        <f t="shared" si="1"/>
        <v>0</v>
      </c>
      <c r="BQ14" s="56">
        <f t="shared" si="2"/>
        <v>0</v>
      </c>
      <c r="BR14" s="57">
        <f t="shared" si="3"/>
        <v>0</v>
      </c>
      <c r="BS14" s="38"/>
      <c r="BT14" s="38"/>
      <c r="BU14" s="26"/>
      <c r="BV14" s="26"/>
      <c r="BW14" s="39">
        <f t="shared" si="4"/>
        <v>3</v>
      </c>
      <c r="BX14" s="78">
        <v>1</v>
      </c>
      <c r="BY14" s="63">
        <v>3</v>
      </c>
      <c r="BZ14" s="7"/>
      <c r="CA14" s="18"/>
      <c r="CB14" s="14" t="s">
        <v>45</v>
      </c>
      <c r="CC14" s="13">
        <v>5</v>
      </c>
      <c r="CD14" s="68"/>
      <c r="CE14" s="69"/>
      <c r="CG14" s="7"/>
    </row>
    <row r="15" spans="1:85" ht="16" x14ac:dyDescent="0.2">
      <c r="A15" s="111" t="s">
        <v>257</v>
      </c>
      <c r="B15" s="26">
        <v>42</v>
      </c>
      <c r="C15" s="109" t="s">
        <v>95</v>
      </c>
      <c r="D15" s="26">
        <v>14</v>
      </c>
      <c r="E15" s="26">
        <v>2</v>
      </c>
      <c r="F15" s="26"/>
      <c r="G15" s="26"/>
      <c r="H15" s="26"/>
      <c r="I15" s="26"/>
      <c r="J15" s="26"/>
      <c r="K15" s="26" t="s">
        <v>49</v>
      </c>
      <c r="L15" s="26">
        <v>7</v>
      </c>
      <c r="M15" s="40"/>
      <c r="N15" s="36"/>
      <c r="O15" s="36" t="s">
        <v>38</v>
      </c>
      <c r="P15" s="36">
        <f>3/8</f>
        <v>0.375</v>
      </c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 t="s">
        <v>38</v>
      </c>
      <c r="AD15" s="36">
        <f>6/8</f>
        <v>0.75</v>
      </c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 t="s">
        <v>38</v>
      </c>
      <c r="AP15" s="36">
        <f>3/8</f>
        <v>0.375</v>
      </c>
      <c r="AQ15" s="36" t="s">
        <v>39</v>
      </c>
      <c r="AR15" s="36">
        <f>8/8</f>
        <v>1</v>
      </c>
      <c r="AS15" s="36"/>
      <c r="AT15" s="36"/>
      <c r="AU15" s="36"/>
      <c r="AV15" s="36"/>
      <c r="AW15" s="36"/>
      <c r="AX15" s="36"/>
      <c r="AY15" s="36" t="s">
        <v>38</v>
      </c>
      <c r="AZ15" s="36">
        <f>9/8</f>
        <v>1.125</v>
      </c>
      <c r="BA15" s="36"/>
      <c r="BB15" s="36"/>
      <c r="BC15" s="36"/>
      <c r="BD15" s="36"/>
      <c r="BE15" s="26"/>
      <c r="BF15" s="26"/>
      <c r="BG15" s="39">
        <v>2</v>
      </c>
      <c r="BH15" s="38">
        <v>2</v>
      </c>
      <c r="BI15" s="38">
        <v>1</v>
      </c>
      <c r="BJ15" s="38"/>
      <c r="BK15" s="38"/>
      <c r="BL15" s="38"/>
      <c r="BM15" s="38"/>
      <c r="BN15" s="38"/>
      <c r="BO15" s="37">
        <f t="shared" si="0"/>
        <v>3</v>
      </c>
      <c r="BP15" s="56">
        <f t="shared" si="1"/>
        <v>2</v>
      </c>
      <c r="BQ15" s="56">
        <f t="shared" si="2"/>
        <v>0</v>
      </c>
      <c r="BR15" s="57">
        <f t="shared" si="3"/>
        <v>0</v>
      </c>
      <c r="BS15" s="38"/>
      <c r="BT15" s="38"/>
      <c r="BU15" s="26"/>
      <c r="BV15" s="26"/>
      <c r="BW15" s="39">
        <f t="shared" si="4"/>
        <v>5</v>
      </c>
      <c r="BX15" s="78">
        <v>2</v>
      </c>
      <c r="BY15" s="63">
        <v>1</v>
      </c>
      <c r="BZ15" s="7"/>
      <c r="CA15" s="18"/>
      <c r="CB15" s="14" t="s">
        <v>44</v>
      </c>
      <c r="CC15" s="13">
        <v>4</v>
      </c>
      <c r="CD15" s="68"/>
      <c r="CE15" s="69"/>
      <c r="CG15" s="7"/>
    </row>
    <row r="16" spans="1:85" ht="17" thickBot="1" x14ac:dyDescent="0.25">
      <c r="A16" s="111" t="s">
        <v>257</v>
      </c>
      <c r="B16" s="26">
        <v>42</v>
      </c>
      <c r="C16" s="109" t="s">
        <v>95</v>
      </c>
      <c r="D16" s="26">
        <v>15</v>
      </c>
      <c r="E16" s="26">
        <v>2</v>
      </c>
      <c r="F16" s="26"/>
      <c r="G16" s="26"/>
      <c r="H16" s="26"/>
      <c r="I16" s="26"/>
      <c r="J16" s="26"/>
      <c r="K16" s="26" t="s">
        <v>49</v>
      </c>
      <c r="L16" s="26">
        <v>7</v>
      </c>
      <c r="M16" s="40"/>
      <c r="N16" s="36"/>
      <c r="O16" s="36" t="s">
        <v>39</v>
      </c>
      <c r="P16" s="36">
        <f>5.5/8</f>
        <v>0.6875</v>
      </c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26"/>
      <c r="BF16" s="26"/>
      <c r="BG16" s="39"/>
      <c r="BH16" s="38"/>
      <c r="BI16" s="38"/>
      <c r="BJ16" s="38">
        <v>1</v>
      </c>
      <c r="BK16" s="38"/>
      <c r="BL16" s="38"/>
      <c r="BM16" s="38"/>
      <c r="BN16" s="38"/>
      <c r="BO16" s="37">
        <f t="shared" si="0"/>
        <v>0</v>
      </c>
      <c r="BP16" s="56">
        <f t="shared" si="1"/>
        <v>1</v>
      </c>
      <c r="BQ16" s="56">
        <f t="shared" si="2"/>
        <v>0</v>
      </c>
      <c r="BR16" s="57">
        <f t="shared" si="3"/>
        <v>0</v>
      </c>
      <c r="BS16" s="38"/>
      <c r="BT16" s="38"/>
      <c r="BU16" s="26"/>
      <c r="BV16" s="26"/>
      <c r="BW16" s="39">
        <f t="shared" si="4"/>
        <v>1</v>
      </c>
      <c r="BX16" s="78">
        <v>3</v>
      </c>
      <c r="BY16" s="63">
        <v>1</v>
      </c>
      <c r="BZ16" s="7"/>
      <c r="CA16" s="71"/>
      <c r="CB16" s="72"/>
      <c r="CC16" s="72"/>
      <c r="CD16" s="73"/>
      <c r="CE16" s="74"/>
      <c r="CG16" s="7"/>
    </row>
    <row r="17" spans="1:83" ht="17" thickBot="1" x14ac:dyDescent="0.25">
      <c r="A17" s="109" t="s">
        <v>257</v>
      </c>
      <c r="B17" s="26">
        <v>42</v>
      </c>
      <c r="C17" s="109" t="s">
        <v>96</v>
      </c>
      <c r="D17" s="26">
        <v>1</v>
      </c>
      <c r="E17" s="26">
        <v>2</v>
      </c>
      <c r="F17" s="26">
        <v>4</v>
      </c>
      <c r="G17" s="26" t="s">
        <v>50</v>
      </c>
      <c r="H17" s="26">
        <v>8</v>
      </c>
      <c r="I17" s="26" t="s">
        <v>51</v>
      </c>
      <c r="J17" s="26"/>
      <c r="K17" s="26" t="s">
        <v>49</v>
      </c>
      <c r="L17" s="26">
        <v>6</v>
      </c>
      <c r="M17" s="40" t="s">
        <v>39</v>
      </c>
      <c r="N17" s="36">
        <f>10.5/8</f>
        <v>1.3125</v>
      </c>
      <c r="O17" s="36" t="s">
        <v>38</v>
      </c>
      <c r="P17" s="36">
        <f>4.5/8</f>
        <v>0.5625</v>
      </c>
      <c r="Q17" s="36"/>
      <c r="R17" s="36"/>
      <c r="S17" s="36" t="s">
        <v>39</v>
      </c>
      <c r="T17" s="36">
        <f>7.5/8</f>
        <v>0.9375</v>
      </c>
      <c r="U17" s="36" t="s">
        <v>38</v>
      </c>
      <c r="V17" s="36">
        <f>7.5/8</f>
        <v>0.9375</v>
      </c>
      <c r="W17" s="36" t="s">
        <v>39</v>
      </c>
      <c r="X17" s="36">
        <f>7.5/8</f>
        <v>0.9375</v>
      </c>
      <c r="Y17" s="36" t="s">
        <v>38</v>
      </c>
      <c r="Z17" s="36">
        <f>9/8</f>
        <v>1.125</v>
      </c>
      <c r="AA17" s="36" t="s">
        <v>39</v>
      </c>
      <c r="AB17" s="36">
        <f>6/8</f>
        <v>0.75</v>
      </c>
      <c r="AC17" s="36"/>
      <c r="AD17" s="36"/>
      <c r="AE17" s="36" t="s">
        <v>38</v>
      </c>
      <c r="AF17" s="36">
        <f>1.5/8</f>
        <v>0.1875</v>
      </c>
      <c r="AG17" s="36" t="s">
        <v>38</v>
      </c>
      <c r="AH17" s="36">
        <f>8/8</f>
        <v>1</v>
      </c>
      <c r="AI17" s="36" t="s">
        <v>39</v>
      </c>
      <c r="AJ17" s="36">
        <f>7.5/8</f>
        <v>0.9375</v>
      </c>
      <c r="AK17" s="36" t="s">
        <v>39</v>
      </c>
      <c r="AL17" s="36">
        <f>3.5/8</f>
        <v>0.4375</v>
      </c>
      <c r="AM17" s="36" t="s">
        <v>38</v>
      </c>
      <c r="AN17" s="36">
        <f>6/8</f>
        <v>0.75</v>
      </c>
      <c r="AO17" s="36" t="s">
        <v>39</v>
      </c>
      <c r="AP17" s="36">
        <f>11.5/8</f>
        <v>1.4375</v>
      </c>
      <c r="AQ17" s="36" t="s">
        <v>38</v>
      </c>
      <c r="AR17" s="36">
        <f>3.5/8</f>
        <v>0.4375</v>
      </c>
      <c r="AS17" s="36" t="s">
        <v>39</v>
      </c>
      <c r="AT17" s="36">
        <f>8.5/8</f>
        <v>1.0625</v>
      </c>
      <c r="AU17" s="36" t="s">
        <v>39</v>
      </c>
      <c r="AV17" s="36">
        <f>8/8</f>
        <v>1</v>
      </c>
      <c r="AW17" s="36" t="s">
        <v>38</v>
      </c>
      <c r="AX17" s="36">
        <f>2.5/8</f>
        <v>0.3125</v>
      </c>
      <c r="AY17" s="36" t="s">
        <v>38</v>
      </c>
      <c r="AZ17" s="36">
        <f>12/8</f>
        <v>1.5</v>
      </c>
      <c r="BA17" s="36" t="s">
        <v>38</v>
      </c>
      <c r="BB17" s="36">
        <f>12.5/8</f>
        <v>1.5625</v>
      </c>
      <c r="BC17" s="36" t="s">
        <v>39</v>
      </c>
      <c r="BD17" s="36">
        <f>7.5/8</f>
        <v>0.9375</v>
      </c>
      <c r="BE17" s="26"/>
      <c r="BF17" s="26"/>
      <c r="BG17" s="37">
        <v>6</v>
      </c>
      <c r="BH17" s="26">
        <v>3</v>
      </c>
      <c r="BI17" s="26">
        <v>9</v>
      </c>
      <c r="BJ17" s="26">
        <v>1</v>
      </c>
      <c r="BK17" s="26"/>
      <c r="BL17" s="26"/>
      <c r="BM17" s="26"/>
      <c r="BN17" s="26"/>
      <c r="BO17" s="37">
        <f t="shared" si="0"/>
        <v>15</v>
      </c>
      <c r="BP17" s="56">
        <f t="shared" si="1"/>
        <v>4</v>
      </c>
      <c r="BQ17" s="56">
        <f t="shared" si="2"/>
        <v>0</v>
      </c>
      <c r="BR17" s="57">
        <f t="shared" si="3"/>
        <v>0</v>
      </c>
      <c r="BS17" s="38"/>
      <c r="BT17" s="38"/>
      <c r="BU17" s="26"/>
      <c r="BV17" s="26"/>
      <c r="BW17" s="39">
        <f t="shared" si="4"/>
        <v>19</v>
      </c>
      <c r="BX17" s="78">
        <v>2</v>
      </c>
      <c r="BY17" s="63">
        <v>1</v>
      </c>
      <c r="CC17" s="7"/>
    </row>
    <row r="18" spans="1:83" ht="16" x14ac:dyDescent="0.2">
      <c r="A18" s="109" t="s">
        <v>257</v>
      </c>
      <c r="B18" s="26">
        <v>42</v>
      </c>
      <c r="C18" s="109" t="s">
        <v>96</v>
      </c>
      <c r="D18" s="26">
        <v>2</v>
      </c>
      <c r="E18" s="26">
        <v>2</v>
      </c>
      <c r="F18" s="26">
        <v>3</v>
      </c>
      <c r="G18" s="26" t="s">
        <v>50</v>
      </c>
      <c r="H18" s="26">
        <v>7</v>
      </c>
      <c r="I18" s="26" t="s">
        <v>50</v>
      </c>
      <c r="J18" s="26"/>
      <c r="K18" s="26" t="s">
        <v>49</v>
      </c>
      <c r="L18" s="26">
        <v>6</v>
      </c>
      <c r="M18" s="40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 t="s">
        <v>39</v>
      </c>
      <c r="AJ18" s="36">
        <f>6.5/9</f>
        <v>0.72222222222222221</v>
      </c>
      <c r="AK18" s="36"/>
      <c r="AL18" s="36"/>
      <c r="AM18" s="36"/>
      <c r="AN18" s="36"/>
      <c r="AO18" s="36"/>
      <c r="AP18" s="36"/>
      <c r="AQ18" s="36"/>
      <c r="AR18" s="36"/>
      <c r="AS18" s="36" t="s">
        <v>39</v>
      </c>
      <c r="AT18" s="36">
        <f>6/9</f>
        <v>0.66666666666666663</v>
      </c>
      <c r="AU18" s="36"/>
      <c r="AV18" s="36"/>
      <c r="AW18" s="36"/>
      <c r="AX18" s="36"/>
      <c r="AY18" s="36"/>
      <c r="AZ18" s="36"/>
      <c r="BA18" s="36" t="s">
        <v>39</v>
      </c>
      <c r="BB18" s="36">
        <f>5.5/9</f>
        <v>0.61111111111111116</v>
      </c>
      <c r="BC18" s="36"/>
      <c r="BD18" s="36"/>
      <c r="BE18" s="26"/>
      <c r="BF18" s="26"/>
      <c r="BG18" s="37"/>
      <c r="BH18" s="26"/>
      <c r="BI18" s="26">
        <v>1</v>
      </c>
      <c r="BJ18" s="26">
        <v>2</v>
      </c>
      <c r="BK18" s="26"/>
      <c r="BL18" s="26"/>
      <c r="BM18" s="26"/>
      <c r="BN18" s="26"/>
      <c r="BO18" s="37">
        <f t="shared" si="0"/>
        <v>1</v>
      </c>
      <c r="BP18" s="56">
        <f t="shared" si="1"/>
        <v>2</v>
      </c>
      <c r="BQ18" s="56">
        <f t="shared" si="2"/>
        <v>0</v>
      </c>
      <c r="BR18" s="57">
        <f t="shared" si="3"/>
        <v>0</v>
      </c>
      <c r="BS18" s="38"/>
      <c r="BT18" s="38"/>
      <c r="BU18" s="26"/>
      <c r="BV18" s="26"/>
      <c r="BW18" s="39">
        <f t="shared" si="4"/>
        <v>3</v>
      </c>
      <c r="BX18" s="78">
        <v>2</v>
      </c>
      <c r="BY18" s="63">
        <v>1</v>
      </c>
      <c r="BZ18" s="7"/>
      <c r="CA18" s="100" t="s">
        <v>88</v>
      </c>
      <c r="CB18" s="101"/>
      <c r="CC18" s="101"/>
      <c r="CD18" s="101"/>
      <c r="CE18" s="102"/>
    </row>
    <row r="19" spans="1:83" ht="17" thickBot="1" x14ac:dyDescent="0.25">
      <c r="A19" s="109" t="s">
        <v>257</v>
      </c>
      <c r="B19" s="26">
        <v>42</v>
      </c>
      <c r="C19" s="109" t="s">
        <v>96</v>
      </c>
      <c r="D19" s="26">
        <v>3</v>
      </c>
      <c r="E19" s="26">
        <v>2</v>
      </c>
      <c r="F19" s="26">
        <v>2</v>
      </c>
      <c r="G19" s="26" t="s">
        <v>51</v>
      </c>
      <c r="H19" s="26">
        <v>4</v>
      </c>
      <c r="I19" s="26" t="s">
        <v>51</v>
      </c>
      <c r="J19" s="26" t="s">
        <v>41</v>
      </c>
      <c r="K19" s="26"/>
      <c r="L19" s="26">
        <v>5</v>
      </c>
      <c r="M19" s="40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 t="s">
        <v>39</v>
      </c>
      <c r="AX19" s="36">
        <f>7.5/8.5</f>
        <v>0.88235294117647056</v>
      </c>
      <c r="AY19" s="36"/>
      <c r="AZ19" s="36"/>
      <c r="BA19" s="36"/>
      <c r="BB19" s="36"/>
      <c r="BC19" s="36"/>
      <c r="BD19" s="36"/>
      <c r="BE19" s="26"/>
      <c r="BF19" s="26"/>
      <c r="BG19" s="37"/>
      <c r="BH19" s="26"/>
      <c r="BI19" s="26">
        <v>1</v>
      </c>
      <c r="BJ19" s="26"/>
      <c r="BK19" s="26"/>
      <c r="BL19" s="26"/>
      <c r="BM19" s="26"/>
      <c r="BN19" s="26"/>
      <c r="BO19" s="37">
        <f t="shared" si="0"/>
        <v>1</v>
      </c>
      <c r="BP19" s="56">
        <f t="shared" si="1"/>
        <v>0</v>
      </c>
      <c r="BQ19" s="56">
        <f t="shared" si="2"/>
        <v>0</v>
      </c>
      <c r="BR19" s="57">
        <f t="shared" si="3"/>
        <v>0</v>
      </c>
      <c r="BS19" s="38"/>
      <c r="BT19" s="38"/>
      <c r="BU19" s="26"/>
      <c r="BV19" s="26"/>
      <c r="BW19" s="39">
        <f t="shared" si="4"/>
        <v>1</v>
      </c>
      <c r="BX19" s="78">
        <v>1</v>
      </c>
      <c r="BY19" s="63">
        <v>10</v>
      </c>
      <c r="CA19" s="103"/>
      <c r="CB19" s="104"/>
      <c r="CC19" s="104"/>
      <c r="CD19" s="104"/>
      <c r="CE19" s="105"/>
    </row>
    <row r="20" spans="1:83" ht="16" x14ac:dyDescent="0.2">
      <c r="A20" s="109" t="s">
        <v>257</v>
      </c>
      <c r="B20" s="26">
        <v>42</v>
      </c>
      <c r="C20" s="109" t="s">
        <v>96</v>
      </c>
      <c r="D20" s="26">
        <v>4</v>
      </c>
      <c r="E20" s="26">
        <v>2</v>
      </c>
      <c r="F20" s="26">
        <v>3</v>
      </c>
      <c r="G20" s="26" t="s">
        <v>50</v>
      </c>
      <c r="H20" s="26">
        <v>6</v>
      </c>
      <c r="I20" s="26" t="s">
        <v>51</v>
      </c>
      <c r="J20" s="26"/>
      <c r="K20" s="26" t="s">
        <v>47</v>
      </c>
      <c r="L20" s="26">
        <v>6</v>
      </c>
      <c r="M20" s="40"/>
      <c r="N20" s="36"/>
      <c r="O20" s="36"/>
      <c r="P20" s="36"/>
      <c r="Q20" s="36"/>
      <c r="R20" s="36"/>
      <c r="S20" s="36" t="s">
        <v>39</v>
      </c>
      <c r="T20" s="36">
        <f>8.5/10</f>
        <v>0.85</v>
      </c>
      <c r="U20" s="36"/>
      <c r="V20" s="36"/>
      <c r="W20" s="36"/>
      <c r="X20" s="36"/>
      <c r="Y20" s="36" t="s">
        <v>38</v>
      </c>
      <c r="Z20" s="36">
        <f>10/10</f>
        <v>1</v>
      </c>
      <c r="AA20" s="36" t="s">
        <v>39</v>
      </c>
      <c r="AB20" s="36">
        <f>9.5/10</f>
        <v>0.95</v>
      </c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 t="s">
        <v>39</v>
      </c>
      <c r="AX20" s="36">
        <f>8.5/10</f>
        <v>0.85</v>
      </c>
      <c r="AY20" s="36"/>
      <c r="AZ20" s="36"/>
      <c r="BA20" s="36"/>
      <c r="BB20" s="36"/>
      <c r="BC20" s="36"/>
      <c r="BD20" s="36"/>
      <c r="BE20" s="26"/>
      <c r="BF20" s="26"/>
      <c r="BG20" s="37">
        <v>1</v>
      </c>
      <c r="BH20" s="26"/>
      <c r="BI20" s="26">
        <v>3</v>
      </c>
      <c r="BJ20" s="26"/>
      <c r="BK20" s="26"/>
      <c r="BL20" s="26"/>
      <c r="BM20" s="26"/>
      <c r="BN20" s="26"/>
      <c r="BO20" s="37">
        <f t="shared" si="0"/>
        <v>4</v>
      </c>
      <c r="BP20" s="56">
        <f t="shared" si="1"/>
        <v>0</v>
      </c>
      <c r="BQ20" s="56">
        <f t="shared" si="2"/>
        <v>0</v>
      </c>
      <c r="BR20" s="57">
        <f t="shared" si="3"/>
        <v>0</v>
      </c>
      <c r="BS20" s="38"/>
      <c r="BT20" s="38"/>
      <c r="BU20" s="26"/>
      <c r="BV20" s="26"/>
      <c r="BW20" s="39">
        <f t="shared" si="4"/>
        <v>4</v>
      </c>
      <c r="BX20" s="78">
        <v>1</v>
      </c>
      <c r="BY20" s="63">
        <v>3</v>
      </c>
      <c r="CA20" s="18"/>
      <c r="CB20" s="13"/>
      <c r="CC20" s="13"/>
      <c r="CD20" s="68"/>
      <c r="CE20" s="69"/>
    </row>
    <row r="21" spans="1:83" ht="16" x14ac:dyDescent="0.2">
      <c r="A21" s="109" t="s">
        <v>257</v>
      </c>
      <c r="B21" s="26">
        <v>42</v>
      </c>
      <c r="C21" s="109" t="s">
        <v>96</v>
      </c>
      <c r="D21" s="26">
        <v>5</v>
      </c>
      <c r="E21" s="26">
        <v>2</v>
      </c>
      <c r="F21" s="26">
        <v>4</v>
      </c>
      <c r="G21" s="26" t="s">
        <v>50</v>
      </c>
      <c r="H21" s="26">
        <v>7</v>
      </c>
      <c r="I21" s="26"/>
      <c r="J21" s="26"/>
      <c r="K21" s="26" t="s">
        <v>49</v>
      </c>
      <c r="L21" s="26">
        <v>6</v>
      </c>
      <c r="M21" s="40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 t="s">
        <v>39</v>
      </c>
      <c r="AN21" s="36">
        <f>6.5/8</f>
        <v>0.8125</v>
      </c>
      <c r="AO21" s="36" t="s">
        <v>39</v>
      </c>
      <c r="AP21" s="36">
        <f>6.5/8</f>
        <v>0.8125</v>
      </c>
      <c r="AQ21" s="36" t="s">
        <v>39</v>
      </c>
      <c r="AR21" s="36">
        <f>6.5/8</f>
        <v>0.8125</v>
      </c>
      <c r="AS21" s="36"/>
      <c r="AT21" s="36"/>
      <c r="AU21" s="36"/>
      <c r="AV21" s="36"/>
      <c r="AW21" s="36"/>
      <c r="AX21" s="36"/>
      <c r="AY21" s="36" t="s">
        <v>39</v>
      </c>
      <c r="AZ21" s="36">
        <f>6.5/8</f>
        <v>0.8125</v>
      </c>
      <c r="BA21" s="36"/>
      <c r="BB21" s="36"/>
      <c r="BC21" s="36"/>
      <c r="BD21" s="36"/>
      <c r="BE21" s="26" t="s">
        <v>39</v>
      </c>
      <c r="BF21" s="26" t="s">
        <v>52</v>
      </c>
      <c r="BG21" s="37"/>
      <c r="BH21" s="26"/>
      <c r="BI21" s="26">
        <v>4</v>
      </c>
      <c r="BJ21" s="26"/>
      <c r="BK21" s="26"/>
      <c r="BL21" s="26"/>
      <c r="BM21" s="26"/>
      <c r="BN21" s="26"/>
      <c r="BO21" s="37">
        <f t="shared" si="0"/>
        <v>5</v>
      </c>
      <c r="BP21" s="56">
        <f t="shared" si="1"/>
        <v>0</v>
      </c>
      <c r="BQ21" s="56">
        <f t="shared" si="2"/>
        <v>0</v>
      </c>
      <c r="BR21" s="57">
        <f t="shared" si="3"/>
        <v>0</v>
      </c>
      <c r="BS21" s="38"/>
      <c r="BT21" s="38"/>
      <c r="BU21" s="26">
        <v>1</v>
      </c>
      <c r="BV21" s="26"/>
      <c r="BW21" s="39">
        <f t="shared" si="4"/>
        <v>5</v>
      </c>
      <c r="BX21" s="78">
        <v>1</v>
      </c>
      <c r="BY21" s="63">
        <v>1</v>
      </c>
      <c r="CA21" s="6">
        <v>0</v>
      </c>
      <c r="CB21" s="96" t="s">
        <v>89</v>
      </c>
      <c r="CC21" s="96"/>
      <c r="CD21" s="96"/>
      <c r="CE21" s="97"/>
    </row>
    <row r="22" spans="1:83" ht="16" x14ac:dyDescent="0.2">
      <c r="A22" s="109" t="s">
        <v>257</v>
      </c>
      <c r="B22" s="26">
        <v>42</v>
      </c>
      <c r="C22" s="109" t="s">
        <v>96</v>
      </c>
      <c r="D22" s="26">
        <v>6</v>
      </c>
      <c r="E22" s="26">
        <v>2</v>
      </c>
      <c r="F22" s="26" t="s">
        <v>53</v>
      </c>
      <c r="G22" s="26" t="s">
        <v>50</v>
      </c>
      <c r="H22" s="26"/>
      <c r="I22" s="26"/>
      <c r="J22" s="26"/>
      <c r="K22" s="26" t="s">
        <v>49</v>
      </c>
      <c r="L22" s="26">
        <v>6</v>
      </c>
      <c r="M22" s="40"/>
      <c r="N22" s="36"/>
      <c r="O22" s="36"/>
      <c r="P22" s="36"/>
      <c r="Q22" s="36"/>
      <c r="R22" s="36"/>
      <c r="S22" s="36"/>
      <c r="T22" s="36"/>
      <c r="U22" s="36" t="s">
        <v>39</v>
      </c>
      <c r="V22" s="36">
        <f>3/8</f>
        <v>0.375</v>
      </c>
      <c r="W22" s="36"/>
      <c r="X22" s="36"/>
      <c r="Y22" s="36" t="s">
        <v>38</v>
      </c>
      <c r="Z22" s="36">
        <f>3/8</f>
        <v>0.375</v>
      </c>
      <c r="AA22" s="36"/>
      <c r="AB22" s="36"/>
      <c r="AC22" s="36" t="s">
        <v>38</v>
      </c>
      <c r="AD22" s="36">
        <f>4/8</f>
        <v>0.5</v>
      </c>
      <c r="AE22" s="36" t="s">
        <v>39</v>
      </c>
      <c r="AF22" s="36">
        <f>4/8</f>
        <v>0.5</v>
      </c>
      <c r="AG22" s="36" t="s">
        <v>38</v>
      </c>
      <c r="AH22" s="36">
        <f>4.5/8</f>
        <v>0.5625</v>
      </c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 t="s">
        <v>43</v>
      </c>
      <c r="AX22" s="36">
        <f>5.5/8</f>
        <v>0.6875</v>
      </c>
      <c r="AY22" s="36" t="s">
        <v>39</v>
      </c>
      <c r="AZ22" s="36">
        <f>4/8</f>
        <v>0.5</v>
      </c>
      <c r="BA22" s="36"/>
      <c r="BB22" s="36"/>
      <c r="BC22" s="36"/>
      <c r="BD22" s="36"/>
      <c r="BE22" s="26"/>
      <c r="BF22" s="26"/>
      <c r="BG22" s="37"/>
      <c r="BH22" s="26">
        <v>3</v>
      </c>
      <c r="BI22" s="26"/>
      <c r="BJ22" s="26">
        <v>3</v>
      </c>
      <c r="BK22" s="26"/>
      <c r="BL22" s="26"/>
      <c r="BM22" s="26"/>
      <c r="BN22" s="26"/>
      <c r="BO22" s="37">
        <f t="shared" si="0"/>
        <v>0</v>
      </c>
      <c r="BP22" s="56">
        <f t="shared" si="1"/>
        <v>6</v>
      </c>
      <c r="BQ22" s="56">
        <f t="shared" si="2"/>
        <v>1</v>
      </c>
      <c r="BR22" s="57">
        <f t="shared" si="3"/>
        <v>0</v>
      </c>
      <c r="BS22" s="38">
        <v>1</v>
      </c>
      <c r="BT22" s="38"/>
      <c r="BU22" s="26"/>
      <c r="BV22" s="26"/>
      <c r="BW22" s="39">
        <f t="shared" si="4"/>
        <v>7</v>
      </c>
      <c r="BX22" s="78">
        <v>4</v>
      </c>
      <c r="BY22" s="63">
        <v>1</v>
      </c>
      <c r="CA22" s="6">
        <v>1</v>
      </c>
      <c r="CB22" s="96" t="s">
        <v>90</v>
      </c>
      <c r="CC22" s="96"/>
      <c r="CD22" s="96"/>
      <c r="CE22" s="97"/>
    </row>
    <row r="23" spans="1:83" ht="16" x14ac:dyDescent="0.2">
      <c r="A23" s="109" t="s">
        <v>257</v>
      </c>
      <c r="B23" s="26">
        <v>42</v>
      </c>
      <c r="C23" s="109" t="s">
        <v>96</v>
      </c>
      <c r="D23" s="26">
        <v>7</v>
      </c>
      <c r="E23" s="26">
        <v>2</v>
      </c>
      <c r="F23" s="26">
        <v>1</v>
      </c>
      <c r="G23" s="26" t="s">
        <v>54</v>
      </c>
      <c r="H23" s="26" t="s">
        <v>53</v>
      </c>
      <c r="I23" s="26" t="s">
        <v>50</v>
      </c>
      <c r="J23" s="26"/>
      <c r="K23" s="26" t="s">
        <v>49</v>
      </c>
      <c r="L23" s="26">
        <v>6</v>
      </c>
      <c r="M23" s="40"/>
      <c r="N23" s="36"/>
      <c r="O23" s="36"/>
      <c r="P23" s="36"/>
      <c r="Q23" s="36" t="s">
        <v>38</v>
      </c>
      <c r="R23" s="36">
        <f>2/8</f>
        <v>0.25</v>
      </c>
      <c r="S23" s="36" t="s">
        <v>38</v>
      </c>
      <c r="T23" s="36">
        <f>2/8</f>
        <v>0.25</v>
      </c>
      <c r="U23" s="36"/>
      <c r="V23" s="36"/>
      <c r="W23" s="36" t="s">
        <v>55</v>
      </c>
      <c r="X23" s="36">
        <f>6/8</f>
        <v>0.75</v>
      </c>
      <c r="Y23" s="36" t="s">
        <v>39</v>
      </c>
      <c r="Z23" s="36">
        <f>4.5/8</f>
        <v>0.5625</v>
      </c>
      <c r="AA23" s="36"/>
      <c r="AB23" s="36"/>
      <c r="AC23" s="36"/>
      <c r="AD23" s="36"/>
      <c r="AE23" s="36"/>
      <c r="AF23" s="36"/>
      <c r="AG23" s="36"/>
      <c r="AH23" s="36"/>
      <c r="AI23" s="36" t="s">
        <v>38</v>
      </c>
      <c r="AJ23" s="36">
        <f>2/8</f>
        <v>0.25</v>
      </c>
      <c r="AK23" s="36"/>
      <c r="AL23" s="36"/>
      <c r="AM23" s="36" t="s">
        <v>38</v>
      </c>
      <c r="AN23" s="36">
        <f>4/8</f>
        <v>0.5</v>
      </c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26"/>
      <c r="BF23" s="26"/>
      <c r="BG23" s="37"/>
      <c r="BH23" s="26">
        <v>1</v>
      </c>
      <c r="BI23" s="26"/>
      <c r="BJ23" s="26">
        <v>1</v>
      </c>
      <c r="BK23" s="26">
        <v>1</v>
      </c>
      <c r="BL23" s="26"/>
      <c r="BM23" s="26"/>
      <c r="BN23" s="26"/>
      <c r="BO23" s="37">
        <f t="shared" si="0"/>
        <v>0</v>
      </c>
      <c r="BP23" s="56">
        <f t="shared" si="1"/>
        <v>2</v>
      </c>
      <c r="BQ23" s="56">
        <f t="shared" si="2"/>
        <v>1</v>
      </c>
      <c r="BR23" s="57">
        <f t="shared" si="3"/>
        <v>0</v>
      </c>
      <c r="BS23" s="38"/>
      <c r="BT23" s="38"/>
      <c r="BU23" s="26"/>
      <c r="BV23" s="26"/>
      <c r="BW23" s="39">
        <f t="shared" si="4"/>
        <v>3</v>
      </c>
      <c r="BX23" s="78">
        <v>4</v>
      </c>
      <c r="BY23" s="63">
        <v>1</v>
      </c>
      <c r="BZ23" s="7"/>
      <c r="CA23" s="6">
        <v>2</v>
      </c>
      <c r="CB23" s="96" t="s">
        <v>92</v>
      </c>
      <c r="CC23" s="96"/>
      <c r="CD23" s="96"/>
      <c r="CE23" s="97"/>
    </row>
    <row r="24" spans="1:83" ht="16" x14ac:dyDescent="0.2">
      <c r="A24" s="109" t="s">
        <v>257</v>
      </c>
      <c r="B24" s="26">
        <v>42</v>
      </c>
      <c r="C24" s="109" t="s">
        <v>96</v>
      </c>
      <c r="D24" s="26">
        <v>8</v>
      </c>
      <c r="E24" s="26">
        <v>2</v>
      </c>
      <c r="F24" s="26" t="s">
        <v>53</v>
      </c>
      <c r="G24" s="26" t="s">
        <v>50</v>
      </c>
      <c r="H24" s="26"/>
      <c r="I24" s="26"/>
      <c r="J24" s="26"/>
      <c r="K24" s="26" t="s">
        <v>49</v>
      </c>
      <c r="L24" s="26">
        <v>6</v>
      </c>
      <c r="M24" s="40"/>
      <c r="N24" s="36"/>
      <c r="O24" s="36"/>
      <c r="P24" s="36"/>
      <c r="Q24" s="36"/>
      <c r="R24" s="36"/>
      <c r="S24" s="36" t="s">
        <v>38</v>
      </c>
      <c r="T24" s="36">
        <f>3/9</f>
        <v>0.33333333333333331</v>
      </c>
      <c r="U24" s="36"/>
      <c r="V24" s="36"/>
      <c r="W24" s="36" t="s">
        <v>39</v>
      </c>
      <c r="X24" s="36">
        <f>3.5/9</f>
        <v>0.3888888888888889</v>
      </c>
      <c r="Y24" s="36"/>
      <c r="Z24" s="36"/>
      <c r="AA24" s="36" t="s">
        <v>38</v>
      </c>
      <c r="AB24" s="36">
        <f>2.5/9</f>
        <v>0.27777777777777779</v>
      </c>
      <c r="AC24" s="36"/>
      <c r="AD24" s="36"/>
      <c r="AE24" s="36"/>
      <c r="AF24" s="36"/>
      <c r="AG24" s="36" t="s">
        <v>38</v>
      </c>
      <c r="AH24" s="36">
        <f>6/9</f>
        <v>0.66666666666666663</v>
      </c>
      <c r="AI24" s="36"/>
      <c r="AJ24" s="36"/>
      <c r="AK24" s="36"/>
      <c r="AL24" s="36"/>
      <c r="AM24" s="36"/>
      <c r="AN24" s="36"/>
      <c r="AO24" s="36" t="s">
        <v>38</v>
      </c>
      <c r="AP24" s="36">
        <f>2.5/9</f>
        <v>0.27777777777777779</v>
      </c>
      <c r="AQ24" s="36"/>
      <c r="AR24" s="36"/>
      <c r="AS24" s="36" t="s">
        <v>39</v>
      </c>
      <c r="AT24" s="36">
        <f>3.5/9</f>
        <v>0.3888888888888889</v>
      </c>
      <c r="AU24" s="36"/>
      <c r="AV24" s="36"/>
      <c r="AW24" s="36" t="s">
        <v>39</v>
      </c>
      <c r="AX24" s="36">
        <f>3.5/9</f>
        <v>0.3888888888888889</v>
      </c>
      <c r="AY24" s="36"/>
      <c r="AZ24" s="36"/>
      <c r="BA24" s="36" t="s">
        <v>39</v>
      </c>
      <c r="BB24" s="36">
        <f>3/9</f>
        <v>0.33333333333333331</v>
      </c>
      <c r="BC24" s="36"/>
      <c r="BD24" s="36"/>
      <c r="BE24" s="26"/>
      <c r="BF24" s="26"/>
      <c r="BG24" s="37"/>
      <c r="BH24" s="26">
        <v>2</v>
      </c>
      <c r="BI24" s="26"/>
      <c r="BJ24" s="26">
        <v>4</v>
      </c>
      <c r="BK24" s="26"/>
      <c r="BL24" s="26"/>
      <c r="BM24" s="26"/>
      <c r="BN24" s="26"/>
      <c r="BO24" s="37">
        <f t="shared" si="0"/>
        <v>0</v>
      </c>
      <c r="BP24" s="56">
        <f t="shared" si="1"/>
        <v>6</v>
      </c>
      <c r="BQ24" s="56">
        <f t="shared" si="2"/>
        <v>0</v>
      </c>
      <c r="BR24" s="57">
        <f t="shared" si="3"/>
        <v>0</v>
      </c>
      <c r="BS24" s="38"/>
      <c r="BT24" s="38"/>
      <c r="BU24" s="26"/>
      <c r="BV24" s="26"/>
      <c r="BW24" s="39">
        <f t="shared" si="4"/>
        <v>6</v>
      </c>
      <c r="BX24" s="78">
        <v>3</v>
      </c>
      <c r="BY24" s="63">
        <v>1</v>
      </c>
      <c r="BZ24" s="7"/>
      <c r="CA24" s="6">
        <v>3</v>
      </c>
      <c r="CB24" s="96" t="s">
        <v>91</v>
      </c>
      <c r="CC24" s="96"/>
      <c r="CD24" s="96"/>
      <c r="CE24" s="97"/>
    </row>
    <row r="25" spans="1:83" ht="16" x14ac:dyDescent="0.2">
      <c r="A25" s="109" t="s">
        <v>257</v>
      </c>
      <c r="B25" s="26">
        <v>42</v>
      </c>
      <c r="C25" s="109" t="s">
        <v>96</v>
      </c>
      <c r="D25" s="26">
        <v>9</v>
      </c>
      <c r="E25" s="26">
        <v>2</v>
      </c>
      <c r="F25" s="26">
        <v>1</v>
      </c>
      <c r="G25" s="26" t="s">
        <v>54</v>
      </c>
      <c r="H25" s="26">
        <v>3</v>
      </c>
      <c r="I25" s="26" t="s">
        <v>56</v>
      </c>
      <c r="J25" s="26"/>
      <c r="K25" s="26" t="s">
        <v>47</v>
      </c>
      <c r="L25" s="26">
        <v>6</v>
      </c>
      <c r="M25" s="40"/>
      <c r="N25" s="36"/>
      <c r="O25" s="36"/>
      <c r="P25" s="36"/>
      <c r="Q25" s="36" t="s">
        <v>39</v>
      </c>
      <c r="R25" s="36">
        <f>6.5/8</f>
        <v>0.8125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 t="s">
        <v>38</v>
      </c>
      <c r="AD25" s="36">
        <f>6/8</f>
        <v>0.75</v>
      </c>
      <c r="AE25" s="36" t="s">
        <v>39</v>
      </c>
      <c r="AF25" s="36">
        <f>8/8</f>
        <v>1</v>
      </c>
      <c r="AG25" s="36"/>
      <c r="AH25" s="36"/>
      <c r="AI25" s="36"/>
      <c r="AJ25" s="36"/>
      <c r="AK25" s="36"/>
      <c r="AL25" s="36"/>
      <c r="AM25" s="36" t="s">
        <v>38</v>
      </c>
      <c r="AN25" s="36">
        <f>7.5/8</f>
        <v>0.9375</v>
      </c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 t="s">
        <v>38</v>
      </c>
      <c r="BB25" s="36">
        <f>7/8</f>
        <v>0.875</v>
      </c>
      <c r="BC25" s="36"/>
      <c r="BD25" s="36"/>
      <c r="BE25" s="26" t="s">
        <v>39</v>
      </c>
      <c r="BF25" s="26" t="s">
        <v>52</v>
      </c>
      <c r="BG25" s="37">
        <v>3</v>
      </c>
      <c r="BH25" s="26"/>
      <c r="BI25" s="26">
        <v>2</v>
      </c>
      <c r="BJ25" s="26"/>
      <c r="BK25" s="26"/>
      <c r="BL25" s="26"/>
      <c r="BM25" s="26"/>
      <c r="BN25" s="26"/>
      <c r="BO25" s="37">
        <f t="shared" si="0"/>
        <v>6</v>
      </c>
      <c r="BP25" s="56">
        <f t="shared" si="1"/>
        <v>0</v>
      </c>
      <c r="BQ25" s="56">
        <f t="shared" si="2"/>
        <v>0</v>
      </c>
      <c r="BR25" s="57">
        <f t="shared" si="3"/>
        <v>0</v>
      </c>
      <c r="BS25" s="38"/>
      <c r="BT25" s="38"/>
      <c r="BU25" s="26">
        <v>1</v>
      </c>
      <c r="BV25" s="26"/>
      <c r="BW25" s="39">
        <f t="shared" si="4"/>
        <v>6</v>
      </c>
      <c r="BX25" s="78">
        <v>1</v>
      </c>
      <c r="BY25" s="63">
        <v>3</v>
      </c>
      <c r="BZ25" s="7"/>
      <c r="CA25" s="6">
        <v>4</v>
      </c>
      <c r="CB25" s="96" t="s">
        <v>93</v>
      </c>
      <c r="CC25" s="96"/>
      <c r="CD25" s="96"/>
      <c r="CE25" s="97"/>
    </row>
    <row r="26" spans="1:83" ht="17" thickBot="1" x14ac:dyDescent="0.25">
      <c r="A26" s="109" t="s">
        <v>257</v>
      </c>
      <c r="B26" s="26">
        <v>42</v>
      </c>
      <c r="C26" s="109" t="s">
        <v>96</v>
      </c>
      <c r="D26" s="26">
        <v>10</v>
      </c>
      <c r="E26" s="26">
        <v>2</v>
      </c>
      <c r="F26" s="26">
        <v>1</v>
      </c>
      <c r="G26" s="26" t="s">
        <v>54</v>
      </c>
      <c r="H26" s="26">
        <v>1</v>
      </c>
      <c r="I26" s="26" t="s">
        <v>54</v>
      </c>
      <c r="J26" s="26"/>
      <c r="K26" s="26" t="s">
        <v>49</v>
      </c>
      <c r="L26" s="26">
        <v>6</v>
      </c>
      <c r="M26" s="40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 t="s">
        <v>38</v>
      </c>
      <c r="AD26" s="36">
        <f>9/9.5</f>
        <v>0.94736842105263153</v>
      </c>
      <c r="AE26" s="36"/>
      <c r="AF26" s="36"/>
      <c r="AG26" s="36" t="s">
        <v>39</v>
      </c>
      <c r="AH26" s="36">
        <f>8.5/9.5</f>
        <v>0.89473684210526316</v>
      </c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26"/>
      <c r="BF26" s="26"/>
      <c r="BG26" s="37">
        <v>1</v>
      </c>
      <c r="BH26" s="26"/>
      <c r="BI26" s="26">
        <v>1</v>
      </c>
      <c r="BJ26" s="26"/>
      <c r="BK26" s="26"/>
      <c r="BL26" s="26"/>
      <c r="BM26" s="26"/>
      <c r="BN26" s="26"/>
      <c r="BO26" s="37">
        <f t="shared" si="0"/>
        <v>2</v>
      </c>
      <c r="BP26" s="56">
        <f t="shared" si="1"/>
        <v>0</v>
      </c>
      <c r="BQ26" s="56">
        <f t="shared" si="2"/>
        <v>0</v>
      </c>
      <c r="BR26" s="57">
        <f t="shared" si="3"/>
        <v>0</v>
      </c>
      <c r="BS26" s="38"/>
      <c r="BT26" s="38"/>
      <c r="BU26" s="26"/>
      <c r="BV26" s="26"/>
      <c r="BW26" s="39">
        <f t="shared" si="4"/>
        <v>2</v>
      </c>
      <c r="BX26" s="78">
        <v>1</v>
      </c>
      <c r="BY26" s="63">
        <v>1</v>
      </c>
      <c r="BZ26" s="7"/>
      <c r="CA26" s="76"/>
      <c r="CB26" s="11"/>
      <c r="CC26" s="11"/>
      <c r="CD26" s="73"/>
      <c r="CE26" s="74"/>
    </row>
    <row r="27" spans="1:83" ht="16" x14ac:dyDescent="0.2">
      <c r="A27" s="109" t="s">
        <v>257</v>
      </c>
      <c r="B27" s="26">
        <v>42</v>
      </c>
      <c r="C27" s="109" t="s">
        <v>96</v>
      </c>
      <c r="D27" s="26">
        <v>11</v>
      </c>
      <c r="E27" s="26">
        <v>2</v>
      </c>
      <c r="F27" s="26">
        <v>3</v>
      </c>
      <c r="G27" s="26" t="s">
        <v>56</v>
      </c>
      <c r="H27" s="26">
        <v>6</v>
      </c>
      <c r="I27" s="26" t="s">
        <v>51</v>
      </c>
      <c r="J27" s="26"/>
      <c r="K27" s="26" t="s">
        <v>49</v>
      </c>
      <c r="L27" s="26">
        <v>6</v>
      </c>
      <c r="M27" s="40" t="s">
        <v>39</v>
      </c>
      <c r="N27" s="36">
        <f>6/9</f>
        <v>0.66666666666666663</v>
      </c>
      <c r="O27" s="36" t="s">
        <v>38</v>
      </c>
      <c r="P27" s="36">
        <f>2/9</f>
        <v>0.22222222222222221</v>
      </c>
      <c r="Q27" s="36" t="s">
        <v>38</v>
      </c>
      <c r="R27" s="36">
        <f>2/9</f>
        <v>0.22222222222222221</v>
      </c>
      <c r="S27" s="36" t="s">
        <v>38</v>
      </c>
      <c r="T27" s="36">
        <f>3.5/9</f>
        <v>0.3888888888888889</v>
      </c>
      <c r="U27" s="36"/>
      <c r="V27" s="36"/>
      <c r="W27" s="36" t="s">
        <v>39</v>
      </c>
      <c r="X27" s="36">
        <f>2.5/9</f>
        <v>0.27777777777777779</v>
      </c>
      <c r="Y27" s="36"/>
      <c r="Z27" s="36"/>
      <c r="AA27" s="36" t="s">
        <v>57</v>
      </c>
      <c r="AB27" s="36">
        <f>6/9</f>
        <v>0.66666666666666663</v>
      </c>
      <c r="AC27" s="36"/>
      <c r="AD27" s="36"/>
      <c r="AE27" s="36" t="s">
        <v>38</v>
      </c>
      <c r="AF27" s="36">
        <f>3/9</f>
        <v>0.33333333333333331</v>
      </c>
      <c r="AG27" s="36"/>
      <c r="AH27" s="36"/>
      <c r="AI27" s="36"/>
      <c r="AJ27" s="36"/>
      <c r="AK27" s="36" t="s">
        <v>38</v>
      </c>
      <c r="AL27" s="36">
        <f>3.5/9</f>
        <v>0.3888888888888889</v>
      </c>
      <c r="AM27" s="36" t="s">
        <v>39</v>
      </c>
      <c r="AN27" s="36">
        <f>2.5/9</f>
        <v>0.27777777777777779</v>
      </c>
      <c r="AO27" s="36"/>
      <c r="AP27" s="36"/>
      <c r="AQ27" s="36"/>
      <c r="AR27" s="36"/>
      <c r="AS27" s="36" t="s">
        <v>38</v>
      </c>
      <c r="AT27" s="36">
        <f>4/9</f>
        <v>0.44444444444444442</v>
      </c>
      <c r="AU27" s="36"/>
      <c r="AV27" s="36"/>
      <c r="AW27" s="36"/>
      <c r="AX27" s="36"/>
      <c r="AY27" s="36"/>
      <c r="AZ27" s="36"/>
      <c r="BA27" s="36" t="s">
        <v>38</v>
      </c>
      <c r="BB27" s="36">
        <f>4/9</f>
        <v>0.44444444444444442</v>
      </c>
      <c r="BC27" s="36" t="s">
        <v>39</v>
      </c>
      <c r="BD27" s="36">
        <f>3/9</f>
        <v>0.33333333333333331</v>
      </c>
      <c r="BE27" s="26"/>
      <c r="BF27" s="26"/>
      <c r="BG27" s="37"/>
      <c r="BH27" s="26">
        <v>5</v>
      </c>
      <c r="BI27" s="26"/>
      <c r="BJ27" s="26">
        <v>2</v>
      </c>
      <c r="BK27" s="26"/>
      <c r="BL27" s="26"/>
      <c r="BM27" s="26"/>
      <c r="BN27" s="26">
        <v>1</v>
      </c>
      <c r="BO27" s="37">
        <f t="shared" si="0"/>
        <v>0</v>
      </c>
      <c r="BP27" s="56">
        <f t="shared" si="1"/>
        <v>7</v>
      </c>
      <c r="BQ27" s="56">
        <f t="shared" si="2"/>
        <v>0</v>
      </c>
      <c r="BR27" s="57">
        <f t="shared" si="3"/>
        <v>1</v>
      </c>
      <c r="BS27" s="38"/>
      <c r="BT27" s="38"/>
      <c r="BU27" s="26"/>
      <c r="BV27" s="26"/>
      <c r="BW27" s="39">
        <f t="shared" si="4"/>
        <v>8</v>
      </c>
      <c r="BX27" s="78">
        <v>4</v>
      </c>
      <c r="BY27" s="63">
        <v>1</v>
      </c>
      <c r="BZ27" s="7"/>
      <c r="CA27" s="8"/>
      <c r="CB27" s="7"/>
      <c r="CC27" s="7"/>
    </row>
    <row r="28" spans="1:83" ht="16" x14ac:dyDescent="0.2">
      <c r="A28" s="111" t="s">
        <v>257</v>
      </c>
      <c r="B28" s="26">
        <v>42</v>
      </c>
      <c r="C28" s="109" t="s">
        <v>96</v>
      </c>
      <c r="D28" s="26">
        <v>12</v>
      </c>
      <c r="E28" s="26">
        <v>2</v>
      </c>
      <c r="F28" s="26" t="s">
        <v>53</v>
      </c>
      <c r="G28" s="26" t="s">
        <v>50</v>
      </c>
      <c r="H28" s="26"/>
      <c r="I28" s="26"/>
      <c r="J28" s="26"/>
      <c r="K28" s="26" t="s">
        <v>49</v>
      </c>
      <c r="L28" s="26">
        <v>6</v>
      </c>
      <c r="M28" s="40" t="s">
        <v>39</v>
      </c>
      <c r="N28" s="36">
        <f>4/9</f>
        <v>0.44444444444444442</v>
      </c>
      <c r="O28" s="36"/>
      <c r="P28" s="36"/>
      <c r="Q28" s="36"/>
      <c r="R28" s="36"/>
      <c r="S28" s="36"/>
      <c r="T28" s="36"/>
      <c r="U28" s="36" t="s">
        <v>39</v>
      </c>
      <c r="V28" s="36">
        <f>4/9</f>
        <v>0.44444444444444442</v>
      </c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 t="s">
        <v>39</v>
      </c>
      <c r="AR28" s="36">
        <f>4.5/9</f>
        <v>0.5</v>
      </c>
      <c r="AS28" s="36"/>
      <c r="AT28" s="36"/>
      <c r="AU28" s="36" t="s">
        <v>39</v>
      </c>
      <c r="AV28" s="36">
        <f>4.5/9</f>
        <v>0.5</v>
      </c>
      <c r="AW28" s="36" t="s">
        <v>39</v>
      </c>
      <c r="AX28" s="36">
        <f>4.5/9</f>
        <v>0.5</v>
      </c>
      <c r="AY28" s="36"/>
      <c r="AZ28" s="36"/>
      <c r="BA28" s="36" t="s">
        <v>39</v>
      </c>
      <c r="BB28" s="36">
        <f>4/9</f>
        <v>0.44444444444444442</v>
      </c>
      <c r="BC28" s="36"/>
      <c r="BD28" s="36"/>
      <c r="BE28" s="26"/>
      <c r="BF28" s="26"/>
      <c r="BG28" s="39"/>
      <c r="BH28" s="38"/>
      <c r="BI28" s="38"/>
      <c r="BJ28" s="38">
        <v>6</v>
      </c>
      <c r="BK28" s="38"/>
      <c r="BL28" s="38"/>
      <c r="BM28" s="38"/>
      <c r="BN28" s="38"/>
      <c r="BO28" s="37">
        <f t="shared" si="0"/>
        <v>0</v>
      </c>
      <c r="BP28" s="56">
        <f t="shared" si="1"/>
        <v>6</v>
      </c>
      <c r="BQ28" s="56">
        <f t="shared" si="2"/>
        <v>0</v>
      </c>
      <c r="BR28" s="57">
        <f t="shared" si="3"/>
        <v>0</v>
      </c>
      <c r="BS28" s="38"/>
      <c r="BT28" s="38"/>
      <c r="BU28" s="26"/>
      <c r="BV28" s="26"/>
      <c r="BW28" s="39">
        <f t="shared" si="4"/>
        <v>6</v>
      </c>
      <c r="BX28" s="78">
        <v>3</v>
      </c>
      <c r="BY28" s="63">
        <v>1</v>
      </c>
      <c r="BZ28" s="7"/>
      <c r="CA28" s="8"/>
      <c r="CB28" s="17"/>
      <c r="CC28" s="17"/>
    </row>
    <row r="29" spans="1:83" ht="16" x14ac:dyDescent="0.2">
      <c r="A29" s="111" t="s">
        <v>257</v>
      </c>
      <c r="B29" s="26">
        <v>42</v>
      </c>
      <c r="C29" s="109" t="s">
        <v>96</v>
      </c>
      <c r="D29" s="26">
        <v>13</v>
      </c>
      <c r="E29" s="26">
        <v>2</v>
      </c>
      <c r="F29" s="26">
        <v>4</v>
      </c>
      <c r="G29" s="26" t="s">
        <v>50</v>
      </c>
      <c r="H29" s="26">
        <v>8</v>
      </c>
      <c r="I29" s="26" t="s">
        <v>56</v>
      </c>
      <c r="J29" s="26"/>
      <c r="K29" s="26" t="s">
        <v>47</v>
      </c>
      <c r="L29" s="26">
        <v>6</v>
      </c>
      <c r="M29" s="40" t="s">
        <v>38</v>
      </c>
      <c r="N29" s="36">
        <f>5/8</f>
        <v>0.625</v>
      </c>
      <c r="O29" s="36"/>
      <c r="P29" s="36"/>
      <c r="Q29" s="36" t="s">
        <v>39</v>
      </c>
      <c r="R29" s="36">
        <f>4/8</f>
        <v>0.5</v>
      </c>
      <c r="S29" s="36" t="s">
        <v>38</v>
      </c>
      <c r="T29" s="36">
        <f>3/8</f>
        <v>0.375</v>
      </c>
      <c r="U29" s="36" t="s">
        <v>39</v>
      </c>
      <c r="V29" s="36">
        <f>2/8</f>
        <v>0.25</v>
      </c>
      <c r="W29" s="36" t="s">
        <v>38</v>
      </c>
      <c r="X29" s="36">
        <f>2/8</f>
        <v>0.25</v>
      </c>
      <c r="Y29" s="36"/>
      <c r="Z29" s="36"/>
      <c r="AA29" s="36"/>
      <c r="AB29" s="36"/>
      <c r="AC29" s="36"/>
      <c r="AD29" s="36"/>
      <c r="AE29" s="36"/>
      <c r="AF29" s="36"/>
      <c r="AG29" s="36" t="s">
        <v>39</v>
      </c>
      <c r="AH29" s="36">
        <f>4/8</f>
        <v>0.5</v>
      </c>
      <c r="AI29" s="36"/>
      <c r="AJ29" s="36"/>
      <c r="AK29" s="36"/>
      <c r="AL29" s="36"/>
      <c r="AM29" s="36" t="s">
        <v>38</v>
      </c>
      <c r="AN29" s="36">
        <f>5.5/8</f>
        <v>0.6875</v>
      </c>
      <c r="AO29" s="36" t="s">
        <v>39</v>
      </c>
      <c r="AP29" s="36">
        <f>4.5/8</f>
        <v>0.5625</v>
      </c>
      <c r="AQ29" s="36"/>
      <c r="AR29" s="36"/>
      <c r="AS29" s="36" t="s">
        <v>39</v>
      </c>
      <c r="AT29" s="36">
        <f>2/8</f>
        <v>0.25</v>
      </c>
      <c r="AU29" s="36"/>
      <c r="AV29" s="36"/>
      <c r="AW29" s="36"/>
      <c r="AX29" s="36"/>
      <c r="AY29" s="36" t="s">
        <v>38</v>
      </c>
      <c r="AZ29" s="36">
        <f>8/8</f>
        <v>1</v>
      </c>
      <c r="BA29" s="36" t="s">
        <v>39</v>
      </c>
      <c r="BB29" s="36">
        <f>5/8</f>
        <v>0.625</v>
      </c>
      <c r="BC29" s="36"/>
      <c r="BD29" s="36"/>
      <c r="BE29" s="26"/>
      <c r="BF29" s="26"/>
      <c r="BG29" s="39">
        <v>1</v>
      </c>
      <c r="BH29" s="38">
        <v>3</v>
      </c>
      <c r="BI29" s="38"/>
      <c r="BJ29" s="38">
        <v>4</v>
      </c>
      <c r="BK29" s="38"/>
      <c r="BL29" s="38"/>
      <c r="BM29" s="38"/>
      <c r="BN29" s="38"/>
      <c r="BO29" s="37">
        <f t="shared" si="0"/>
        <v>1</v>
      </c>
      <c r="BP29" s="56">
        <f t="shared" si="1"/>
        <v>7</v>
      </c>
      <c r="BQ29" s="56">
        <f t="shared" si="2"/>
        <v>0</v>
      </c>
      <c r="BR29" s="57">
        <f t="shared" si="3"/>
        <v>0</v>
      </c>
      <c r="BS29" s="38"/>
      <c r="BT29" s="38"/>
      <c r="BU29" s="26"/>
      <c r="BV29" s="26"/>
      <c r="BW29" s="39">
        <f t="shared" si="4"/>
        <v>8</v>
      </c>
      <c r="BX29" s="78">
        <v>2</v>
      </c>
      <c r="BY29" s="63">
        <v>3</v>
      </c>
      <c r="BZ29" s="7"/>
      <c r="CA29" s="8"/>
      <c r="CB29" s="17"/>
      <c r="CC29" s="17"/>
    </row>
    <row r="30" spans="1:83" ht="16" x14ac:dyDescent="0.2">
      <c r="A30" s="111" t="s">
        <v>257</v>
      </c>
      <c r="B30" s="26">
        <v>42</v>
      </c>
      <c r="C30" s="109" t="s">
        <v>96</v>
      </c>
      <c r="D30" s="26">
        <v>14</v>
      </c>
      <c r="E30" s="26">
        <v>2</v>
      </c>
      <c r="F30" s="26">
        <v>3</v>
      </c>
      <c r="G30" s="26" t="s">
        <v>50</v>
      </c>
      <c r="H30" s="26">
        <v>6</v>
      </c>
      <c r="I30" s="26" t="s">
        <v>51</v>
      </c>
      <c r="J30" s="26"/>
      <c r="K30" s="26" t="s">
        <v>47</v>
      </c>
      <c r="L30" s="26">
        <v>6</v>
      </c>
      <c r="M30" s="40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 t="s">
        <v>38</v>
      </c>
      <c r="AN30" s="36">
        <f>9.5/9.5</f>
        <v>1</v>
      </c>
      <c r="AO30" s="36" t="s">
        <v>38</v>
      </c>
      <c r="AP30" s="36">
        <f>9.5/9.5</f>
        <v>1</v>
      </c>
      <c r="AQ30" s="36" t="s">
        <v>39</v>
      </c>
      <c r="AR30" s="36">
        <f>9.5/9.5</f>
        <v>1</v>
      </c>
      <c r="AS30" s="36"/>
      <c r="AT30" s="36"/>
      <c r="AU30" s="36" t="s">
        <v>38</v>
      </c>
      <c r="AV30" s="36">
        <f>9/9.5</f>
        <v>0.94736842105263153</v>
      </c>
      <c r="AW30" s="36"/>
      <c r="AX30" s="36"/>
      <c r="AY30" s="36"/>
      <c r="AZ30" s="36"/>
      <c r="BA30" s="36" t="s">
        <v>39</v>
      </c>
      <c r="BB30" s="36">
        <f>10.5/9.5</f>
        <v>1.1052631578947369</v>
      </c>
      <c r="BC30" s="36" t="s">
        <v>39</v>
      </c>
      <c r="BD30" s="36">
        <f>7.5/9.5</f>
        <v>0.78947368421052633</v>
      </c>
      <c r="BE30" s="26"/>
      <c r="BF30" s="26"/>
      <c r="BG30" s="39">
        <v>3</v>
      </c>
      <c r="BH30" s="38"/>
      <c r="BI30" s="38">
        <v>3</v>
      </c>
      <c r="BJ30" s="38"/>
      <c r="BK30" s="38"/>
      <c r="BL30" s="38"/>
      <c r="BM30" s="38"/>
      <c r="BN30" s="38"/>
      <c r="BO30" s="37">
        <f t="shared" si="0"/>
        <v>6</v>
      </c>
      <c r="BP30" s="56">
        <f t="shared" si="1"/>
        <v>0</v>
      </c>
      <c r="BQ30" s="56">
        <f t="shared" si="2"/>
        <v>0</v>
      </c>
      <c r="BR30" s="57">
        <f t="shared" si="3"/>
        <v>0</v>
      </c>
      <c r="BS30" s="38"/>
      <c r="BT30" s="38"/>
      <c r="BU30" s="26"/>
      <c r="BV30" s="26"/>
      <c r="BW30" s="39">
        <f t="shared" si="4"/>
        <v>6</v>
      </c>
      <c r="BX30" s="78">
        <v>1</v>
      </c>
      <c r="BY30" s="63">
        <v>3</v>
      </c>
      <c r="BZ30" s="7"/>
      <c r="CA30" s="8"/>
      <c r="CB30" s="17"/>
      <c r="CC30" s="17"/>
    </row>
    <row r="31" spans="1:83" ht="16" x14ac:dyDescent="0.2">
      <c r="A31" s="111" t="s">
        <v>257</v>
      </c>
      <c r="B31" s="26">
        <v>42</v>
      </c>
      <c r="C31" s="109" t="s">
        <v>96</v>
      </c>
      <c r="D31" s="26">
        <v>15</v>
      </c>
      <c r="E31" s="26">
        <v>2</v>
      </c>
      <c r="F31" s="26">
        <v>2</v>
      </c>
      <c r="G31" s="26" t="s">
        <v>51</v>
      </c>
      <c r="H31" s="26">
        <v>4</v>
      </c>
      <c r="I31" s="26" t="s">
        <v>51</v>
      </c>
      <c r="J31" s="26"/>
      <c r="K31" s="26" t="s">
        <v>47</v>
      </c>
      <c r="L31" s="26">
        <v>6</v>
      </c>
      <c r="M31" s="40"/>
      <c r="N31" s="36"/>
      <c r="O31" s="36" t="s">
        <v>39</v>
      </c>
      <c r="P31" s="36">
        <f>9/9.5</f>
        <v>0.94736842105263153</v>
      </c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 t="s">
        <v>39</v>
      </c>
      <c r="AP31" s="36">
        <f>8.5/9.5</f>
        <v>0.89473684210526316</v>
      </c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 t="s">
        <v>38</v>
      </c>
      <c r="BB31" s="36">
        <f>9/9.5</f>
        <v>0.94736842105263153</v>
      </c>
      <c r="BC31" s="36"/>
      <c r="BD31" s="36"/>
      <c r="BE31" s="26" t="s">
        <v>39</v>
      </c>
      <c r="BF31" s="26" t="s">
        <v>46</v>
      </c>
      <c r="BG31" s="39">
        <v>1</v>
      </c>
      <c r="BH31" s="38"/>
      <c r="BI31" s="38">
        <v>2</v>
      </c>
      <c r="BJ31" s="38"/>
      <c r="BK31" s="38"/>
      <c r="BL31" s="38"/>
      <c r="BM31" s="38"/>
      <c r="BN31" s="38"/>
      <c r="BO31" s="37">
        <f t="shared" si="0"/>
        <v>4</v>
      </c>
      <c r="BP31" s="56">
        <f t="shared" si="1"/>
        <v>0</v>
      </c>
      <c r="BQ31" s="56">
        <f t="shared" si="2"/>
        <v>0</v>
      </c>
      <c r="BR31" s="57">
        <f t="shared" si="3"/>
        <v>0</v>
      </c>
      <c r="BS31" s="38"/>
      <c r="BT31" s="38"/>
      <c r="BU31" s="26">
        <v>1</v>
      </c>
      <c r="BV31" s="26"/>
      <c r="BW31" s="39">
        <f t="shared" si="4"/>
        <v>4</v>
      </c>
      <c r="BX31" s="78">
        <v>1</v>
      </c>
      <c r="BY31" s="63">
        <v>3</v>
      </c>
      <c r="BZ31" s="7"/>
      <c r="CA31" s="8"/>
      <c r="CB31" s="17"/>
      <c r="CC31" s="17"/>
    </row>
    <row r="32" spans="1:83" ht="16" x14ac:dyDescent="0.2">
      <c r="A32" s="111" t="s">
        <v>257</v>
      </c>
      <c r="B32" s="26">
        <v>42</v>
      </c>
      <c r="C32" s="109" t="s">
        <v>96</v>
      </c>
      <c r="D32" s="26">
        <v>16</v>
      </c>
      <c r="E32" s="26">
        <v>2</v>
      </c>
      <c r="F32" s="26">
        <v>3</v>
      </c>
      <c r="G32" s="26" t="s">
        <v>56</v>
      </c>
      <c r="H32" s="26">
        <v>6</v>
      </c>
      <c r="I32" s="26" t="s">
        <v>51</v>
      </c>
      <c r="J32" s="26"/>
      <c r="K32" s="26" t="s">
        <v>49</v>
      </c>
      <c r="L32" s="26">
        <v>6</v>
      </c>
      <c r="M32" s="40" t="s">
        <v>38</v>
      </c>
      <c r="N32" s="36">
        <f>8/9.5</f>
        <v>0.84210526315789469</v>
      </c>
      <c r="O32" s="36" t="s">
        <v>39</v>
      </c>
      <c r="P32" s="36">
        <f>9.5/9.5</f>
        <v>1</v>
      </c>
      <c r="Q32" s="36"/>
      <c r="R32" s="36"/>
      <c r="S32" s="36"/>
      <c r="T32" s="36"/>
      <c r="U32" s="36" t="s">
        <v>57</v>
      </c>
      <c r="V32" s="36">
        <f>5/9.5</f>
        <v>0.52631578947368418</v>
      </c>
      <c r="W32" s="36" t="s">
        <v>38</v>
      </c>
      <c r="X32" s="36">
        <f>19/9.5</f>
        <v>2</v>
      </c>
      <c r="Y32" s="36"/>
      <c r="Z32" s="36"/>
      <c r="AA32" s="36" t="s">
        <v>38</v>
      </c>
      <c r="AB32" s="36">
        <f>6/9.5</f>
        <v>0.63157894736842102</v>
      </c>
      <c r="AC32" s="36" t="s">
        <v>39</v>
      </c>
      <c r="AD32" s="36">
        <f>7/9.5</f>
        <v>0.73684210526315785</v>
      </c>
      <c r="AE32" s="36" t="s">
        <v>38</v>
      </c>
      <c r="AF32" s="36">
        <f>9.5/9.5</f>
        <v>1</v>
      </c>
      <c r="AG32" s="36" t="s">
        <v>38</v>
      </c>
      <c r="AH32" s="36">
        <f>10/9.5</f>
        <v>1.0526315789473684</v>
      </c>
      <c r="AI32" s="36"/>
      <c r="AJ32" s="36"/>
      <c r="AK32" s="36"/>
      <c r="AL32" s="36"/>
      <c r="AM32" s="36"/>
      <c r="AN32" s="36"/>
      <c r="AO32" s="36" t="s">
        <v>39</v>
      </c>
      <c r="AP32" s="36">
        <f>6.5/9.5</f>
        <v>0.68421052631578949</v>
      </c>
      <c r="AQ32" s="36"/>
      <c r="AR32" s="36"/>
      <c r="AS32" s="36" t="s">
        <v>38</v>
      </c>
      <c r="AT32" s="36">
        <f>6.5/9.5</f>
        <v>0.68421052631578949</v>
      </c>
      <c r="AU32" s="36" t="s">
        <v>38</v>
      </c>
      <c r="AV32" s="36">
        <f>6.5/9.5</f>
        <v>0.68421052631578949</v>
      </c>
      <c r="AW32" s="36" t="s">
        <v>38</v>
      </c>
      <c r="AX32" s="36">
        <f>5.5/9.5</f>
        <v>0.57894736842105265</v>
      </c>
      <c r="AY32" s="36" t="s">
        <v>39</v>
      </c>
      <c r="AZ32" s="36">
        <f>9/9.5</f>
        <v>0.94736842105263153</v>
      </c>
      <c r="BA32" s="36"/>
      <c r="BB32" s="36"/>
      <c r="BC32" s="36"/>
      <c r="BD32" s="36"/>
      <c r="BE32" s="26" t="s">
        <v>58</v>
      </c>
      <c r="BF32" s="26" t="s">
        <v>59</v>
      </c>
      <c r="BG32" s="39">
        <v>4</v>
      </c>
      <c r="BH32" s="38">
        <v>4</v>
      </c>
      <c r="BI32" s="38">
        <v>3</v>
      </c>
      <c r="BJ32" s="38">
        <v>1</v>
      </c>
      <c r="BK32" s="38"/>
      <c r="BL32" s="38"/>
      <c r="BM32" s="38"/>
      <c r="BN32" s="38">
        <v>1</v>
      </c>
      <c r="BO32" s="37">
        <f t="shared" si="0"/>
        <v>7</v>
      </c>
      <c r="BP32" s="56">
        <f t="shared" si="1"/>
        <v>5</v>
      </c>
      <c r="BQ32" s="56">
        <f t="shared" si="2"/>
        <v>1</v>
      </c>
      <c r="BR32" s="57">
        <f t="shared" si="3"/>
        <v>1</v>
      </c>
      <c r="BS32" s="38"/>
      <c r="BT32" s="38"/>
      <c r="BU32" s="26"/>
      <c r="BV32" s="26">
        <v>1</v>
      </c>
      <c r="BW32" s="39">
        <f t="shared" si="4"/>
        <v>14</v>
      </c>
      <c r="BX32" s="78">
        <v>2</v>
      </c>
      <c r="BY32" s="63">
        <v>1</v>
      </c>
      <c r="BZ32" s="7"/>
      <c r="CA32" s="8"/>
      <c r="CB32" s="17"/>
      <c r="CC32" s="17"/>
    </row>
    <row r="33" spans="1:81" ht="16" x14ac:dyDescent="0.2">
      <c r="A33" s="109" t="s">
        <v>258</v>
      </c>
      <c r="B33" s="26">
        <v>37</v>
      </c>
      <c r="C33" s="109" t="s">
        <v>97</v>
      </c>
      <c r="D33" s="26">
        <v>1</v>
      </c>
      <c r="E33" s="26">
        <v>2</v>
      </c>
      <c r="F33" s="26">
        <v>2</v>
      </c>
      <c r="G33" s="26" t="s">
        <v>51</v>
      </c>
      <c r="H33" s="26">
        <v>4</v>
      </c>
      <c r="I33" s="26" t="s">
        <v>51</v>
      </c>
      <c r="J33" s="26" t="s">
        <v>60</v>
      </c>
      <c r="K33" s="26"/>
      <c r="L33" s="26">
        <v>5</v>
      </c>
      <c r="M33" s="40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 t="s">
        <v>39</v>
      </c>
      <c r="AD33" s="36">
        <f>2/8</f>
        <v>0.25</v>
      </c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 t="s">
        <v>39</v>
      </c>
      <c r="AV33" s="36">
        <f>2/8</f>
        <v>0.25</v>
      </c>
      <c r="AW33" s="36"/>
      <c r="AX33" s="36"/>
      <c r="AY33" s="36"/>
      <c r="AZ33" s="36"/>
      <c r="BA33" s="36"/>
      <c r="BB33" s="36"/>
      <c r="BC33" s="36"/>
      <c r="BD33" s="36"/>
      <c r="BE33" s="26"/>
      <c r="BF33" s="26"/>
      <c r="BG33" s="37"/>
      <c r="BH33" s="26"/>
      <c r="BI33" s="26"/>
      <c r="BJ33" s="26"/>
      <c r="BK33" s="26"/>
      <c r="BL33" s="26"/>
      <c r="BM33" s="26"/>
      <c r="BO33" s="37">
        <f t="shared" si="0"/>
        <v>0</v>
      </c>
      <c r="BP33" s="56">
        <f t="shared" si="1"/>
        <v>0</v>
      </c>
      <c r="BQ33" s="56">
        <f t="shared" si="2"/>
        <v>0</v>
      </c>
      <c r="BR33" s="57">
        <f t="shared" si="3"/>
        <v>0</v>
      </c>
      <c r="BS33" s="38"/>
      <c r="BT33" s="38"/>
      <c r="BU33" s="26"/>
      <c r="BV33" s="26"/>
      <c r="BW33" s="39">
        <f t="shared" si="4"/>
        <v>0</v>
      </c>
      <c r="BX33" s="78">
        <v>0</v>
      </c>
      <c r="BY33" s="63">
        <v>7</v>
      </c>
    </row>
    <row r="34" spans="1:81" ht="16" x14ac:dyDescent="0.2">
      <c r="A34" s="109" t="s">
        <v>258</v>
      </c>
      <c r="B34" s="26">
        <v>37</v>
      </c>
      <c r="C34" s="109" t="s">
        <v>97</v>
      </c>
      <c r="D34" s="26">
        <v>2</v>
      </c>
      <c r="E34" s="26">
        <v>2</v>
      </c>
      <c r="F34" s="26">
        <v>2</v>
      </c>
      <c r="G34" s="26" t="s">
        <v>51</v>
      </c>
      <c r="H34" s="26">
        <v>4</v>
      </c>
      <c r="I34" s="26" t="s">
        <v>51</v>
      </c>
      <c r="J34" s="26" t="s">
        <v>42</v>
      </c>
      <c r="K34" s="26"/>
      <c r="L34" s="26">
        <v>6</v>
      </c>
      <c r="M34" s="40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 t="s">
        <v>39</v>
      </c>
      <c r="AR34" s="36">
        <f>8/8</f>
        <v>1</v>
      </c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26"/>
      <c r="BF34" s="26"/>
      <c r="BG34" s="37"/>
      <c r="BH34" s="26"/>
      <c r="BI34" s="26">
        <v>1</v>
      </c>
      <c r="BJ34" s="26"/>
      <c r="BK34" s="26"/>
      <c r="BL34" s="26"/>
      <c r="BM34" s="26"/>
      <c r="BO34" s="37">
        <f t="shared" si="0"/>
        <v>1</v>
      </c>
      <c r="BP34" s="56">
        <f t="shared" si="1"/>
        <v>0</v>
      </c>
      <c r="BQ34" s="56">
        <f t="shared" si="2"/>
        <v>0</v>
      </c>
      <c r="BR34" s="57">
        <f t="shared" si="3"/>
        <v>0</v>
      </c>
      <c r="BS34" s="38"/>
      <c r="BT34" s="38"/>
      <c r="BU34" s="26"/>
      <c r="BV34" s="26"/>
      <c r="BW34" s="39">
        <f t="shared" si="4"/>
        <v>1</v>
      </c>
      <c r="BX34" s="78">
        <v>1</v>
      </c>
      <c r="BY34" s="63">
        <v>8</v>
      </c>
    </row>
    <row r="35" spans="1:81" ht="16" x14ac:dyDescent="0.2">
      <c r="A35" s="109" t="s">
        <v>258</v>
      </c>
      <c r="B35" s="26">
        <v>37</v>
      </c>
      <c r="C35" s="109" t="s">
        <v>97</v>
      </c>
      <c r="D35" s="26">
        <v>3</v>
      </c>
      <c r="E35" s="26">
        <v>2</v>
      </c>
      <c r="F35" s="26">
        <v>2</v>
      </c>
      <c r="G35" s="26" t="s">
        <v>51</v>
      </c>
      <c r="H35" s="26">
        <v>5</v>
      </c>
      <c r="I35" s="26" t="s">
        <v>50</v>
      </c>
      <c r="J35" s="26"/>
      <c r="K35" s="26" t="s">
        <v>47</v>
      </c>
      <c r="L35" s="26">
        <v>6</v>
      </c>
      <c r="M35" s="40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 t="s">
        <v>61</v>
      </c>
      <c r="AD35" s="36">
        <v>0.75</v>
      </c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 t="s">
        <v>40</v>
      </c>
      <c r="AV35" s="36">
        <f>4.5/8</f>
        <v>0.5625</v>
      </c>
      <c r="AW35" s="36"/>
      <c r="AX35" s="36"/>
      <c r="AY35" s="36"/>
      <c r="AZ35" s="36"/>
      <c r="BA35" s="36"/>
      <c r="BB35" s="36"/>
      <c r="BC35" s="36" t="s">
        <v>38</v>
      </c>
      <c r="BD35" s="36">
        <f>8/8</f>
        <v>1</v>
      </c>
      <c r="BE35" s="26"/>
      <c r="BF35" s="26"/>
      <c r="BG35" s="37">
        <v>1</v>
      </c>
      <c r="BH35" s="26"/>
      <c r="BI35" s="26"/>
      <c r="BJ35" s="26"/>
      <c r="BK35" s="26"/>
      <c r="BL35" s="26"/>
      <c r="BM35" s="26"/>
      <c r="BN35" s="41">
        <v>1</v>
      </c>
      <c r="BO35" s="37">
        <f t="shared" si="0"/>
        <v>1</v>
      </c>
      <c r="BP35" s="56">
        <f t="shared" si="1"/>
        <v>0</v>
      </c>
      <c r="BQ35" s="56">
        <f t="shared" si="2"/>
        <v>1</v>
      </c>
      <c r="BR35" s="57">
        <f t="shared" si="3"/>
        <v>1</v>
      </c>
      <c r="BS35" s="38">
        <v>1</v>
      </c>
      <c r="BT35" s="38"/>
      <c r="BU35" s="26"/>
      <c r="BV35" s="26"/>
      <c r="BW35" s="39">
        <f t="shared" si="4"/>
        <v>3</v>
      </c>
      <c r="BX35" s="78">
        <v>2</v>
      </c>
      <c r="BY35" s="63">
        <v>3</v>
      </c>
    </row>
    <row r="36" spans="1:81" ht="16" x14ac:dyDescent="0.2">
      <c r="A36" s="109" t="s">
        <v>258</v>
      </c>
      <c r="B36" s="26">
        <v>37</v>
      </c>
      <c r="C36" s="109" t="s">
        <v>97</v>
      </c>
      <c r="D36" s="26">
        <v>4</v>
      </c>
      <c r="E36" s="26">
        <v>2</v>
      </c>
      <c r="F36" s="26">
        <v>4</v>
      </c>
      <c r="G36" s="26" t="s">
        <v>50</v>
      </c>
      <c r="H36" s="26">
        <v>7</v>
      </c>
      <c r="I36" s="26"/>
      <c r="J36" s="26"/>
      <c r="K36" s="26">
        <v>8</v>
      </c>
      <c r="L36" s="26">
        <v>6</v>
      </c>
      <c r="M36" s="40" t="s">
        <v>38</v>
      </c>
      <c r="N36" s="36">
        <f>3/8</f>
        <v>0.375</v>
      </c>
      <c r="O36" s="36" t="s">
        <v>39</v>
      </c>
      <c r="P36" s="36">
        <f>3/8</f>
        <v>0.375</v>
      </c>
      <c r="Q36" s="36" t="s">
        <v>38</v>
      </c>
      <c r="R36" s="36">
        <f>3/8</f>
        <v>0.375</v>
      </c>
      <c r="S36" s="36"/>
      <c r="T36" s="36"/>
      <c r="U36" s="36" t="s">
        <v>39</v>
      </c>
      <c r="V36" s="36">
        <f>4.5/8</f>
        <v>0.5625</v>
      </c>
      <c r="W36" s="36" t="s">
        <v>38</v>
      </c>
      <c r="X36" s="36">
        <f>3/8</f>
        <v>0.375</v>
      </c>
      <c r="Y36" s="36" t="s">
        <v>39</v>
      </c>
      <c r="Z36" s="36">
        <f>4/8</f>
        <v>0.5</v>
      </c>
      <c r="AA36" s="36"/>
      <c r="AB36" s="36"/>
      <c r="AC36" s="36"/>
      <c r="AD36" s="36"/>
      <c r="AE36" s="36" t="s">
        <v>38</v>
      </c>
      <c r="AF36" s="36">
        <f>3.5/8</f>
        <v>0.4375</v>
      </c>
      <c r="AG36" s="36" t="s">
        <v>39</v>
      </c>
      <c r="AH36" s="36">
        <f>5/8</f>
        <v>0.625</v>
      </c>
      <c r="AI36" s="36"/>
      <c r="AJ36" s="36"/>
      <c r="AK36" s="36"/>
      <c r="AL36" s="36"/>
      <c r="AM36" s="36" t="s">
        <v>38</v>
      </c>
      <c r="AN36" s="36">
        <f>3/8</f>
        <v>0.375</v>
      </c>
      <c r="AO36" s="36"/>
      <c r="AP36" s="36"/>
      <c r="AQ36" s="36"/>
      <c r="AR36" s="36"/>
      <c r="AS36" s="36"/>
      <c r="AT36" s="36"/>
      <c r="AU36" s="36" t="s">
        <v>38</v>
      </c>
      <c r="AV36" s="36">
        <f>3.5/8</f>
        <v>0.4375</v>
      </c>
      <c r="AW36" s="36" t="s">
        <v>39</v>
      </c>
      <c r="AX36" s="36">
        <f>2/8</f>
        <v>0.25</v>
      </c>
      <c r="AY36" s="36" t="s">
        <v>38</v>
      </c>
      <c r="AZ36" s="36">
        <f>3/8</f>
        <v>0.375</v>
      </c>
      <c r="BA36" s="36" t="s">
        <v>39</v>
      </c>
      <c r="BB36" s="36">
        <f>3.5/8</f>
        <v>0.4375</v>
      </c>
      <c r="BC36" s="36" t="s">
        <v>38</v>
      </c>
      <c r="BD36" s="36">
        <f>3.5/8</f>
        <v>0.4375</v>
      </c>
      <c r="BE36" s="26"/>
      <c r="BF36" s="26"/>
      <c r="BG36" s="37"/>
      <c r="BH36" s="26">
        <v>8</v>
      </c>
      <c r="BI36" s="26"/>
      <c r="BJ36" s="26">
        <v>5</v>
      </c>
      <c r="BK36" s="26"/>
      <c r="BL36" s="26"/>
      <c r="BM36" s="26"/>
      <c r="BO36" s="37">
        <f t="shared" si="0"/>
        <v>0</v>
      </c>
      <c r="BP36" s="56">
        <f t="shared" si="1"/>
        <v>13</v>
      </c>
      <c r="BQ36" s="56">
        <f t="shared" si="2"/>
        <v>0</v>
      </c>
      <c r="BR36" s="57">
        <f t="shared" si="3"/>
        <v>0</v>
      </c>
      <c r="BS36" s="38"/>
      <c r="BT36" s="38"/>
      <c r="BU36" s="26"/>
      <c r="BV36" s="26"/>
      <c r="BW36" s="39">
        <f t="shared" si="4"/>
        <v>13</v>
      </c>
      <c r="BX36" s="78">
        <v>3</v>
      </c>
      <c r="BY36" s="63">
        <v>1</v>
      </c>
    </row>
    <row r="37" spans="1:81" x14ac:dyDescent="0.2">
      <c r="A37" s="109" t="s">
        <v>258</v>
      </c>
      <c r="B37" s="26">
        <v>37</v>
      </c>
      <c r="C37" s="109" t="s">
        <v>97</v>
      </c>
      <c r="D37" s="26">
        <v>5</v>
      </c>
      <c r="E37" s="26">
        <v>2</v>
      </c>
      <c r="F37" s="26">
        <v>2</v>
      </c>
      <c r="G37" s="26" t="s">
        <v>51</v>
      </c>
      <c r="H37" s="26">
        <v>4</v>
      </c>
      <c r="I37" s="26" t="s">
        <v>51</v>
      </c>
      <c r="J37" s="26" t="s">
        <v>41</v>
      </c>
      <c r="K37" s="26"/>
      <c r="L37" s="26">
        <v>5</v>
      </c>
      <c r="M37" s="40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26"/>
      <c r="BF37" s="26"/>
      <c r="BG37" s="37"/>
      <c r="BH37" s="26"/>
      <c r="BI37" s="26"/>
      <c r="BJ37" s="26"/>
      <c r="BK37" s="26"/>
      <c r="BL37" s="26"/>
      <c r="BM37" s="26"/>
      <c r="BO37" s="37">
        <f t="shared" si="0"/>
        <v>0</v>
      </c>
      <c r="BP37" s="56">
        <f t="shared" si="1"/>
        <v>0</v>
      </c>
      <c r="BQ37" s="56">
        <f t="shared" si="2"/>
        <v>0</v>
      </c>
      <c r="BR37" s="57">
        <f t="shared" si="3"/>
        <v>0</v>
      </c>
      <c r="BS37" s="38"/>
      <c r="BT37" s="38"/>
      <c r="BU37" s="26"/>
      <c r="BV37" s="26"/>
      <c r="BW37" s="39">
        <f t="shared" si="4"/>
        <v>0</v>
      </c>
      <c r="BX37" s="78">
        <v>0</v>
      </c>
      <c r="BY37" s="63">
        <v>10</v>
      </c>
    </row>
    <row r="38" spans="1:81" x14ac:dyDescent="0.2">
      <c r="A38" s="109" t="s">
        <v>258</v>
      </c>
      <c r="B38" s="26">
        <v>37</v>
      </c>
      <c r="C38" s="109" t="s">
        <v>97</v>
      </c>
      <c r="D38" s="26">
        <v>6</v>
      </c>
      <c r="E38" s="26">
        <v>2</v>
      </c>
      <c r="F38" s="26">
        <v>2</v>
      </c>
      <c r="G38" s="26" t="s">
        <v>51</v>
      </c>
      <c r="H38" s="26">
        <v>4</v>
      </c>
      <c r="I38" s="26" t="s">
        <v>51</v>
      </c>
      <c r="J38" s="26" t="s">
        <v>41</v>
      </c>
      <c r="K38" s="26"/>
      <c r="L38" s="26">
        <v>5</v>
      </c>
      <c r="M38" s="40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26"/>
      <c r="BF38" s="26"/>
      <c r="BG38" s="37"/>
      <c r="BH38" s="26"/>
      <c r="BI38" s="26"/>
      <c r="BJ38" s="26"/>
      <c r="BK38" s="26"/>
      <c r="BL38" s="26"/>
      <c r="BM38" s="26"/>
      <c r="BO38" s="37">
        <f t="shared" si="0"/>
        <v>0</v>
      </c>
      <c r="BP38" s="56">
        <f t="shared" si="1"/>
        <v>0</v>
      </c>
      <c r="BQ38" s="56">
        <f t="shared" si="2"/>
        <v>0</v>
      </c>
      <c r="BR38" s="57">
        <f t="shared" si="3"/>
        <v>0</v>
      </c>
      <c r="BS38" s="38"/>
      <c r="BT38" s="38"/>
      <c r="BU38" s="26"/>
      <c r="BV38" s="26"/>
      <c r="BW38" s="39">
        <f t="shared" si="4"/>
        <v>0</v>
      </c>
      <c r="BX38" s="78">
        <v>0</v>
      </c>
      <c r="BY38" s="63">
        <v>10</v>
      </c>
    </row>
    <row r="39" spans="1:81" x14ac:dyDescent="0.2">
      <c r="A39" s="111" t="s">
        <v>259</v>
      </c>
      <c r="B39" s="26">
        <v>36</v>
      </c>
      <c r="C39" s="109" t="s">
        <v>98</v>
      </c>
      <c r="D39" s="26">
        <v>2</v>
      </c>
      <c r="E39" s="26">
        <v>2</v>
      </c>
      <c r="F39" s="26">
        <v>2</v>
      </c>
      <c r="G39" s="26" t="s">
        <v>51</v>
      </c>
      <c r="H39" s="26">
        <v>4</v>
      </c>
      <c r="I39" s="26" t="s">
        <v>51</v>
      </c>
      <c r="J39" s="26" t="s">
        <v>41</v>
      </c>
      <c r="K39" s="26"/>
      <c r="L39" s="26">
        <v>5</v>
      </c>
      <c r="M39" s="40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26"/>
      <c r="BF39" s="26"/>
      <c r="BG39" s="39"/>
      <c r="BH39" s="38"/>
      <c r="BI39" s="38"/>
      <c r="BJ39" s="38"/>
      <c r="BK39" s="38"/>
      <c r="BL39" s="38"/>
      <c r="BM39" s="38"/>
      <c r="BN39" s="38"/>
      <c r="BO39" s="37">
        <f t="shared" si="0"/>
        <v>0</v>
      </c>
      <c r="BP39" s="56">
        <f t="shared" si="1"/>
        <v>0</v>
      </c>
      <c r="BQ39" s="56">
        <f t="shared" si="2"/>
        <v>0</v>
      </c>
      <c r="BR39" s="57">
        <f t="shared" si="3"/>
        <v>0</v>
      </c>
      <c r="BS39" s="38"/>
      <c r="BT39" s="38"/>
      <c r="BU39" s="26"/>
      <c r="BV39" s="26"/>
      <c r="BW39" s="39">
        <f t="shared" si="4"/>
        <v>0</v>
      </c>
      <c r="BX39" s="78">
        <v>0</v>
      </c>
      <c r="BY39" s="63">
        <v>10</v>
      </c>
      <c r="BZ39" s="7"/>
      <c r="CA39" s="8"/>
      <c r="CB39" s="17"/>
      <c r="CC39" s="17"/>
    </row>
    <row r="40" spans="1:81" ht="16" x14ac:dyDescent="0.2">
      <c r="A40" s="111" t="s">
        <v>259</v>
      </c>
      <c r="B40" s="26">
        <v>36</v>
      </c>
      <c r="C40" s="109" t="s">
        <v>98</v>
      </c>
      <c r="D40" s="26">
        <v>3</v>
      </c>
      <c r="E40" s="26">
        <v>2</v>
      </c>
      <c r="F40" s="26">
        <v>3</v>
      </c>
      <c r="G40" s="26" t="s">
        <v>56</v>
      </c>
      <c r="H40" s="26">
        <v>2</v>
      </c>
      <c r="I40" s="26" t="s">
        <v>62</v>
      </c>
      <c r="J40" s="26"/>
      <c r="K40" s="26" t="s">
        <v>47</v>
      </c>
      <c r="L40" s="26">
        <v>6</v>
      </c>
      <c r="M40" s="40" t="s">
        <v>39</v>
      </c>
      <c r="N40" s="36">
        <f>2.5/8</f>
        <v>0.3125</v>
      </c>
      <c r="O40" s="36"/>
      <c r="P40" s="36"/>
      <c r="Q40" s="36"/>
      <c r="R40" s="36"/>
      <c r="S40" s="36" t="s">
        <v>38</v>
      </c>
      <c r="T40" s="36">
        <f>3.5/8</f>
        <v>0.4375</v>
      </c>
      <c r="U40" s="36" t="s">
        <v>39</v>
      </c>
      <c r="V40" s="36">
        <f>3/8</f>
        <v>0.375</v>
      </c>
      <c r="W40" s="36"/>
      <c r="X40" s="36"/>
      <c r="Y40" s="36"/>
      <c r="Z40" s="36"/>
      <c r="AA40" s="36"/>
      <c r="AB40" s="36"/>
      <c r="AC40" s="36"/>
      <c r="AD40" s="36"/>
      <c r="AE40" s="36" t="s">
        <v>38</v>
      </c>
      <c r="AF40" s="36">
        <f>3.5/8</f>
        <v>0.4375</v>
      </c>
      <c r="AG40" s="36"/>
      <c r="AH40" s="36"/>
      <c r="AI40" s="36"/>
      <c r="AJ40" s="36"/>
      <c r="AK40" s="36" t="s">
        <v>38</v>
      </c>
      <c r="AL40" s="36">
        <f>3/8</f>
        <v>0.375</v>
      </c>
      <c r="AM40" s="36"/>
      <c r="AN40" s="36"/>
      <c r="AO40" s="36"/>
      <c r="AP40" s="36"/>
      <c r="AQ40" s="36"/>
      <c r="AR40" s="36"/>
      <c r="AS40" s="36"/>
      <c r="AT40" s="36"/>
      <c r="AU40" s="36" t="s">
        <v>39</v>
      </c>
      <c r="AV40" s="36">
        <f>3.5/8</f>
        <v>0.4375</v>
      </c>
      <c r="AW40" s="36"/>
      <c r="AX40" s="36"/>
      <c r="AY40" s="36"/>
      <c r="AZ40" s="36"/>
      <c r="BA40" s="36"/>
      <c r="BB40" s="36"/>
      <c r="BC40" s="36"/>
      <c r="BD40" s="36"/>
      <c r="BE40" s="26"/>
      <c r="BF40" s="26"/>
      <c r="BG40" s="39"/>
      <c r="BH40" s="38">
        <v>3</v>
      </c>
      <c r="BI40" s="38"/>
      <c r="BJ40" s="38">
        <v>3</v>
      </c>
      <c r="BK40" s="38"/>
      <c r="BL40" s="38"/>
      <c r="BM40" s="38"/>
      <c r="BN40" s="38"/>
      <c r="BO40" s="37">
        <f t="shared" si="0"/>
        <v>0</v>
      </c>
      <c r="BP40" s="56">
        <f t="shared" si="1"/>
        <v>6</v>
      </c>
      <c r="BQ40" s="56">
        <f t="shared" si="2"/>
        <v>0</v>
      </c>
      <c r="BR40" s="57">
        <f t="shared" si="3"/>
        <v>0</v>
      </c>
      <c r="BS40" s="38"/>
      <c r="BT40" s="38"/>
      <c r="BU40" s="26"/>
      <c r="BV40" s="26"/>
      <c r="BW40" s="39">
        <f t="shared" si="4"/>
        <v>6</v>
      </c>
      <c r="BX40" s="78">
        <v>3</v>
      </c>
      <c r="BY40" s="63">
        <v>3</v>
      </c>
      <c r="BZ40" s="7"/>
      <c r="CA40" s="8"/>
      <c r="CB40" s="17"/>
      <c r="CC40" s="17"/>
    </row>
    <row r="41" spans="1:81" ht="16" x14ac:dyDescent="0.2">
      <c r="A41" s="111" t="s">
        <v>259</v>
      </c>
      <c r="B41" s="26">
        <v>36</v>
      </c>
      <c r="C41" s="109" t="s">
        <v>98</v>
      </c>
      <c r="D41" s="26">
        <v>4</v>
      </c>
      <c r="E41" s="26">
        <v>2</v>
      </c>
      <c r="F41" s="26">
        <v>2</v>
      </c>
      <c r="G41" s="26" t="s">
        <v>51</v>
      </c>
      <c r="H41" s="26">
        <v>4</v>
      </c>
      <c r="I41" s="26" t="s">
        <v>51</v>
      </c>
      <c r="J41" s="26"/>
      <c r="K41" s="38" t="s">
        <v>63</v>
      </c>
      <c r="L41" s="26">
        <v>6</v>
      </c>
      <c r="M41" s="40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 t="s">
        <v>40</v>
      </c>
      <c r="AF41" s="36">
        <f>8/8</f>
        <v>1</v>
      </c>
      <c r="AG41" s="36"/>
      <c r="AH41" s="36"/>
      <c r="AI41" s="36"/>
      <c r="AJ41" s="36"/>
      <c r="AK41" s="36"/>
      <c r="AL41" s="36"/>
      <c r="AM41" s="36"/>
      <c r="AN41" s="36"/>
      <c r="AO41" s="36" t="s">
        <v>38</v>
      </c>
      <c r="AP41" s="36">
        <f>9/8</f>
        <v>1.125</v>
      </c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26"/>
      <c r="BF41" s="26"/>
      <c r="BG41" s="39">
        <v>1</v>
      </c>
      <c r="BH41" s="38"/>
      <c r="BI41" s="38"/>
      <c r="BJ41" s="38"/>
      <c r="BK41" s="38"/>
      <c r="BL41" s="38"/>
      <c r="BM41" s="38">
        <v>1</v>
      </c>
      <c r="BN41" s="38"/>
      <c r="BO41" s="37">
        <f t="shared" si="0"/>
        <v>1</v>
      </c>
      <c r="BP41" s="56">
        <f t="shared" si="1"/>
        <v>0</v>
      </c>
      <c r="BQ41" s="56">
        <f t="shared" si="2"/>
        <v>1</v>
      </c>
      <c r="BR41" s="57">
        <f t="shared" si="3"/>
        <v>0</v>
      </c>
      <c r="BS41" s="38"/>
      <c r="BT41" s="38"/>
      <c r="BU41" s="26"/>
      <c r="BV41" s="26"/>
      <c r="BW41" s="39">
        <f t="shared" si="4"/>
        <v>2</v>
      </c>
      <c r="BX41" s="78">
        <v>2</v>
      </c>
      <c r="BY41" s="63">
        <v>2</v>
      </c>
      <c r="BZ41" s="7"/>
      <c r="CA41" s="8"/>
      <c r="CB41" s="17"/>
      <c r="CC41" s="17"/>
    </row>
    <row r="42" spans="1:81" ht="16" x14ac:dyDescent="0.2">
      <c r="A42" s="111" t="s">
        <v>259</v>
      </c>
      <c r="B42" s="26">
        <v>36</v>
      </c>
      <c r="C42" s="109" t="s">
        <v>98</v>
      </c>
      <c r="D42" s="26">
        <v>5</v>
      </c>
      <c r="E42" s="26">
        <v>2</v>
      </c>
      <c r="F42" s="26">
        <v>1</v>
      </c>
      <c r="G42" s="26" t="s">
        <v>54</v>
      </c>
      <c r="H42" s="26">
        <v>3</v>
      </c>
      <c r="I42" s="26" t="s">
        <v>56</v>
      </c>
      <c r="J42" s="26"/>
      <c r="K42" s="26" t="s">
        <v>47</v>
      </c>
      <c r="L42" s="26">
        <v>6</v>
      </c>
      <c r="M42" s="40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 t="s">
        <v>39</v>
      </c>
      <c r="AP42" s="36">
        <f>8/8</f>
        <v>1</v>
      </c>
      <c r="AQ42" s="36" t="s">
        <v>38</v>
      </c>
      <c r="AR42" s="36">
        <f>2/8</f>
        <v>0.25</v>
      </c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26"/>
      <c r="BF42" s="26"/>
      <c r="BG42" s="39"/>
      <c r="BH42" s="38"/>
      <c r="BI42" s="38">
        <v>1</v>
      </c>
      <c r="BJ42" s="38"/>
      <c r="BK42" s="38"/>
      <c r="BL42" s="38"/>
      <c r="BM42" s="38"/>
      <c r="BN42" s="38"/>
      <c r="BO42" s="37">
        <f t="shared" si="0"/>
        <v>1</v>
      </c>
      <c r="BP42" s="56">
        <f t="shared" si="1"/>
        <v>0</v>
      </c>
      <c r="BQ42" s="56">
        <f t="shared" si="2"/>
        <v>0</v>
      </c>
      <c r="BR42" s="57">
        <f t="shared" si="3"/>
        <v>0</v>
      </c>
      <c r="BS42" s="38"/>
      <c r="BT42" s="38"/>
      <c r="BU42" s="26"/>
      <c r="BV42" s="26"/>
      <c r="BW42" s="39">
        <f t="shared" si="4"/>
        <v>1</v>
      </c>
      <c r="BX42" s="78">
        <v>1</v>
      </c>
      <c r="BY42" s="63">
        <v>3</v>
      </c>
      <c r="BZ42" s="7"/>
      <c r="CA42" s="8"/>
      <c r="CB42" s="17"/>
      <c r="CC42" s="17"/>
    </row>
    <row r="43" spans="1:81" ht="16" x14ac:dyDescent="0.2">
      <c r="A43" s="111" t="s">
        <v>259</v>
      </c>
      <c r="B43" s="26">
        <v>36</v>
      </c>
      <c r="C43" s="109" t="s">
        <v>98</v>
      </c>
      <c r="D43" s="26">
        <v>6</v>
      </c>
      <c r="E43" s="26">
        <v>2</v>
      </c>
      <c r="F43" s="26">
        <v>2</v>
      </c>
      <c r="G43" s="26" t="s">
        <v>51</v>
      </c>
      <c r="H43" s="26">
        <v>4</v>
      </c>
      <c r="I43" s="26" t="s">
        <v>51</v>
      </c>
      <c r="J43" s="26" t="s">
        <v>41</v>
      </c>
      <c r="K43" s="26"/>
      <c r="L43" s="26">
        <v>5</v>
      </c>
      <c r="M43" s="40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 t="s">
        <v>38</v>
      </c>
      <c r="Z43" s="36">
        <f>2/7</f>
        <v>0.2857142857142857</v>
      </c>
      <c r="AA43" s="36" t="s">
        <v>39</v>
      </c>
      <c r="AB43" s="36">
        <f>3/7</f>
        <v>0.42857142857142855</v>
      </c>
      <c r="AC43" s="36"/>
      <c r="AD43" s="36"/>
      <c r="AE43" s="36"/>
      <c r="AF43" s="36"/>
      <c r="AG43" s="36" t="s">
        <v>39</v>
      </c>
      <c r="AH43" s="36">
        <f>2.5/7</f>
        <v>0.35714285714285715</v>
      </c>
      <c r="AI43" s="36" t="s">
        <v>38</v>
      </c>
      <c r="AJ43" s="36">
        <f>2/7</f>
        <v>0.2857142857142857</v>
      </c>
      <c r="AK43" s="36"/>
      <c r="AL43" s="36"/>
      <c r="AM43" s="36" t="s">
        <v>39</v>
      </c>
      <c r="AN43" s="36">
        <f>3/7</f>
        <v>0.42857142857142855</v>
      </c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 t="s">
        <v>38</v>
      </c>
      <c r="AZ43" s="36">
        <f>2/7</f>
        <v>0.2857142857142857</v>
      </c>
      <c r="BA43" s="36"/>
      <c r="BB43" s="36"/>
      <c r="BC43" s="36" t="s">
        <v>38</v>
      </c>
      <c r="BD43" s="36">
        <f>2/7</f>
        <v>0.2857142857142857</v>
      </c>
      <c r="BE43" s="26"/>
      <c r="BF43" s="26"/>
      <c r="BG43" s="39"/>
      <c r="BH43" s="38"/>
      <c r="BI43" s="38"/>
      <c r="BJ43" s="38">
        <v>3</v>
      </c>
      <c r="BK43" s="38"/>
      <c r="BL43" s="38"/>
      <c r="BM43" s="38"/>
      <c r="BN43" s="38"/>
      <c r="BO43" s="37">
        <f t="shared" si="0"/>
        <v>0</v>
      </c>
      <c r="BP43" s="56">
        <f t="shared" si="1"/>
        <v>3</v>
      </c>
      <c r="BQ43" s="56">
        <f t="shared" si="2"/>
        <v>0</v>
      </c>
      <c r="BR43" s="57">
        <f t="shared" si="3"/>
        <v>0</v>
      </c>
      <c r="BS43" s="38"/>
      <c r="BT43" s="38"/>
      <c r="BU43" s="26"/>
      <c r="BV43" s="26"/>
      <c r="BW43" s="39">
        <f t="shared" si="4"/>
        <v>3</v>
      </c>
      <c r="BX43" s="78">
        <v>3</v>
      </c>
      <c r="BY43" s="63">
        <v>10</v>
      </c>
      <c r="BZ43" s="7"/>
      <c r="CA43" s="8"/>
      <c r="CB43" s="17"/>
      <c r="CC43" s="17"/>
    </row>
    <row r="44" spans="1:81" ht="16" x14ac:dyDescent="0.2">
      <c r="A44" s="111" t="s">
        <v>259</v>
      </c>
      <c r="B44" s="26">
        <v>36</v>
      </c>
      <c r="C44" s="109" t="s">
        <v>98</v>
      </c>
      <c r="D44" s="26">
        <v>7</v>
      </c>
      <c r="E44" s="26">
        <v>2</v>
      </c>
      <c r="F44" s="26">
        <v>2</v>
      </c>
      <c r="G44" s="26" t="s">
        <v>51</v>
      </c>
      <c r="H44" s="26">
        <v>4</v>
      </c>
      <c r="I44" s="26" t="s">
        <v>51</v>
      </c>
      <c r="J44" s="26"/>
      <c r="K44" s="26" t="s">
        <v>47</v>
      </c>
      <c r="L44" s="26">
        <v>6</v>
      </c>
      <c r="M44" s="40"/>
      <c r="N44" s="36"/>
      <c r="O44" s="36" t="s">
        <v>39</v>
      </c>
      <c r="P44" s="36">
        <f>6/7</f>
        <v>0.8571428571428571</v>
      </c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 t="s">
        <v>38</v>
      </c>
      <c r="AL44" s="36">
        <f>6/7</f>
        <v>0.8571428571428571</v>
      </c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26"/>
      <c r="BF44" s="26"/>
      <c r="BG44" s="39">
        <v>1</v>
      </c>
      <c r="BH44" s="38"/>
      <c r="BI44" s="38">
        <v>1</v>
      </c>
      <c r="BJ44" s="38"/>
      <c r="BK44" s="38"/>
      <c r="BL44" s="38"/>
      <c r="BM44" s="38"/>
      <c r="BN44" s="38"/>
      <c r="BO44" s="37">
        <f t="shared" si="0"/>
        <v>2</v>
      </c>
      <c r="BP44" s="56">
        <f t="shared" si="1"/>
        <v>0</v>
      </c>
      <c r="BQ44" s="56">
        <f t="shared" si="2"/>
        <v>0</v>
      </c>
      <c r="BR44" s="57">
        <f t="shared" si="3"/>
        <v>0</v>
      </c>
      <c r="BS44" s="38"/>
      <c r="BT44" s="38"/>
      <c r="BU44" s="26"/>
      <c r="BV44" s="26"/>
      <c r="BW44" s="39">
        <f t="shared" si="4"/>
        <v>2</v>
      </c>
      <c r="BX44" s="78">
        <v>1</v>
      </c>
      <c r="BY44" s="63">
        <v>3</v>
      </c>
      <c r="BZ44" s="7"/>
      <c r="CA44" s="8"/>
      <c r="CB44" s="17"/>
      <c r="CC44" s="17"/>
    </row>
    <row r="45" spans="1:81" ht="16" x14ac:dyDescent="0.2">
      <c r="A45" s="111" t="s">
        <v>259</v>
      </c>
      <c r="B45" s="26">
        <v>36</v>
      </c>
      <c r="C45" s="109" t="s">
        <v>98</v>
      </c>
      <c r="D45" s="26">
        <v>8</v>
      </c>
      <c r="E45" s="26">
        <v>2</v>
      </c>
      <c r="F45" s="26">
        <v>2</v>
      </c>
      <c r="G45" s="26" t="s">
        <v>51</v>
      </c>
      <c r="H45" s="26">
        <v>4</v>
      </c>
      <c r="I45" s="26" t="s">
        <v>51</v>
      </c>
      <c r="J45" s="26"/>
      <c r="K45" s="26" t="s">
        <v>47</v>
      </c>
      <c r="L45" s="26">
        <v>6</v>
      </c>
      <c r="M45" s="40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 t="s">
        <v>39</v>
      </c>
      <c r="AX45" s="36">
        <f>7/8</f>
        <v>0.875</v>
      </c>
      <c r="AY45" s="36"/>
      <c r="AZ45" s="36"/>
      <c r="BA45" s="36"/>
      <c r="BB45" s="36"/>
      <c r="BC45" s="36"/>
      <c r="BD45" s="36"/>
      <c r="BE45" s="26"/>
      <c r="BF45" s="26"/>
      <c r="BG45" s="39"/>
      <c r="BH45" s="38"/>
      <c r="BI45" s="38">
        <v>1</v>
      </c>
      <c r="BJ45" s="38"/>
      <c r="BK45" s="38"/>
      <c r="BL45" s="38"/>
      <c r="BM45" s="38"/>
      <c r="BN45" s="38"/>
      <c r="BO45" s="37">
        <f t="shared" si="0"/>
        <v>1</v>
      </c>
      <c r="BP45" s="56">
        <f t="shared" si="1"/>
        <v>0</v>
      </c>
      <c r="BQ45" s="56">
        <f t="shared" si="2"/>
        <v>0</v>
      </c>
      <c r="BR45" s="57">
        <f t="shared" si="3"/>
        <v>0</v>
      </c>
      <c r="BS45" s="38"/>
      <c r="BT45" s="38"/>
      <c r="BU45" s="26"/>
      <c r="BV45" s="26"/>
      <c r="BW45" s="39">
        <f t="shared" si="4"/>
        <v>1</v>
      </c>
      <c r="BX45" s="78">
        <v>1</v>
      </c>
      <c r="BY45" s="63">
        <v>3</v>
      </c>
      <c r="BZ45" s="7"/>
      <c r="CA45" s="8"/>
      <c r="CB45" s="17"/>
      <c r="CC45" s="17"/>
    </row>
    <row r="46" spans="1:81" ht="16" x14ac:dyDescent="0.2">
      <c r="A46" s="111" t="s">
        <v>260</v>
      </c>
      <c r="B46" s="42">
        <v>41</v>
      </c>
      <c r="C46" s="110" t="s">
        <v>99</v>
      </c>
      <c r="D46" s="42">
        <v>2</v>
      </c>
      <c r="E46" s="42">
        <v>2</v>
      </c>
      <c r="F46" s="36"/>
      <c r="G46" s="36"/>
      <c r="H46" s="36"/>
      <c r="I46" s="36"/>
      <c r="J46" s="42" t="s">
        <v>41</v>
      </c>
      <c r="K46" s="42"/>
      <c r="L46" s="42">
        <v>5</v>
      </c>
      <c r="M46" s="40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 t="s">
        <v>38</v>
      </c>
      <c r="BD46" s="36">
        <v>1</v>
      </c>
      <c r="BE46" s="36"/>
      <c r="BF46" s="36"/>
      <c r="BG46" s="39">
        <v>1</v>
      </c>
      <c r="BH46" s="38"/>
      <c r="BI46" s="38"/>
      <c r="BJ46" s="38"/>
      <c r="BK46" s="38"/>
      <c r="BL46" s="38"/>
      <c r="BM46" s="38"/>
      <c r="BN46" s="38"/>
      <c r="BO46" s="37">
        <f t="shared" si="0"/>
        <v>1</v>
      </c>
      <c r="BP46" s="56">
        <f t="shared" si="1"/>
        <v>0</v>
      </c>
      <c r="BQ46" s="56">
        <f t="shared" si="2"/>
        <v>0</v>
      </c>
      <c r="BR46" s="57">
        <f t="shared" si="3"/>
        <v>0</v>
      </c>
      <c r="BS46" s="38"/>
      <c r="BT46" s="38"/>
      <c r="BU46" s="26"/>
      <c r="BV46" s="26"/>
      <c r="BW46" s="39">
        <f t="shared" si="4"/>
        <v>1</v>
      </c>
      <c r="BX46" s="78">
        <v>1</v>
      </c>
      <c r="BY46" s="63">
        <v>10</v>
      </c>
      <c r="BZ46" s="7"/>
      <c r="CA46" s="8"/>
      <c r="CB46" s="17"/>
      <c r="CC46" s="17"/>
    </row>
    <row r="47" spans="1:81" ht="16" x14ac:dyDescent="0.2">
      <c r="A47" s="111" t="s">
        <v>260</v>
      </c>
      <c r="B47" s="42">
        <v>41</v>
      </c>
      <c r="C47" s="110" t="s">
        <v>99</v>
      </c>
      <c r="D47" s="42">
        <v>3</v>
      </c>
      <c r="E47" s="42">
        <v>2</v>
      </c>
      <c r="F47" s="36"/>
      <c r="G47" s="36"/>
      <c r="H47" s="36"/>
      <c r="I47" s="36"/>
      <c r="J47" s="42" t="s">
        <v>37</v>
      </c>
      <c r="K47" s="42"/>
      <c r="L47" s="42">
        <v>6</v>
      </c>
      <c r="M47" s="40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9"/>
      <c r="BH47" s="38"/>
      <c r="BI47" s="38"/>
      <c r="BJ47" s="38"/>
      <c r="BK47" s="38"/>
      <c r="BL47" s="38"/>
      <c r="BM47" s="38"/>
      <c r="BN47" s="38"/>
      <c r="BO47" s="37">
        <f t="shared" si="0"/>
        <v>0</v>
      </c>
      <c r="BP47" s="56">
        <f t="shared" si="1"/>
        <v>0</v>
      </c>
      <c r="BQ47" s="56">
        <f t="shared" si="2"/>
        <v>0</v>
      </c>
      <c r="BR47" s="57">
        <f t="shared" si="3"/>
        <v>0</v>
      </c>
      <c r="BS47" s="38"/>
      <c r="BT47" s="38"/>
      <c r="BU47" s="26"/>
      <c r="BV47" s="26"/>
      <c r="BW47" s="39">
        <f t="shared" si="4"/>
        <v>0</v>
      </c>
      <c r="BX47" s="78">
        <v>0</v>
      </c>
      <c r="BY47" s="63">
        <v>9</v>
      </c>
      <c r="BZ47" s="7"/>
      <c r="CA47" s="8"/>
      <c r="CB47" s="17"/>
      <c r="CC47" s="17"/>
    </row>
    <row r="48" spans="1:81" ht="16" x14ac:dyDescent="0.2">
      <c r="A48" s="111" t="s">
        <v>260</v>
      </c>
      <c r="B48" s="42">
        <v>41</v>
      </c>
      <c r="C48" s="110" t="s">
        <v>99</v>
      </c>
      <c r="D48" s="42">
        <v>4</v>
      </c>
      <c r="E48" s="42">
        <v>2</v>
      </c>
      <c r="F48" s="36"/>
      <c r="G48" s="36"/>
      <c r="H48" s="36"/>
      <c r="I48" s="36"/>
      <c r="J48" s="42" t="s">
        <v>44</v>
      </c>
      <c r="K48" s="42"/>
      <c r="L48" s="42">
        <v>7</v>
      </c>
      <c r="M48" s="40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 t="s">
        <v>39</v>
      </c>
      <c r="AR48" s="36">
        <f>8/9</f>
        <v>0.88888888888888884</v>
      </c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9"/>
      <c r="BH48" s="38"/>
      <c r="BI48" s="38">
        <v>1</v>
      </c>
      <c r="BJ48" s="38"/>
      <c r="BK48" s="38"/>
      <c r="BL48" s="38"/>
      <c r="BM48" s="38"/>
      <c r="BN48" s="38"/>
      <c r="BO48" s="37">
        <f t="shared" si="0"/>
        <v>1</v>
      </c>
      <c r="BP48" s="56">
        <f t="shared" si="1"/>
        <v>0</v>
      </c>
      <c r="BQ48" s="56">
        <f t="shared" si="2"/>
        <v>0</v>
      </c>
      <c r="BR48" s="57">
        <f t="shared" si="3"/>
        <v>0</v>
      </c>
      <c r="BS48" s="38"/>
      <c r="BT48" s="38"/>
      <c r="BU48" s="26"/>
      <c r="BV48" s="26"/>
      <c r="BW48" s="39">
        <f t="shared" si="4"/>
        <v>1</v>
      </c>
      <c r="BX48" s="78">
        <v>1</v>
      </c>
      <c r="BY48" s="63">
        <v>4</v>
      </c>
      <c r="BZ48" s="7"/>
      <c r="CA48" s="8"/>
      <c r="CB48" s="17"/>
      <c r="CC48" s="17"/>
    </row>
    <row r="49" spans="1:81" ht="16" x14ac:dyDescent="0.2">
      <c r="A49" s="111" t="s">
        <v>260</v>
      </c>
      <c r="B49" s="42">
        <v>41</v>
      </c>
      <c r="C49" s="110" t="s">
        <v>99</v>
      </c>
      <c r="D49" s="42">
        <v>5</v>
      </c>
      <c r="E49" s="42">
        <v>2</v>
      </c>
      <c r="F49" s="36"/>
      <c r="G49" s="36"/>
      <c r="H49" s="36"/>
      <c r="I49" s="36"/>
      <c r="J49" s="42" t="s">
        <v>44</v>
      </c>
      <c r="K49" s="42"/>
      <c r="L49" s="42">
        <v>7</v>
      </c>
      <c r="M49" s="40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 t="s">
        <v>39</v>
      </c>
      <c r="AP49" s="36">
        <f>5/11</f>
        <v>0.45454545454545453</v>
      </c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 t="s">
        <v>38</v>
      </c>
      <c r="BD49" s="36">
        <f>10.5/11</f>
        <v>0.95454545454545459</v>
      </c>
      <c r="BE49" s="36"/>
      <c r="BF49" s="36"/>
      <c r="BG49" s="39">
        <v>1</v>
      </c>
      <c r="BH49" s="38"/>
      <c r="BI49" s="38"/>
      <c r="BJ49" s="38">
        <v>1</v>
      </c>
      <c r="BK49" s="38"/>
      <c r="BL49" s="38"/>
      <c r="BM49" s="38"/>
      <c r="BN49" s="38"/>
      <c r="BO49" s="37">
        <f t="shared" si="0"/>
        <v>1</v>
      </c>
      <c r="BP49" s="56">
        <f t="shared" si="1"/>
        <v>1</v>
      </c>
      <c r="BQ49" s="56">
        <f t="shared" si="2"/>
        <v>0</v>
      </c>
      <c r="BR49" s="57">
        <f t="shared" si="3"/>
        <v>0</v>
      </c>
      <c r="BS49" s="38"/>
      <c r="BT49" s="38"/>
      <c r="BU49" s="26"/>
      <c r="BV49" s="26"/>
      <c r="BW49" s="39">
        <f t="shared" si="4"/>
        <v>2</v>
      </c>
      <c r="BX49" s="78">
        <v>2</v>
      </c>
      <c r="BY49" s="63">
        <v>4</v>
      </c>
      <c r="BZ49" s="7"/>
      <c r="CA49" s="8"/>
      <c r="CB49" s="17"/>
      <c r="CC49" s="17"/>
    </row>
    <row r="50" spans="1:81" ht="16" x14ac:dyDescent="0.2">
      <c r="A50" s="111" t="s">
        <v>260</v>
      </c>
      <c r="B50" s="42">
        <v>41</v>
      </c>
      <c r="C50" s="110" t="s">
        <v>99</v>
      </c>
      <c r="D50" s="42">
        <v>6</v>
      </c>
      <c r="E50" s="42">
        <v>2</v>
      </c>
      <c r="F50" s="36"/>
      <c r="G50" s="36"/>
      <c r="H50" s="36"/>
      <c r="I50" s="36"/>
      <c r="K50" s="42" t="s">
        <v>49</v>
      </c>
      <c r="L50" s="42">
        <v>7</v>
      </c>
      <c r="M50" s="40" t="s">
        <v>39</v>
      </c>
      <c r="N50" s="36">
        <f>4.5/9.5</f>
        <v>0.47368421052631576</v>
      </c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 t="s">
        <v>39</v>
      </c>
      <c r="AB50" s="36">
        <f>4/9.5</f>
        <v>0.42105263157894735</v>
      </c>
      <c r="AC50" s="36" t="s">
        <v>39</v>
      </c>
      <c r="AD50" s="36">
        <f>5/9.5</f>
        <v>0.52631578947368418</v>
      </c>
      <c r="AE50" s="36" t="s">
        <v>39</v>
      </c>
      <c r="AF50" s="36">
        <f>3/9.5</f>
        <v>0.31578947368421051</v>
      </c>
      <c r="AG50" s="36"/>
      <c r="AH50" s="36"/>
      <c r="AI50" s="36" t="s">
        <v>38</v>
      </c>
      <c r="AJ50" s="36">
        <f>2.5/9.5</f>
        <v>0.26315789473684209</v>
      </c>
      <c r="AK50" s="36" t="s">
        <v>39</v>
      </c>
      <c r="AL50" s="36">
        <f>3.5/9.5</f>
        <v>0.36842105263157893</v>
      </c>
      <c r="AM50" s="36" t="s">
        <v>38</v>
      </c>
      <c r="AN50" s="36">
        <f>3/11</f>
        <v>0.27272727272727271</v>
      </c>
      <c r="AO50" s="36" t="s">
        <v>39</v>
      </c>
      <c r="AP50" s="36">
        <f>3.5/9.5</f>
        <v>0.36842105263157893</v>
      </c>
      <c r="AQ50" s="36" t="s">
        <v>38</v>
      </c>
      <c r="AR50" s="36">
        <f>3/9.5</f>
        <v>0.31578947368421051</v>
      </c>
      <c r="AS50" s="36" t="s">
        <v>39</v>
      </c>
      <c r="AT50" s="36">
        <f>3/9.5</f>
        <v>0.31578947368421051</v>
      </c>
      <c r="AU50" s="36"/>
      <c r="AV50" s="36"/>
      <c r="AW50" s="36"/>
      <c r="AX50" s="36"/>
      <c r="AY50" s="36"/>
      <c r="AZ50" s="36"/>
      <c r="BA50" s="36"/>
      <c r="BB50" s="36"/>
      <c r="BC50" s="36" t="s">
        <v>39</v>
      </c>
      <c r="BD50" s="36">
        <f>2.5/9.5</f>
        <v>0.26315789473684209</v>
      </c>
      <c r="BE50" s="36"/>
      <c r="BF50" s="36"/>
      <c r="BG50" s="39"/>
      <c r="BH50" s="38">
        <v>1</v>
      </c>
      <c r="BI50" s="38"/>
      <c r="BJ50" s="38">
        <v>7</v>
      </c>
      <c r="BK50" s="38"/>
      <c r="BL50" s="38"/>
      <c r="BM50" s="38"/>
      <c r="BN50" s="38"/>
      <c r="BO50" s="37">
        <f t="shared" si="0"/>
        <v>0</v>
      </c>
      <c r="BP50" s="56">
        <f t="shared" si="1"/>
        <v>8</v>
      </c>
      <c r="BQ50" s="56">
        <f t="shared" si="2"/>
        <v>0</v>
      </c>
      <c r="BR50" s="57">
        <f t="shared" si="3"/>
        <v>0</v>
      </c>
      <c r="BS50" s="38"/>
      <c r="BT50" s="38"/>
      <c r="BU50" s="26"/>
      <c r="BV50" s="26"/>
      <c r="BW50" s="39">
        <f t="shared" si="4"/>
        <v>8</v>
      </c>
      <c r="BX50" s="78">
        <v>3</v>
      </c>
      <c r="BY50" s="63">
        <v>1</v>
      </c>
      <c r="BZ50" s="7"/>
      <c r="CA50" s="8"/>
      <c r="CB50" s="17"/>
      <c r="CC50" s="17"/>
    </row>
    <row r="51" spans="1:81" ht="16" x14ac:dyDescent="0.2">
      <c r="A51" s="111" t="s">
        <v>260</v>
      </c>
      <c r="B51" s="42">
        <v>41</v>
      </c>
      <c r="C51" s="110" t="s">
        <v>99</v>
      </c>
      <c r="D51" s="42">
        <v>8</v>
      </c>
      <c r="E51" s="42">
        <v>2</v>
      </c>
      <c r="F51" s="36"/>
      <c r="G51" s="36"/>
      <c r="H51" s="36"/>
      <c r="I51" s="36"/>
      <c r="K51" s="42" t="s">
        <v>49</v>
      </c>
      <c r="L51" s="42">
        <v>7</v>
      </c>
      <c r="M51" s="40"/>
      <c r="N51" s="36"/>
      <c r="O51" s="36"/>
      <c r="P51" s="36"/>
      <c r="Q51" s="36"/>
      <c r="R51" s="36"/>
      <c r="S51" s="36"/>
      <c r="T51" s="36"/>
      <c r="U51" s="36" t="s">
        <v>55</v>
      </c>
      <c r="V51" s="36">
        <f>6/9.5</f>
        <v>0.63157894736842102</v>
      </c>
      <c r="W51" s="36"/>
      <c r="X51" s="36"/>
      <c r="Y51" s="36"/>
      <c r="Z51" s="36"/>
      <c r="AA51" s="36" t="s">
        <v>55</v>
      </c>
      <c r="AB51" s="36">
        <f>12/9.5</f>
        <v>1.263157894736842</v>
      </c>
      <c r="AC51" s="36"/>
      <c r="AD51" s="36"/>
      <c r="AE51" s="36" t="s">
        <v>38</v>
      </c>
      <c r="AF51" s="36">
        <f>7.5/9.5</f>
        <v>0.78947368421052633</v>
      </c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 t="s">
        <v>39</v>
      </c>
      <c r="AR51" s="36">
        <f>7.5/9.5</f>
        <v>0.78947368421052633</v>
      </c>
      <c r="AS51" s="36"/>
      <c r="AT51" s="36"/>
      <c r="AU51" s="36"/>
      <c r="AV51" s="36"/>
      <c r="AW51" s="36"/>
      <c r="AX51" s="36"/>
      <c r="AY51" s="36" t="s">
        <v>38</v>
      </c>
      <c r="AZ51" s="36">
        <f>8.5/9.5</f>
        <v>0.89473684210526316</v>
      </c>
      <c r="BA51" s="36"/>
      <c r="BB51" s="36"/>
      <c r="BC51" s="36"/>
      <c r="BD51" s="36"/>
      <c r="BE51" s="36"/>
      <c r="BF51" s="36"/>
      <c r="BG51" s="39">
        <v>2</v>
      </c>
      <c r="BH51" s="38"/>
      <c r="BI51" s="38">
        <v>1</v>
      </c>
      <c r="BJ51" s="38"/>
      <c r="BK51" s="38">
        <v>1</v>
      </c>
      <c r="BL51" s="38">
        <v>1</v>
      </c>
      <c r="BM51" s="38"/>
      <c r="BN51" s="38"/>
      <c r="BO51" s="37">
        <f t="shared" si="0"/>
        <v>3</v>
      </c>
      <c r="BP51" s="56">
        <f t="shared" si="1"/>
        <v>0</v>
      </c>
      <c r="BQ51" s="56">
        <f t="shared" si="2"/>
        <v>1</v>
      </c>
      <c r="BR51" s="57">
        <f t="shared" si="3"/>
        <v>1</v>
      </c>
      <c r="BS51" s="38"/>
      <c r="BT51" s="38"/>
      <c r="BU51" s="26"/>
      <c r="BV51" s="26"/>
      <c r="BW51" s="39">
        <f t="shared" si="4"/>
        <v>5</v>
      </c>
      <c r="BX51" s="78">
        <v>2</v>
      </c>
      <c r="BY51" s="63">
        <v>1</v>
      </c>
      <c r="BZ51" s="7"/>
      <c r="CA51" s="8"/>
      <c r="CB51" s="17"/>
      <c r="CC51" s="17"/>
    </row>
    <row r="52" spans="1:81" ht="16" x14ac:dyDescent="0.2">
      <c r="A52" s="111" t="s">
        <v>260</v>
      </c>
      <c r="B52" s="42">
        <v>41</v>
      </c>
      <c r="C52" s="110" t="s">
        <v>99</v>
      </c>
      <c r="D52" s="42">
        <v>9</v>
      </c>
      <c r="E52" s="42">
        <v>2</v>
      </c>
      <c r="F52" s="36"/>
      <c r="G52" s="36"/>
      <c r="H52" s="36"/>
      <c r="I52" s="36"/>
      <c r="K52" s="42" t="s">
        <v>47</v>
      </c>
      <c r="L52" s="42">
        <v>7</v>
      </c>
      <c r="M52" s="40"/>
      <c r="N52" s="36"/>
      <c r="O52" s="36"/>
      <c r="P52" s="36"/>
      <c r="Q52" s="36" t="s">
        <v>39</v>
      </c>
      <c r="R52" s="36">
        <f>3/9.5</f>
        <v>0.31578947368421051</v>
      </c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 t="s">
        <v>61</v>
      </c>
      <c r="AD52" s="36">
        <f>5.5/9/5</f>
        <v>0.12222222222222223</v>
      </c>
      <c r="AE52" s="36"/>
      <c r="AF52" s="36"/>
      <c r="AG52" s="36"/>
      <c r="AH52" s="36"/>
      <c r="AI52" s="36"/>
      <c r="AJ52" s="36"/>
      <c r="AK52" s="36"/>
      <c r="AL52" s="36"/>
      <c r="AM52" s="36" t="s">
        <v>39</v>
      </c>
      <c r="AN52" s="36">
        <f>10.5/9.5</f>
        <v>1.1052631578947369</v>
      </c>
      <c r="AO52" s="36"/>
      <c r="AP52" s="36"/>
      <c r="AQ52" s="36"/>
      <c r="AR52" s="36"/>
      <c r="AS52" s="36"/>
      <c r="AT52" s="36"/>
      <c r="AU52" s="36" t="s">
        <v>39</v>
      </c>
      <c r="AV52" s="36">
        <f>8.5/9.5</f>
        <v>0.89473684210526316</v>
      </c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9"/>
      <c r="BH52" s="38"/>
      <c r="BI52" s="38">
        <v>2</v>
      </c>
      <c r="BJ52" s="38">
        <v>1</v>
      </c>
      <c r="BK52" s="38"/>
      <c r="BL52" s="38"/>
      <c r="BM52" s="38"/>
      <c r="BN52" s="38"/>
      <c r="BO52" s="37">
        <f t="shared" si="0"/>
        <v>2</v>
      </c>
      <c r="BP52" s="56">
        <f t="shared" si="1"/>
        <v>1</v>
      </c>
      <c r="BQ52" s="56">
        <f t="shared" si="2"/>
        <v>0</v>
      </c>
      <c r="BR52" s="57">
        <f t="shared" si="3"/>
        <v>0</v>
      </c>
      <c r="BS52" s="38"/>
      <c r="BT52" s="38"/>
      <c r="BU52" s="26"/>
      <c r="BV52" s="26"/>
      <c r="BW52" s="39">
        <f t="shared" si="4"/>
        <v>3</v>
      </c>
      <c r="BX52" s="78">
        <v>2</v>
      </c>
      <c r="BY52" s="63">
        <v>3</v>
      </c>
      <c r="BZ52" s="7"/>
      <c r="CA52" s="8"/>
      <c r="CB52" s="17"/>
      <c r="CC52" s="17"/>
    </row>
    <row r="53" spans="1:81" ht="16" x14ac:dyDescent="0.2">
      <c r="A53" s="109" t="s">
        <v>260</v>
      </c>
      <c r="B53" s="42">
        <v>41</v>
      </c>
      <c r="C53" s="110" t="s">
        <v>99</v>
      </c>
      <c r="D53" s="42">
        <v>10</v>
      </c>
      <c r="E53" s="42">
        <v>2</v>
      </c>
      <c r="F53" s="36"/>
      <c r="G53" s="36"/>
      <c r="H53" s="36"/>
      <c r="I53" s="36"/>
      <c r="K53" s="42" t="s">
        <v>63</v>
      </c>
      <c r="L53" s="42">
        <v>7</v>
      </c>
      <c r="M53" s="40"/>
      <c r="N53" s="36"/>
      <c r="O53" s="36"/>
      <c r="P53" s="36"/>
      <c r="Q53" s="36"/>
      <c r="R53" s="36"/>
      <c r="S53" s="36" t="s">
        <v>39</v>
      </c>
      <c r="T53" s="36">
        <f>18.5/10</f>
        <v>1.85</v>
      </c>
      <c r="U53" s="36"/>
      <c r="V53" s="36"/>
      <c r="W53" s="36" t="s">
        <v>43</v>
      </c>
      <c r="X53" s="36">
        <f>5/10</f>
        <v>0.5</v>
      </c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7"/>
      <c r="BH53" s="26"/>
      <c r="BI53" s="26">
        <v>1</v>
      </c>
      <c r="BJ53" s="26"/>
      <c r="BK53" s="26"/>
      <c r="BL53" s="26"/>
      <c r="BM53" s="26"/>
      <c r="BN53" s="26"/>
      <c r="BO53" s="37">
        <f t="shared" si="0"/>
        <v>1</v>
      </c>
      <c r="BP53" s="56">
        <f t="shared" si="1"/>
        <v>0</v>
      </c>
      <c r="BQ53" s="56">
        <f t="shared" si="2"/>
        <v>1</v>
      </c>
      <c r="BR53" s="57">
        <f t="shared" si="3"/>
        <v>0</v>
      </c>
      <c r="BS53" s="38">
        <v>1</v>
      </c>
      <c r="BT53" s="38"/>
      <c r="BU53" s="26"/>
      <c r="BV53" s="26"/>
      <c r="BW53" s="39">
        <f t="shared" si="4"/>
        <v>2</v>
      </c>
      <c r="BX53" s="78">
        <v>2</v>
      </c>
      <c r="BY53" s="63">
        <v>2</v>
      </c>
      <c r="BZ53" s="7"/>
      <c r="CA53" s="8"/>
      <c r="CB53" s="7"/>
      <c r="CC53" s="7"/>
    </row>
    <row r="54" spans="1:81" ht="16" x14ac:dyDescent="0.2">
      <c r="A54" s="109" t="s">
        <v>260</v>
      </c>
      <c r="B54" s="42">
        <v>41</v>
      </c>
      <c r="C54" s="110" t="s">
        <v>99</v>
      </c>
      <c r="D54" s="42">
        <v>11</v>
      </c>
      <c r="E54" s="42">
        <v>2</v>
      </c>
      <c r="F54" s="36"/>
      <c r="G54" s="36"/>
      <c r="H54" s="36"/>
      <c r="I54" s="36"/>
      <c r="K54" s="42" t="s">
        <v>49</v>
      </c>
      <c r="L54" s="42">
        <v>7</v>
      </c>
      <c r="M54" s="40" t="s">
        <v>38</v>
      </c>
      <c r="N54" s="36">
        <f>3/11.5</f>
        <v>0.2608695652173913</v>
      </c>
      <c r="O54" s="36"/>
      <c r="P54" s="36"/>
      <c r="Q54" s="36"/>
      <c r="R54" s="36"/>
      <c r="S54" s="36"/>
      <c r="T54" s="36"/>
      <c r="U54" s="36"/>
      <c r="V54" s="36"/>
      <c r="W54" s="36" t="s">
        <v>38</v>
      </c>
      <c r="X54" s="36">
        <f>3/11.5</f>
        <v>0.2608695652173913</v>
      </c>
      <c r="Y54" s="36" t="s">
        <v>38</v>
      </c>
      <c r="Z54" s="36">
        <f>10/11.5</f>
        <v>0.86956521739130432</v>
      </c>
      <c r="AA54" s="36"/>
      <c r="AB54" s="36"/>
      <c r="AC54" s="36" t="s">
        <v>40</v>
      </c>
      <c r="AD54" s="36">
        <f>7/11.5</f>
        <v>0.60869565217391308</v>
      </c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 t="s">
        <v>38</v>
      </c>
      <c r="AP54" s="36">
        <f>9.5/11.5</f>
        <v>0.82608695652173914</v>
      </c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7">
        <v>2</v>
      </c>
      <c r="BH54" s="26"/>
      <c r="BI54" s="26"/>
      <c r="BJ54" s="26"/>
      <c r="BK54" s="26"/>
      <c r="BL54" s="26"/>
      <c r="BM54" s="26"/>
      <c r="BN54" s="26">
        <v>1</v>
      </c>
      <c r="BO54" s="37">
        <f t="shared" si="0"/>
        <v>2</v>
      </c>
      <c r="BP54" s="56">
        <f t="shared" si="1"/>
        <v>0</v>
      </c>
      <c r="BQ54" s="56">
        <f t="shared" si="2"/>
        <v>0</v>
      </c>
      <c r="BR54" s="57">
        <f t="shared" si="3"/>
        <v>1</v>
      </c>
      <c r="BS54" s="38"/>
      <c r="BT54" s="38"/>
      <c r="BU54" s="26"/>
      <c r="BV54" s="26"/>
      <c r="BW54" s="39">
        <f t="shared" si="4"/>
        <v>3</v>
      </c>
      <c r="BX54" s="78">
        <v>2</v>
      </c>
      <c r="BY54" s="63">
        <v>1</v>
      </c>
      <c r="CB54" s="7"/>
      <c r="CC54" s="7"/>
    </row>
    <row r="55" spans="1:81" ht="16" x14ac:dyDescent="0.2">
      <c r="A55" s="109" t="s">
        <v>261</v>
      </c>
      <c r="B55" s="26">
        <v>42</v>
      </c>
      <c r="C55" s="109" t="s">
        <v>100</v>
      </c>
      <c r="D55" s="38">
        <v>1</v>
      </c>
      <c r="E55" s="38">
        <v>2</v>
      </c>
      <c r="F55" s="38">
        <v>2</v>
      </c>
      <c r="G55" s="38" t="s">
        <v>51</v>
      </c>
      <c r="H55" s="38">
        <v>6</v>
      </c>
      <c r="I55" s="38" t="s">
        <v>50</v>
      </c>
      <c r="J55" s="38"/>
      <c r="K55" s="38" t="s">
        <v>47</v>
      </c>
      <c r="L55" s="38">
        <v>6</v>
      </c>
      <c r="M55" s="40" t="s">
        <v>39</v>
      </c>
      <c r="N55" s="36">
        <f>8/16</f>
        <v>0.5</v>
      </c>
      <c r="O55" s="36"/>
      <c r="P55" s="36"/>
      <c r="Q55" s="36"/>
      <c r="R55" s="36"/>
      <c r="S55" s="36"/>
      <c r="T55" s="36"/>
      <c r="U55" s="36" t="s">
        <v>39</v>
      </c>
      <c r="V55" s="36">
        <f>8/16</f>
        <v>0.5</v>
      </c>
      <c r="W55" s="36" t="s">
        <v>38</v>
      </c>
      <c r="X55" s="36">
        <f>6/16</f>
        <v>0.375</v>
      </c>
      <c r="Y55" s="36" t="s">
        <v>39</v>
      </c>
      <c r="Z55" s="36">
        <f>5/16</f>
        <v>0.3125</v>
      </c>
      <c r="AA55" s="36" t="s">
        <v>39</v>
      </c>
      <c r="AB55" s="36">
        <f>7.5/16</f>
        <v>0.46875</v>
      </c>
      <c r="AC55" s="36"/>
      <c r="AD55" s="36"/>
      <c r="AE55" s="36" t="s">
        <v>38</v>
      </c>
      <c r="AF55" s="36">
        <f>11.5/16</f>
        <v>0.71875</v>
      </c>
      <c r="AG55" s="36" t="s">
        <v>38</v>
      </c>
      <c r="AH55" s="36">
        <f>7/16</f>
        <v>0.4375</v>
      </c>
      <c r="AI55" s="36" t="s">
        <v>38</v>
      </c>
      <c r="AJ55" s="36">
        <f>5/16</f>
        <v>0.3125</v>
      </c>
      <c r="AK55" s="36" t="s">
        <v>38</v>
      </c>
      <c r="AL55" s="36">
        <f>5/16</f>
        <v>0.3125</v>
      </c>
      <c r="AM55" s="36"/>
      <c r="AN55" s="36"/>
      <c r="AO55" s="36" t="s">
        <v>38</v>
      </c>
      <c r="AP55" s="36">
        <f>6/16</f>
        <v>0.375</v>
      </c>
      <c r="AQ55" s="36" t="s">
        <v>38</v>
      </c>
      <c r="AR55" s="36">
        <f>5/16</f>
        <v>0.3125</v>
      </c>
      <c r="AS55" s="36" t="s">
        <v>38</v>
      </c>
      <c r="AT55" s="36">
        <f>4/16</f>
        <v>0.25</v>
      </c>
      <c r="AU55" s="36" t="s">
        <v>39</v>
      </c>
      <c r="AV55" s="36">
        <f>5.5/16</f>
        <v>0.34375</v>
      </c>
      <c r="AW55" s="36"/>
      <c r="AX55" s="36"/>
      <c r="AY55" s="36"/>
      <c r="AZ55" s="36"/>
      <c r="BA55" s="36" t="s">
        <v>39</v>
      </c>
      <c r="BB55" s="36">
        <f>6.5/16</f>
        <v>0.40625</v>
      </c>
      <c r="BC55" s="36" t="s">
        <v>39</v>
      </c>
      <c r="BD55" s="36">
        <f>10/16</f>
        <v>0.625</v>
      </c>
      <c r="BE55" s="38"/>
      <c r="BF55" s="38"/>
      <c r="BG55" s="39">
        <v>1</v>
      </c>
      <c r="BH55" s="38">
        <v>6</v>
      </c>
      <c r="BI55" s="38"/>
      <c r="BJ55" s="38">
        <v>7</v>
      </c>
      <c r="BK55" s="38"/>
      <c r="BL55" s="38"/>
      <c r="BM55" s="38"/>
      <c r="BN55" s="38"/>
      <c r="BO55" s="37">
        <f t="shared" si="0"/>
        <v>1</v>
      </c>
      <c r="BP55" s="56">
        <f t="shared" si="1"/>
        <v>13</v>
      </c>
      <c r="BQ55" s="56">
        <f t="shared" si="2"/>
        <v>0</v>
      </c>
      <c r="BR55" s="57">
        <f t="shared" si="3"/>
        <v>0</v>
      </c>
      <c r="BS55" s="38"/>
      <c r="BT55" s="38"/>
      <c r="BU55" s="26"/>
      <c r="BV55" s="26"/>
      <c r="BW55" s="39">
        <f t="shared" si="4"/>
        <v>14</v>
      </c>
      <c r="BX55" s="78">
        <v>2</v>
      </c>
      <c r="BY55" s="63">
        <v>3</v>
      </c>
      <c r="BZ55" s="7"/>
      <c r="CA55" s="8"/>
      <c r="CB55" s="7"/>
      <c r="CC55" s="7"/>
    </row>
    <row r="56" spans="1:81" ht="16" x14ac:dyDescent="0.2">
      <c r="A56" s="109" t="s">
        <v>261</v>
      </c>
      <c r="B56" s="26">
        <v>42</v>
      </c>
      <c r="C56" s="109" t="s">
        <v>100</v>
      </c>
      <c r="D56" s="38">
        <v>2</v>
      </c>
      <c r="E56" s="38">
        <v>2</v>
      </c>
      <c r="F56" s="38" t="s">
        <v>53</v>
      </c>
      <c r="G56" s="38" t="s">
        <v>50</v>
      </c>
      <c r="H56" s="38"/>
      <c r="I56" s="38"/>
      <c r="J56" s="38"/>
      <c r="K56" s="38" t="s">
        <v>49</v>
      </c>
      <c r="L56" s="38">
        <v>6</v>
      </c>
      <c r="M56" s="40"/>
      <c r="N56" s="36"/>
      <c r="O56" s="36"/>
      <c r="P56" s="36"/>
      <c r="Q56" s="36"/>
      <c r="R56" s="36"/>
      <c r="S56" s="36"/>
      <c r="T56" s="36"/>
      <c r="U56" s="36"/>
      <c r="V56" s="36"/>
      <c r="W56" s="36" t="s">
        <v>55</v>
      </c>
      <c r="X56" s="36">
        <f>18.5/16</f>
        <v>1.15625</v>
      </c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 t="s">
        <v>48</v>
      </c>
      <c r="AR56" s="36">
        <f>14/16</f>
        <v>0.875</v>
      </c>
      <c r="AS56" s="36"/>
      <c r="AT56" s="36"/>
      <c r="AU56" s="36"/>
      <c r="AV56" s="36"/>
      <c r="AW56" s="36"/>
      <c r="AX56" s="36"/>
      <c r="AY56" s="36" t="s">
        <v>38</v>
      </c>
      <c r="AZ56" s="36">
        <f>10.5/16</f>
        <v>0.65625</v>
      </c>
      <c r="BA56" s="36" t="s">
        <v>39</v>
      </c>
      <c r="BB56" s="36">
        <f>21/16</f>
        <v>1.3125</v>
      </c>
      <c r="BC56" s="36"/>
      <c r="BD56" s="36"/>
      <c r="BE56" s="38"/>
      <c r="BF56" s="38"/>
      <c r="BG56" s="39"/>
      <c r="BH56" s="38">
        <v>1</v>
      </c>
      <c r="BI56" s="38">
        <v>1</v>
      </c>
      <c r="BJ56" s="38"/>
      <c r="BK56" s="38">
        <v>2</v>
      </c>
      <c r="BL56" s="38"/>
      <c r="BM56" s="38"/>
      <c r="BN56" s="38"/>
      <c r="BO56" s="37">
        <f t="shared" si="0"/>
        <v>1</v>
      </c>
      <c r="BP56" s="56">
        <f t="shared" si="1"/>
        <v>1</v>
      </c>
      <c r="BQ56" s="56">
        <f t="shared" si="2"/>
        <v>2</v>
      </c>
      <c r="BR56" s="57">
        <f t="shared" si="3"/>
        <v>0</v>
      </c>
      <c r="BS56" s="38"/>
      <c r="BT56" s="38"/>
      <c r="BU56" s="26"/>
      <c r="BV56" s="26"/>
      <c r="BW56" s="39">
        <f t="shared" si="4"/>
        <v>4</v>
      </c>
      <c r="BX56" s="78">
        <v>2</v>
      </c>
      <c r="BY56" s="63">
        <v>1</v>
      </c>
      <c r="BZ56" s="7"/>
      <c r="CA56" s="8"/>
      <c r="CB56" s="7"/>
      <c r="CC56" s="7"/>
    </row>
    <row r="57" spans="1:81" ht="16" x14ac:dyDescent="0.2">
      <c r="A57" s="109" t="s">
        <v>261</v>
      </c>
      <c r="B57" s="26">
        <v>42</v>
      </c>
      <c r="C57" s="109" t="s">
        <v>100</v>
      </c>
      <c r="D57" s="38">
        <v>3</v>
      </c>
      <c r="E57" s="38">
        <v>2</v>
      </c>
      <c r="F57" s="38">
        <v>2</v>
      </c>
      <c r="G57" s="38" t="s">
        <v>51</v>
      </c>
      <c r="H57" s="38">
        <v>4</v>
      </c>
      <c r="I57" s="38" t="s">
        <v>51</v>
      </c>
      <c r="J57" s="38" t="s">
        <v>42</v>
      </c>
      <c r="K57" s="26"/>
      <c r="L57" s="38">
        <v>6</v>
      </c>
      <c r="M57" s="40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 t="s">
        <v>38</v>
      </c>
      <c r="AD57" s="36">
        <f>15/16</f>
        <v>0.9375</v>
      </c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 t="s">
        <v>39</v>
      </c>
      <c r="AR57" s="36">
        <f>16/16</f>
        <v>1</v>
      </c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 t="s">
        <v>38</v>
      </c>
      <c r="BD57" s="36">
        <f>15/16</f>
        <v>0.9375</v>
      </c>
      <c r="BE57" s="38"/>
      <c r="BF57" s="38"/>
      <c r="BG57" s="39">
        <v>2</v>
      </c>
      <c r="BH57" s="38"/>
      <c r="BI57" s="38">
        <v>1</v>
      </c>
      <c r="BJ57" s="38"/>
      <c r="BK57" s="38"/>
      <c r="BL57" s="38"/>
      <c r="BM57" s="38"/>
      <c r="BN57" s="38"/>
      <c r="BO57" s="37">
        <f t="shared" si="0"/>
        <v>3</v>
      </c>
      <c r="BP57" s="56">
        <f t="shared" si="1"/>
        <v>0</v>
      </c>
      <c r="BQ57" s="56">
        <f t="shared" si="2"/>
        <v>0</v>
      </c>
      <c r="BR57" s="57">
        <f t="shared" si="3"/>
        <v>0</v>
      </c>
      <c r="BS57" s="38"/>
      <c r="BT57" s="38"/>
      <c r="BU57" s="26"/>
      <c r="BV57" s="26"/>
      <c r="BW57" s="39">
        <f t="shared" si="4"/>
        <v>3</v>
      </c>
      <c r="BX57" s="78">
        <v>1</v>
      </c>
      <c r="BY57" s="63">
        <v>8</v>
      </c>
      <c r="BZ57" s="7"/>
      <c r="CA57" s="8"/>
      <c r="CB57" s="7"/>
      <c r="CC57" s="7"/>
    </row>
    <row r="58" spans="1:81" ht="16" x14ac:dyDescent="0.2">
      <c r="A58" s="109" t="s">
        <v>261</v>
      </c>
      <c r="B58" s="26">
        <v>42</v>
      </c>
      <c r="C58" s="109" t="s">
        <v>100</v>
      </c>
      <c r="D58" s="38">
        <v>4</v>
      </c>
      <c r="E58" s="38">
        <v>2</v>
      </c>
      <c r="F58" s="38">
        <v>2</v>
      </c>
      <c r="G58" s="38" t="s">
        <v>51</v>
      </c>
      <c r="H58" s="38">
        <v>4</v>
      </c>
      <c r="I58" s="38" t="s">
        <v>51</v>
      </c>
      <c r="J58" s="38"/>
      <c r="K58" s="38" t="s">
        <v>49</v>
      </c>
      <c r="L58" s="38">
        <v>6</v>
      </c>
      <c r="M58" s="40"/>
      <c r="N58" s="36"/>
      <c r="O58" s="36" t="s">
        <v>40</v>
      </c>
      <c r="P58" s="36">
        <f>14/16</f>
        <v>0.875</v>
      </c>
      <c r="Q58" s="36"/>
      <c r="R58" s="36"/>
      <c r="S58" s="36"/>
      <c r="T58" s="36"/>
      <c r="U58" s="36" t="s">
        <v>38</v>
      </c>
      <c r="V58" s="36">
        <f>9.5/16</f>
        <v>0.59375</v>
      </c>
      <c r="W58" s="36"/>
      <c r="X58" s="36"/>
      <c r="Y58" s="36" t="s">
        <v>38</v>
      </c>
      <c r="Z58" s="36">
        <f>8.5/16</f>
        <v>0.53125</v>
      </c>
      <c r="AA58" s="36" t="s">
        <v>39</v>
      </c>
      <c r="AB58" s="36">
        <f>6.5/16</f>
        <v>0.40625</v>
      </c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 t="s">
        <v>39</v>
      </c>
      <c r="AP58" s="36">
        <f>14/16</f>
        <v>0.875</v>
      </c>
      <c r="AQ58" s="36"/>
      <c r="AR58" s="36"/>
      <c r="AS58" s="36" t="s">
        <v>39</v>
      </c>
      <c r="AT58" s="36">
        <f>6.5/16</f>
        <v>0.40625</v>
      </c>
      <c r="AU58" s="36"/>
      <c r="AV58" s="36"/>
      <c r="AW58" s="36" t="s">
        <v>38</v>
      </c>
      <c r="AX58" s="36">
        <f>14/16</f>
        <v>0.875</v>
      </c>
      <c r="AY58" s="36"/>
      <c r="AZ58" s="36"/>
      <c r="BA58" s="36"/>
      <c r="BB58" s="36"/>
      <c r="BC58" s="36" t="s">
        <v>39</v>
      </c>
      <c r="BD58" s="36">
        <f>13/16</f>
        <v>0.8125</v>
      </c>
      <c r="BE58" s="38"/>
      <c r="BF58" s="38"/>
      <c r="BG58" s="39">
        <v>1</v>
      </c>
      <c r="BH58" s="38">
        <v>2</v>
      </c>
      <c r="BI58" s="38">
        <v>2</v>
      </c>
      <c r="BJ58" s="38">
        <v>2</v>
      </c>
      <c r="BK58" s="38"/>
      <c r="BL58" s="38"/>
      <c r="BM58" s="38">
        <v>1</v>
      </c>
      <c r="BN58" s="38"/>
      <c r="BO58" s="37">
        <f t="shared" si="0"/>
        <v>3</v>
      </c>
      <c r="BP58" s="56">
        <f t="shared" si="1"/>
        <v>4</v>
      </c>
      <c r="BQ58" s="56">
        <f t="shared" si="2"/>
        <v>1</v>
      </c>
      <c r="BR58" s="57">
        <f t="shared" si="3"/>
        <v>0</v>
      </c>
      <c r="BS58" s="38"/>
      <c r="BT58" s="38"/>
      <c r="BU58" s="26"/>
      <c r="BV58" s="26"/>
      <c r="BW58" s="39">
        <f t="shared" si="4"/>
        <v>8</v>
      </c>
      <c r="BX58" s="78">
        <v>2</v>
      </c>
      <c r="BY58" s="63">
        <v>1</v>
      </c>
      <c r="BZ58" s="7"/>
      <c r="CA58" s="8"/>
      <c r="CB58" s="7"/>
      <c r="CC58" s="7"/>
    </row>
    <row r="59" spans="1:81" ht="16" x14ac:dyDescent="0.2">
      <c r="A59" s="109" t="s">
        <v>261</v>
      </c>
      <c r="B59" s="26">
        <v>42</v>
      </c>
      <c r="C59" s="109" t="s">
        <v>100</v>
      </c>
      <c r="D59" s="38">
        <v>5</v>
      </c>
      <c r="E59" s="38">
        <v>2</v>
      </c>
      <c r="F59" s="38">
        <v>2</v>
      </c>
      <c r="G59" s="38" t="s">
        <v>51</v>
      </c>
      <c r="H59" s="38">
        <v>4</v>
      </c>
      <c r="I59" s="38" t="s">
        <v>51</v>
      </c>
      <c r="J59" s="38" t="s">
        <v>37</v>
      </c>
      <c r="K59" s="26"/>
      <c r="L59" s="38">
        <v>6</v>
      </c>
      <c r="M59" s="40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 t="s">
        <v>38</v>
      </c>
      <c r="AH59" s="36">
        <f>31/16</f>
        <v>1.9375</v>
      </c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 t="s">
        <v>38</v>
      </c>
      <c r="AT59" s="36">
        <f>16/16</f>
        <v>1</v>
      </c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8"/>
      <c r="BF59" s="38"/>
      <c r="BG59" s="39">
        <v>2</v>
      </c>
      <c r="BH59" s="38"/>
      <c r="BI59" s="38"/>
      <c r="BJ59" s="38"/>
      <c r="BK59" s="38"/>
      <c r="BL59" s="38"/>
      <c r="BM59" s="38"/>
      <c r="BN59" s="38"/>
      <c r="BO59" s="37">
        <f t="shared" si="0"/>
        <v>2</v>
      </c>
      <c r="BP59" s="56">
        <f t="shared" si="1"/>
        <v>0</v>
      </c>
      <c r="BQ59" s="56">
        <f t="shared" si="2"/>
        <v>0</v>
      </c>
      <c r="BR59" s="57">
        <f t="shared" si="3"/>
        <v>0</v>
      </c>
      <c r="BS59" s="38"/>
      <c r="BT59" s="38"/>
      <c r="BU59" s="26"/>
      <c r="BV59" s="26"/>
      <c r="BW59" s="39">
        <f t="shared" si="4"/>
        <v>2</v>
      </c>
      <c r="BX59" s="78">
        <v>1</v>
      </c>
      <c r="BY59" s="63">
        <v>9</v>
      </c>
      <c r="BZ59" s="7"/>
      <c r="CA59" s="8"/>
      <c r="CB59" s="7"/>
      <c r="CC59" s="7"/>
    </row>
    <row r="60" spans="1:81" ht="16" x14ac:dyDescent="0.2">
      <c r="A60" s="109" t="s">
        <v>261</v>
      </c>
      <c r="B60" s="26">
        <v>42</v>
      </c>
      <c r="C60" s="109" t="s">
        <v>100</v>
      </c>
      <c r="D60" s="38">
        <v>6</v>
      </c>
      <c r="E60" s="38">
        <v>2</v>
      </c>
      <c r="F60" s="38">
        <v>2</v>
      </c>
      <c r="G60" s="38" t="s">
        <v>51</v>
      </c>
      <c r="H60" s="38">
        <v>4</v>
      </c>
      <c r="I60" s="38" t="s">
        <v>51</v>
      </c>
      <c r="J60" s="38" t="s">
        <v>37</v>
      </c>
      <c r="K60" s="26"/>
      <c r="L60" s="38">
        <v>6</v>
      </c>
      <c r="M60" s="40"/>
      <c r="N60" s="36"/>
      <c r="O60" s="36"/>
      <c r="P60" s="36"/>
      <c r="Q60" s="36"/>
      <c r="R60" s="36"/>
      <c r="S60" s="36"/>
      <c r="T60" s="36"/>
      <c r="U60" s="36"/>
      <c r="V60" s="36"/>
      <c r="W60" s="36" t="s">
        <v>38</v>
      </c>
      <c r="X60" s="36">
        <f>5/16</f>
        <v>0.3125</v>
      </c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 t="s">
        <v>39</v>
      </c>
      <c r="AR60" s="36">
        <f>17/16</f>
        <v>1.0625</v>
      </c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8"/>
      <c r="BF60" s="38"/>
      <c r="BG60" s="39"/>
      <c r="BH60" s="38">
        <v>1</v>
      </c>
      <c r="BI60" s="38">
        <v>1</v>
      </c>
      <c r="BJ60" s="38"/>
      <c r="BK60" s="38"/>
      <c r="BL60" s="38"/>
      <c r="BM60" s="38"/>
      <c r="BN60" s="38"/>
      <c r="BO60" s="37">
        <f t="shared" si="0"/>
        <v>1</v>
      </c>
      <c r="BP60" s="56">
        <f t="shared" si="1"/>
        <v>1</v>
      </c>
      <c r="BQ60" s="56">
        <f t="shared" si="2"/>
        <v>0</v>
      </c>
      <c r="BR60" s="57">
        <f t="shared" si="3"/>
        <v>0</v>
      </c>
      <c r="BS60" s="38"/>
      <c r="BT60" s="38"/>
      <c r="BU60" s="26"/>
      <c r="BV60" s="26"/>
      <c r="BW60" s="39">
        <f t="shared" si="4"/>
        <v>2</v>
      </c>
      <c r="BX60" s="78">
        <v>2</v>
      </c>
      <c r="BY60" s="63">
        <v>9</v>
      </c>
      <c r="BZ60" s="7"/>
      <c r="CA60" s="8"/>
      <c r="CB60" s="7"/>
      <c r="CC60" s="7"/>
    </row>
    <row r="61" spans="1:81" ht="16" x14ac:dyDescent="0.2">
      <c r="A61" s="109" t="s">
        <v>261</v>
      </c>
      <c r="B61" s="26">
        <v>42</v>
      </c>
      <c r="C61" s="109" t="s">
        <v>100</v>
      </c>
      <c r="D61" s="38">
        <v>7</v>
      </c>
      <c r="E61" s="38">
        <v>2</v>
      </c>
      <c r="F61" s="38">
        <v>2</v>
      </c>
      <c r="G61" s="38" t="s">
        <v>51</v>
      </c>
      <c r="H61" s="38">
        <v>4</v>
      </c>
      <c r="I61" s="38" t="s">
        <v>51</v>
      </c>
      <c r="J61" s="38" t="s">
        <v>60</v>
      </c>
      <c r="K61" s="26"/>
      <c r="L61" s="38">
        <v>6</v>
      </c>
      <c r="M61" s="40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 t="s">
        <v>39</v>
      </c>
      <c r="Z61" s="36">
        <f>16/16</f>
        <v>1</v>
      </c>
      <c r="AA61" s="36" t="s">
        <v>38</v>
      </c>
      <c r="AB61" s="36">
        <f>15.5/16</f>
        <v>0.96875</v>
      </c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 t="s">
        <v>39</v>
      </c>
      <c r="BB61" s="36">
        <f>15/16</f>
        <v>0.9375</v>
      </c>
      <c r="BC61" s="36" t="s">
        <v>39</v>
      </c>
      <c r="BD61" s="36">
        <f>14.5/16</f>
        <v>0.90625</v>
      </c>
      <c r="BE61" s="38"/>
      <c r="BF61" s="38"/>
      <c r="BG61" s="39">
        <v>1</v>
      </c>
      <c r="BH61" s="38"/>
      <c r="BI61" s="38">
        <v>3</v>
      </c>
      <c r="BJ61" s="38"/>
      <c r="BK61" s="38"/>
      <c r="BL61" s="38"/>
      <c r="BM61" s="38"/>
      <c r="BN61" s="38"/>
      <c r="BO61" s="37">
        <f t="shared" si="0"/>
        <v>4</v>
      </c>
      <c r="BP61" s="56">
        <f t="shared" si="1"/>
        <v>0</v>
      </c>
      <c r="BQ61" s="56">
        <f t="shared" si="2"/>
        <v>0</v>
      </c>
      <c r="BR61" s="57">
        <f t="shared" si="3"/>
        <v>0</v>
      </c>
      <c r="BS61" s="38"/>
      <c r="BT61" s="38"/>
      <c r="BU61" s="26"/>
      <c r="BV61" s="26"/>
      <c r="BW61" s="39">
        <f t="shared" si="4"/>
        <v>4</v>
      </c>
      <c r="BX61" s="78">
        <v>1</v>
      </c>
      <c r="BY61" s="63">
        <v>7</v>
      </c>
      <c r="BZ61" s="7"/>
      <c r="CA61" s="8"/>
      <c r="CB61" s="7"/>
      <c r="CC61" s="7"/>
    </row>
    <row r="62" spans="1:81" ht="16" x14ac:dyDescent="0.2">
      <c r="A62" s="109" t="s">
        <v>261</v>
      </c>
      <c r="B62" s="26">
        <v>42</v>
      </c>
      <c r="C62" s="109" t="s">
        <v>101</v>
      </c>
      <c r="D62" s="38">
        <v>6</v>
      </c>
      <c r="E62" s="38">
        <v>2</v>
      </c>
      <c r="F62" s="38">
        <v>2</v>
      </c>
      <c r="G62" s="38" t="s">
        <v>51</v>
      </c>
      <c r="H62" s="38">
        <v>5</v>
      </c>
      <c r="I62" s="38" t="s">
        <v>50</v>
      </c>
      <c r="J62" s="38" t="s">
        <v>60</v>
      </c>
      <c r="K62" s="26"/>
      <c r="L62" s="38">
        <v>6</v>
      </c>
      <c r="M62" s="40"/>
      <c r="N62" s="36"/>
      <c r="O62" s="36"/>
      <c r="P62" s="36"/>
      <c r="Q62" s="36"/>
      <c r="R62" s="36"/>
      <c r="S62" s="36" t="s">
        <v>38</v>
      </c>
      <c r="T62" s="36">
        <f>8.5/16</f>
        <v>0.53125</v>
      </c>
      <c r="U62" s="36" t="s">
        <v>38</v>
      </c>
      <c r="V62" s="36">
        <f>7/16</f>
        <v>0.4375</v>
      </c>
      <c r="W62" s="36" t="s">
        <v>39</v>
      </c>
      <c r="X62" s="36">
        <f>5/16</f>
        <v>0.3125</v>
      </c>
      <c r="Y62" s="36"/>
      <c r="Z62" s="36"/>
      <c r="AA62" s="36" t="s">
        <v>39</v>
      </c>
      <c r="AB62" s="36">
        <f>11.5/16</f>
        <v>0.71875</v>
      </c>
      <c r="AC62" s="36"/>
      <c r="AD62" s="36"/>
      <c r="AE62" s="36"/>
      <c r="AF62" s="36"/>
      <c r="AG62" s="36" t="s">
        <v>43</v>
      </c>
      <c r="AH62" s="36">
        <f>9.5/16</f>
        <v>0.59375</v>
      </c>
      <c r="AI62" s="36"/>
      <c r="AJ62" s="36"/>
      <c r="AK62" s="36"/>
      <c r="AL62" s="36"/>
      <c r="AM62" s="36"/>
      <c r="AN62" s="36"/>
      <c r="AO62" s="36" t="s">
        <v>38</v>
      </c>
      <c r="AP62" s="36">
        <f>9/16</f>
        <v>0.5625</v>
      </c>
      <c r="AQ62" s="36"/>
      <c r="AR62" s="36"/>
      <c r="AS62" s="36"/>
      <c r="AT62" s="36"/>
      <c r="AU62" s="36"/>
      <c r="AV62" s="36"/>
      <c r="AW62" s="36"/>
      <c r="AX62" s="36"/>
      <c r="AY62" s="36" t="s">
        <v>38</v>
      </c>
      <c r="AZ62" s="36">
        <f>6.5/16</f>
        <v>0.40625</v>
      </c>
      <c r="BA62" s="36" t="s">
        <v>38</v>
      </c>
      <c r="BB62" s="36">
        <f>6.5/16</f>
        <v>0.40625</v>
      </c>
      <c r="BC62" s="36"/>
      <c r="BD62" s="36"/>
      <c r="BE62" s="38"/>
      <c r="BF62" s="38"/>
      <c r="BG62" s="37"/>
      <c r="BH62" s="26">
        <v>5</v>
      </c>
      <c r="BI62" s="26">
        <v>1</v>
      </c>
      <c r="BJ62" s="26">
        <v>1</v>
      </c>
      <c r="BK62" s="26"/>
      <c r="BL62" s="26"/>
      <c r="BM62" s="26"/>
      <c r="BN62" s="26"/>
      <c r="BO62" s="37">
        <f t="shared" si="0"/>
        <v>1</v>
      </c>
      <c r="BP62" s="56">
        <f t="shared" si="1"/>
        <v>6</v>
      </c>
      <c r="BQ62" s="56">
        <f t="shared" si="2"/>
        <v>1</v>
      </c>
      <c r="BR62" s="57">
        <f t="shared" si="3"/>
        <v>0</v>
      </c>
      <c r="BS62" s="38">
        <v>1</v>
      </c>
      <c r="BT62" s="38"/>
      <c r="BU62" s="26"/>
      <c r="BV62" s="26"/>
      <c r="BW62" s="39">
        <f t="shared" si="4"/>
        <v>8</v>
      </c>
      <c r="BX62" s="78">
        <v>2</v>
      </c>
      <c r="BY62" s="63">
        <v>7</v>
      </c>
      <c r="CB62" s="7"/>
      <c r="CC62" s="7"/>
    </row>
    <row r="63" spans="1:81" ht="16" x14ac:dyDescent="0.2">
      <c r="A63" s="109" t="s">
        <v>262</v>
      </c>
      <c r="B63" s="26">
        <v>37</v>
      </c>
      <c r="C63" s="109" t="s">
        <v>102</v>
      </c>
      <c r="D63" s="26">
        <v>1</v>
      </c>
      <c r="E63" s="26">
        <v>2</v>
      </c>
      <c r="F63" s="26">
        <v>3</v>
      </c>
      <c r="G63" s="26" t="s">
        <v>50</v>
      </c>
      <c r="H63" s="26">
        <v>5</v>
      </c>
      <c r="I63" s="26" t="s">
        <v>51</v>
      </c>
      <c r="J63" s="26" t="s">
        <v>41</v>
      </c>
      <c r="K63" s="26"/>
      <c r="L63" s="26">
        <v>5</v>
      </c>
      <c r="M63" s="40"/>
      <c r="N63" s="36"/>
      <c r="O63" s="36"/>
      <c r="P63" s="36"/>
      <c r="Q63" s="36"/>
      <c r="R63" s="36"/>
      <c r="S63" s="36" t="s">
        <v>57</v>
      </c>
      <c r="T63" s="36">
        <f>4/16</f>
        <v>0.25</v>
      </c>
      <c r="U63" s="36" t="s">
        <v>48</v>
      </c>
      <c r="V63" s="36">
        <f>5/16</f>
        <v>0.3125</v>
      </c>
      <c r="W63" s="36"/>
      <c r="X63" s="36"/>
      <c r="Y63" s="36"/>
      <c r="Z63" s="36"/>
      <c r="AA63" s="36"/>
      <c r="AB63" s="36"/>
      <c r="AC63" s="36"/>
      <c r="AD63" s="36"/>
      <c r="AE63" s="36" t="s">
        <v>48</v>
      </c>
      <c r="AF63" s="36">
        <f>7/16</f>
        <v>0.4375</v>
      </c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26"/>
      <c r="BF63" s="26"/>
      <c r="BG63" s="37"/>
      <c r="BH63" s="26"/>
      <c r="BI63" s="26"/>
      <c r="BJ63" s="26"/>
      <c r="BK63" s="26"/>
      <c r="BL63" s="26">
        <v>2</v>
      </c>
      <c r="BM63" s="26"/>
      <c r="BN63" s="26"/>
      <c r="BO63" s="37">
        <f t="shared" si="0"/>
        <v>0</v>
      </c>
      <c r="BP63" s="56">
        <f t="shared" si="1"/>
        <v>0</v>
      </c>
      <c r="BQ63" s="56">
        <f t="shared" si="2"/>
        <v>0</v>
      </c>
      <c r="BR63" s="57">
        <f t="shared" si="3"/>
        <v>2</v>
      </c>
      <c r="BS63" s="38"/>
      <c r="BT63" s="38"/>
      <c r="BU63" s="26"/>
      <c r="BV63" s="26"/>
      <c r="BW63" s="39">
        <f t="shared" si="4"/>
        <v>2</v>
      </c>
      <c r="BX63" s="78">
        <v>4</v>
      </c>
      <c r="BY63" s="63">
        <v>10</v>
      </c>
      <c r="BZ63" s="7"/>
      <c r="CA63" s="8"/>
      <c r="CB63" s="7"/>
      <c r="CC63" s="7"/>
    </row>
    <row r="64" spans="1:81" ht="16" x14ac:dyDescent="0.2">
      <c r="A64" s="109" t="s">
        <v>262</v>
      </c>
      <c r="B64" s="26">
        <v>37</v>
      </c>
      <c r="C64" s="109" t="s">
        <v>102</v>
      </c>
      <c r="D64" s="26">
        <v>2</v>
      </c>
      <c r="E64" s="26">
        <v>2</v>
      </c>
      <c r="F64" s="26">
        <v>2</v>
      </c>
      <c r="G64" s="26" t="s">
        <v>51</v>
      </c>
      <c r="H64" s="26">
        <v>4</v>
      </c>
      <c r="I64" s="26" t="s">
        <v>51</v>
      </c>
      <c r="J64" s="26" t="s">
        <v>41</v>
      </c>
      <c r="K64" s="26"/>
      <c r="L64" s="26">
        <v>5</v>
      </c>
      <c r="M64" s="40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 t="s">
        <v>57</v>
      </c>
      <c r="AR64" s="36">
        <f>13.5/16</f>
        <v>0.84375</v>
      </c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26"/>
      <c r="BF64" s="26"/>
      <c r="BG64" s="37"/>
      <c r="BH64" s="26"/>
      <c r="BI64" s="26"/>
      <c r="BJ64" s="26"/>
      <c r="BK64" s="26"/>
      <c r="BL64" s="26"/>
      <c r="BM64" s="26">
        <v>1</v>
      </c>
      <c r="BN64" s="26"/>
      <c r="BO64" s="37">
        <f t="shared" si="0"/>
        <v>0</v>
      </c>
      <c r="BP64" s="56">
        <f t="shared" si="1"/>
        <v>0</v>
      </c>
      <c r="BQ64" s="56">
        <f t="shared" si="2"/>
        <v>1</v>
      </c>
      <c r="BR64" s="57">
        <f t="shared" si="3"/>
        <v>0</v>
      </c>
      <c r="BS64" s="38"/>
      <c r="BT64" s="38"/>
      <c r="BU64" s="26"/>
      <c r="BV64" s="26"/>
      <c r="BW64" s="39">
        <f t="shared" si="4"/>
        <v>1</v>
      </c>
      <c r="BX64" s="78">
        <v>4</v>
      </c>
      <c r="BY64" s="63">
        <v>10</v>
      </c>
      <c r="BZ64" s="7"/>
      <c r="CA64" s="8"/>
      <c r="CB64" s="7"/>
      <c r="CC64" s="7"/>
    </row>
    <row r="65" spans="1:81" ht="16" x14ac:dyDescent="0.2">
      <c r="A65" s="109" t="s">
        <v>262</v>
      </c>
      <c r="B65" s="26">
        <v>37</v>
      </c>
      <c r="C65" s="109" t="s">
        <v>102</v>
      </c>
      <c r="D65" s="26">
        <v>3</v>
      </c>
      <c r="E65" s="26">
        <v>2</v>
      </c>
      <c r="F65" s="26">
        <v>2</v>
      </c>
      <c r="G65" s="26" t="s">
        <v>51</v>
      </c>
      <c r="H65" s="26">
        <v>4</v>
      </c>
      <c r="I65" s="26" t="s">
        <v>51</v>
      </c>
      <c r="J65" s="26" t="s">
        <v>42</v>
      </c>
      <c r="K65" s="26"/>
      <c r="L65" s="26">
        <v>6</v>
      </c>
      <c r="M65" s="40"/>
      <c r="N65" s="36"/>
      <c r="O65" s="36" t="s">
        <v>39</v>
      </c>
      <c r="P65" s="36">
        <f>4/16</f>
        <v>0.25</v>
      </c>
      <c r="Q65" s="36"/>
      <c r="R65" s="36"/>
      <c r="S65" s="36"/>
      <c r="T65" s="36"/>
      <c r="U65" s="36"/>
      <c r="V65" s="36"/>
      <c r="W65" s="36"/>
      <c r="X65" s="36"/>
      <c r="Y65" s="36" t="s">
        <v>39</v>
      </c>
      <c r="Z65" s="36">
        <f>10/16</f>
        <v>0.625</v>
      </c>
      <c r="AA65" s="36"/>
      <c r="AB65" s="36"/>
      <c r="AC65" s="36"/>
      <c r="AD65" s="36"/>
      <c r="AE65" s="36" t="s">
        <v>39</v>
      </c>
      <c r="AF65" s="36">
        <f>15/16</f>
        <v>0.9375</v>
      </c>
      <c r="AG65" s="36" t="s">
        <v>40</v>
      </c>
      <c r="AH65" s="36">
        <f>4/16</f>
        <v>0.25</v>
      </c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26"/>
      <c r="BF65" s="26"/>
      <c r="BG65" s="37"/>
      <c r="BH65" s="26"/>
      <c r="BI65" s="26">
        <v>1</v>
      </c>
      <c r="BJ65" s="26">
        <v>1</v>
      </c>
      <c r="BK65" s="26"/>
      <c r="BL65" s="26"/>
      <c r="BM65" s="26"/>
      <c r="BN65" s="26"/>
      <c r="BO65" s="37">
        <f t="shared" si="0"/>
        <v>1</v>
      </c>
      <c r="BP65" s="56">
        <f t="shared" si="1"/>
        <v>1</v>
      </c>
      <c r="BQ65" s="56">
        <f t="shared" si="2"/>
        <v>0</v>
      </c>
      <c r="BR65" s="57">
        <f t="shared" si="3"/>
        <v>0</v>
      </c>
      <c r="BS65" s="38"/>
      <c r="BT65" s="38"/>
      <c r="BU65" s="26"/>
      <c r="BV65" s="26"/>
      <c r="BW65" s="39">
        <f t="shared" si="4"/>
        <v>2</v>
      </c>
      <c r="BX65" s="78">
        <v>2</v>
      </c>
      <c r="BY65" s="63">
        <v>8</v>
      </c>
      <c r="BZ65" s="7"/>
      <c r="CA65" s="8"/>
      <c r="CB65" s="7"/>
      <c r="CC65" s="7"/>
    </row>
    <row r="66" spans="1:81" ht="16" x14ac:dyDescent="0.2">
      <c r="A66" s="109" t="s">
        <v>262</v>
      </c>
      <c r="B66" s="26">
        <v>37</v>
      </c>
      <c r="C66" s="109" t="s">
        <v>102</v>
      </c>
      <c r="D66" s="26">
        <v>4</v>
      </c>
      <c r="E66" s="26">
        <v>2</v>
      </c>
      <c r="F66" s="26">
        <v>2</v>
      </c>
      <c r="G66" s="26" t="s">
        <v>51</v>
      </c>
      <c r="H66" s="26">
        <v>4</v>
      </c>
      <c r="I66" s="26" t="s">
        <v>51</v>
      </c>
      <c r="J66" s="26" t="s">
        <v>41</v>
      </c>
      <c r="K66" s="26"/>
      <c r="L66" s="26">
        <v>5</v>
      </c>
      <c r="M66" s="4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 t="s">
        <v>39</v>
      </c>
      <c r="BB66" s="36">
        <f>7.5/16</f>
        <v>0.46875</v>
      </c>
      <c r="BC66" s="36"/>
      <c r="BD66" s="36"/>
      <c r="BE66" s="26"/>
      <c r="BF66" s="26"/>
      <c r="BG66" s="37"/>
      <c r="BH66" s="26"/>
      <c r="BI66" s="26"/>
      <c r="BJ66" s="26">
        <v>1</v>
      </c>
      <c r="BK66" s="26"/>
      <c r="BL66" s="26"/>
      <c r="BM66" s="26"/>
      <c r="BN66" s="26"/>
      <c r="BO66" s="37">
        <f t="shared" ref="BO66:BO129" si="5">BG66+BI66+BU66</f>
        <v>0</v>
      </c>
      <c r="BP66" s="56">
        <f t="shared" ref="BP66:BP129" si="6">BH66+BJ66</f>
        <v>1</v>
      </c>
      <c r="BQ66" s="56">
        <f t="shared" ref="BQ66:BQ129" si="7">BK66+BM66+BV66+BS66</f>
        <v>0</v>
      </c>
      <c r="BR66" s="57">
        <f t="shared" ref="BR66:BR129" si="8">BL66+BN66+BT66</f>
        <v>0</v>
      </c>
      <c r="BS66" s="38"/>
      <c r="BT66" s="38"/>
      <c r="BU66" s="26"/>
      <c r="BV66" s="26"/>
      <c r="BW66" s="39">
        <f t="shared" ref="BW66:BW129" si="9">SUM(BO66:BR66)</f>
        <v>1</v>
      </c>
      <c r="BX66" s="78">
        <v>3</v>
      </c>
      <c r="BY66" s="63">
        <v>10</v>
      </c>
      <c r="BZ66" s="7"/>
      <c r="CA66" s="8"/>
      <c r="CB66" s="7"/>
      <c r="CC66" s="7"/>
    </row>
    <row r="67" spans="1:81" x14ac:dyDescent="0.2">
      <c r="A67" s="109" t="s">
        <v>262</v>
      </c>
      <c r="B67" s="26">
        <v>37</v>
      </c>
      <c r="C67" s="109" t="s">
        <v>102</v>
      </c>
      <c r="D67" s="26">
        <v>5</v>
      </c>
      <c r="E67" s="26">
        <v>2</v>
      </c>
      <c r="F67" s="26">
        <v>2</v>
      </c>
      <c r="G67" s="26" t="s">
        <v>51</v>
      </c>
      <c r="H67" s="26">
        <v>4</v>
      </c>
      <c r="I67" s="26" t="s">
        <v>51</v>
      </c>
      <c r="J67" s="26" t="s">
        <v>41</v>
      </c>
      <c r="K67" s="26"/>
      <c r="L67" s="26">
        <v>5</v>
      </c>
      <c r="M67" s="40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26"/>
      <c r="BF67" s="26"/>
      <c r="BG67" s="37"/>
      <c r="BH67" s="26"/>
      <c r="BI67" s="26"/>
      <c r="BJ67" s="26"/>
      <c r="BK67" s="26"/>
      <c r="BL67" s="26"/>
      <c r="BM67" s="26"/>
      <c r="BN67" s="26"/>
      <c r="BO67" s="37">
        <f t="shared" si="5"/>
        <v>0</v>
      </c>
      <c r="BP67" s="56">
        <f t="shared" si="6"/>
        <v>0</v>
      </c>
      <c r="BQ67" s="56">
        <f t="shared" si="7"/>
        <v>0</v>
      </c>
      <c r="BR67" s="57">
        <f t="shared" si="8"/>
        <v>0</v>
      </c>
      <c r="BS67" s="38"/>
      <c r="BT67" s="38"/>
      <c r="BU67" s="26"/>
      <c r="BV67" s="26"/>
      <c r="BW67" s="39">
        <f t="shared" si="9"/>
        <v>0</v>
      </c>
      <c r="BX67" s="78">
        <v>0</v>
      </c>
      <c r="BY67" s="63">
        <v>10</v>
      </c>
      <c r="BZ67" s="7"/>
      <c r="CA67" s="8"/>
      <c r="CB67" s="7"/>
      <c r="CC67" s="7"/>
    </row>
    <row r="68" spans="1:81" ht="16" x14ac:dyDescent="0.2">
      <c r="A68" s="111" t="s">
        <v>262</v>
      </c>
      <c r="B68" s="26">
        <v>37</v>
      </c>
      <c r="C68" s="109" t="s">
        <v>102</v>
      </c>
      <c r="D68" s="26">
        <v>6</v>
      </c>
      <c r="E68" s="26">
        <v>2</v>
      </c>
      <c r="F68" s="26">
        <v>4</v>
      </c>
      <c r="G68" s="26" t="s">
        <v>50</v>
      </c>
      <c r="H68" s="26">
        <v>6</v>
      </c>
      <c r="I68" s="26" t="s">
        <v>51</v>
      </c>
      <c r="J68" s="26" t="s">
        <v>42</v>
      </c>
      <c r="K68" s="26"/>
      <c r="L68" s="26">
        <v>5</v>
      </c>
      <c r="M68" s="40"/>
      <c r="N68" s="36"/>
      <c r="O68" s="36"/>
      <c r="P68" s="36"/>
      <c r="Q68" s="36" t="s">
        <v>48</v>
      </c>
      <c r="R68" s="36">
        <f>6.5/16</f>
        <v>0.40625</v>
      </c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 t="s">
        <v>39</v>
      </c>
      <c r="BB68" s="36">
        <f>16/16</f>
        <v>1</v>
      </c>
      <c r="BC68" s="36"/>
      <c r="BD68" s="36"/>
      <c r="BE68" s="26"/>
      <c r="BF68" s="26"/>
      <c r="BG68" s="39"/>
      <c r="BH68" s="38"/>
      <c r="BI68" s="38">
        <v>1</v>
      </c>
      <c r="BJ68" s="38"/>
      <c r="BK68" s="38"/>
      <c r="BL68" s="38">
        <v>1</v>
      </c>
      <c r="BM68" s="38"/>
      <c r="BN68" s="38"/>
      <c r="BO68" s="37">
        <f t="shared" si="5"/>
        <v>1</v>
      </c>
      <c r="BP68" s="56">
        <f t="shared" si="6"/>
        <v>0</v>
      </c>
      <c r="BQ68" s="56">
        <f t="shared" si="7"/>
        <v>0</v>
      </c>
      <c r="BR68" s="57">
        <f t="shared" si="8"/>
        <v>1</v>
      </c>
      <c r="BS68" s="38"/>
      <c r="BT68" s="38"/>
      <c r="BU68" s="26"/>
      <c r="BV68" s="26"/>
      <c r="BW68" s="39">
        <f t="shared" si="9"/>
        <v>2</v>
      </c>
      <c r="BX68" s="78">
        <v>2</v>
      </c>
      <c r="BY68" s="63">
        <v>8</v>
      </c>
      <c r="BZ68" s="7"/>
      <c r="CA68" s="8"/>
      <c r="CB68" s="17"/>
      <c r="CC68" s="17"/>
    </row>
    <row r="69" spans="1:81" ht="16" x14ac:dyDescent="0.2">
      <c r="A69" s="111" t="s">
        <v>262</v>
      </c>
      <c r="B69" s="26">
        <v>37</v>
      </c>
      <c r="C69" s="109" t="s">
        <v>102</v>
      </c>
      <c r="D69" s="26">
        <v>7</v>
      </c>
      <c r="E69" s="26">
        <v>2</v>
      </c>
      <c r="F69" s="26">
        <v>2</v>
      </c>
      <c r="G69" s="26" t="s">
        <v>51</v>
      </c>
      <c r="H69" s="26">
        <v>4</v>
      </c>
      <c r="I69" s="26" t="s">
        <v>51</v>
      </c>
      <c r="J69" s="26" t="s">
        <v>64</v>
      </c>
      <c r="K69" s="26"/>
      <c r="L69" s="26">
        <v>7</v>
      </c>
      <c r="M69" s="40" t="s">
        <v>38</v>
      </c>
      <c r="N69" s="36">
        <f>6/16</f>
        <v>0.375</v>
      </c>
      <c r="O69" s="36"/>
      <c r="P69" s="36"/>
      <c r="Q69" s="36" t="s">
        <v>38</v>
      </c>
      <c r="R69" s="36">
        <f>4/16</f>
        <v>0.25</v>
      </c>
      <c r="S69" s="36"/>
      <c r="T69" s="36"/>
      <c r="U69" s="36"/>
      <c r="V69" s="36"/>
      <c r="W69" s="36"/>
      <c r="X69" s="36"/>
      <c r="Y69" s="36" t="s">
        <v>39</v>
      </c>
      <c r="Z69" s="36">
        <f>4/16</f>
        <v>0.25</v>
      </c>
      <c r="AA69" s="36" t="s">
        <v>38</v>
      </c>
      <c r="AB69" s="36">
        <f>5/16</f>
        <v>0.3125</v>
      </c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 t="s">
        <v>39</v>
      </c>
      <c r="AX69" s="36">
        <f>15/16</f>
        <v>0.9375</v>
      </c>
      <c r="AY69" s="36" t="s">
        <v>39</v>
      </c>
      <c r="AZ69" s="36">
        <f>4/16</f>
        <v>0.25</v>
      </c>
      <c r="BA69" s="36"/>
      <c r="BB69" s="36"/>
      <c r="BC69" s="36"/>
      <c r="BD69" s="36"/>
      <c r="BE69" s="26"/>
      <c r="BF69" s="26"/>
      <c r="BG69" s="39"/>
      <c r="BH69" s="38">
        <v>2</v>
      </c>
      <c r="BI69" s="38">
        <v>1</v>
      </c>
      <c r="BJ69" s="38"/>
      <c r="BK69" s="38"/>
      <c r="BL69" s="38"/>
      <c r="BM69" s="38"/>
      <c r="BN69" s="38"/>
      <c r="BO69" s="37">
        <f t="shared" si="5"/>
        <v>1</v>
      </c>
      <c r="BP69" s="56">
        <f t="shared" si="6"/>
        <v>2</v>
      </c>
      <c r="BQ69" s="56">
        <f t="shared" si="7"/>
        <v>0</v>
      </c>
      <c r="BR69" s="57">
        <f t="shared" si="8"/>
        <v>0</v>
      </c>
      <c r="BS69" s="38"/>
      <c r="BT69" s="38"/>
      <c r="BU69" s="26"/>
      <c r="BV69" s="26"/>
      <c r="BW69" s="39">
        <f t="shared" si="9"/>
        <v>3</v>
      </c>
      <c r="BX69" s="78">
        <v>2</v>
      </c>
      <c r="BY69" s="63">
        <v>6</v>
      </c>
      <c r="BZ69" s="7"/>
      <c r="CA69" s="8"/>
      <c r="CB69" s="17"/>
      <c r="CC69" s="17"/>
    </row>
    <row r="70" spans="1:81" ht="16" x14ac:dyDescent="0.2">
      <c r="A70" s="109" t="s">
        <v>262</v>
      </c>
      <c r="B70" s="26">
        <v>37</v>
      </c>
      <c r="C70" s="109">
        <v>6155088</v>
      </c>
      <c r="D70" s="26">
        <v>1</v>
      </c>
      <c r="E70" s="26">
        <v>2</v>
      </c>
      <c r="F70" s="26">
        <v>2</v>
      </c>
      <c r="G70" s="26" t="s">
        <v>51</v>
      </c>
      <c r="H70" s="26">
        <v>4</v>
      </c>
      <c r="I70" s="26" t="s">
        <v>51</v>
      </c>
      <c r="J70" s="26" t="s">
        <v>37</v>
      </c>
      <c r="K70" s="26"/>
      <c r="L70" s="26">
        <v>6</v>
      </c>
      <c r="M70" s="40"/>
      <c r="N70" s="36"/>
      <c r="O70" s="36"/>
      <c r="P70" s="36"/>
      <c r="Q70" s="36"/>
      <c r="R70" s="36"/>
      <c r="S70" s="36"/>
      <c r="T70" s="36"/>
      <c r="U70" s="36"/>
      <c r="V70" s="36"/>
      <c r="W70" s="36" t="s">
        <v>40</v>
      </c>
      <c r="X70" s="36">
        <f>8/10</f>
        <v>0.8</v>
      </c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26"/>
      <c r="BF70" s="26"/>
      <c r="BG70" s="37"/>
      <c r="BH70" s="26"/>
      <c r="BI70" s="26"/>
      <c r="BJ70" s="26"/>
      <c r="BK70" s="26"/>
      <c r="BL70" s="26"/>
      <c r="BM70" s="26">
        <v>1</v>
      </c>
      <c r="BO70" s="37">
        <f t="shared" si="5"/>
        <v>0</v>
      </c>
      <c r="BP70" s="56">
        <f t="shared" si="6"/>
        <v>0</v>
      </c>
      <c r="BQ70" s="56">
        <f t="shared" si="7"/>
        <v>1</v>
      </c>
      <c r="BR70" s="57">
        <f t="shared" si="8"/>
        <v>0</v>
      </c>
      <c r="BS70" s="38"/>
      <c r="BT70" s="38"/>
      <c r="BU70" s="26"/>
      <c r="BV70" s="26"/>
      <c r="BW70" s="39">
        <f t="shared" si="9"/>
        <v>1</v>
      </c>
      <c r="BX70" s="78">
        <v>4</v>
      </c>
      <c r="BY70" s="63">
        <v>9</v>
      </c>
    </row>
    <row r="71" spans="1:81" ht="16" x14ac:dyDescent="0.2">
      <c r="A71" s="109" t="s">
        <v>262</v>
      </c>
      <c r="B71" s="26">
        <v>37</v>
      </c>
      <c r="C71" s="109">
        <v>6155088</v>
      </c>
      <c r="D71" s="26">
        <v>2</v>
      </c>
      <c r="E71" s="26">
        <v>2</v>
      </c>
      <c r="F71" s="26">
        <v>2</v>
      </c>
      <c r="G71" s="26" t="s">
        <v>51</v>
      </c>
      <c r="H71" s="26">
        <v>4</v>
      </c>
      <c r="I71" s="26" t="s">
        <v>51</v>
      </c>
      <c r="J71" s="26" t="s">
        <v>41</v>
      </c>
      <c r="K71" s="26"/>
      <c r="L71" s="26">
        <v>5</v>
      </c>
      <c r="M71" s="40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 t="s">
        <v>38</v>
      </c>
      <c r="AN71" s="36">
        <f>3/10</f>
        <v>0.3</v>
      </c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26"/>
      <c r="BF71" s="26"/>
      <c r="BG71" s="37"/>
      <c r="BH71" s="26">
        <v>1</v>
      </c>
      <c r="BI71" s="26"/>
      <c r="BJ71" s="26"/>
      <c r="BK71" s="26"/>
      <c r="BL71" s="26"/>
      <c r="BM71" s="26"/>
      <c r="BO71" s="37">
        <f t="shared" si="5"/>
        <v>0</v>
      </c>
      <c r="BP71" s="56">
        <f t="shared" si="6"/>
        <v>1</v>
      </c>
      <c r="BQ71" s="56">
        <f t="shared" si="7"/>
        <v>0</v>
      </c>
      <c r="BR71" s="57">
        <f t="shared" si="8"/>
        <v>0</v>
      </c>
      <c r="BS71" s="38"/>
      <c r="BT71" s="38"/>
      <c r="BU71" s="26"/>
      <c r="BV71" s="26"/>
      <c r="BW71" s="39">
        <f t="shared" si="9"/>
        <v>1</v>
      </c>
      <c r="BX71" s="78">
        <v>3</v>
      </c>
      <c r="BY71" s="63">
        <v>10</v>
      </c>
    </row>
    <row r="72" spans="1:81" x14ac:dyDescent="0.2">
      <c r="A72" s="109" t="s">
        <v>262</v>
      </c>
      <c r="B72" s="26">
        <v>37</v>
      </c>
      <c r="C72" s="109">
        <v>6155088</v>
      </c>
      <c r="D72" s="26">
        <v>3</v>
      </c>
      <c r="E72" s="26">
        <v>2</v>
      </c>
      <c r="F72" s="26">
        <v>2</v>
      </c>
      <c r="G72" s="26" t="s">
        <v>51</v>
      </c>
      <c r="H72" s="26">
        <v>4</v>
      </c>
      <c r="I72" s="26" t="s">
        <v>51</v>
      </c>
      <c r="J72" s="26" t="s">
        <v>41</v>
      </c>
      <c r="K72" s="26"/>
      <c r="L72" s="26">
        <v>6</v>
      </c>
      <c r="M72" s="40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26"/>
      <c r="BF72" s="26"/>
      <c r="BG72" s="37"/>
      <c r="BH72" s="26"/>
      <c r="BI72" s="26"/>
      <c r="BJ72" s="26"/>
      <c r="BK72" s="26"/>
      <c r="BL72" s="26"/>
      <c r="BM72" s="26"/>
      <c r="BO72" s="37">
        <f t="shared" si="5"/>
        <v>0</v>
      </c>
      <c r="BP72" s="56">
        <f t="shared" si="6"/>
        <v>0</v>
      </c>
      <c r="BQ72" s="56">
        <f t="shared" si="7"/>
        <v>0</v>
      </c>
      <c r="BR72" s="57">
        <f t="shared" si="8"/>
        <v>0</v>
      </c>
      <c r="BS72" s="38"/>
      <c r="BT72" s="38"/>
      <c r="BU72" s="26"/>
      <c r="BV72" s="26"/>
      <c r="BW72" s="39">
        <f t="shared" si="9"/>
        <v>0</v>
      </c>
      <c r="BX72" s="78">
        <v>0</v>
      </c>
      <c r="BY72" s="63">
        <v>10</v>
      </c>
    </row>
    <row r="73" spans="1:81" x14ac:dyDescent="0.2">
      <c r="A73" s="109" t="s">
        <v>262</v>
      </c>
      <c r="B73" s="26">
        <v>37</v>
      </c>
      <c r="C73" s="109">
        <v>6155088</v>
      </c>
      <c r="D73" s="26">
        <v>4</v>
      </c>
      <c r="E73" s="26">
        <v>2</v>
      </c>
      <c r="F73" s="26">
        <v>2</v>
      </c>
      <c r="G73" s="26" t="s">
        <v>51</v>
      </c>
      <c r="H73" s="26">
        <v>4</v>
      </c>
      <c r="I73" s="26" t="s">
        <v>51</v>
      </c>
      <c r="J73" s="26" t="s">
        <v>42</v>
      </c>
      <c r="K73" s="26"/>
      <c r="L73" s="26">
        <v>5</v>
      </c>
      <c r="M73" s="40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26"/>
      <c r="BF73" s="26"/>
      <c r="BG73" s="37"/>
      <c r="BH73" s="26"/>
      <c r="BI73" s="26"/>
      <c r="BJ73" s="26"/>
      <c r="BK73" s="26"/>
      <c r="BL73" s="26"/>
      <c r="BM73" s="26"/>
      <c r="BO73" s="37">
        <f t="shared" si="5"/>
        <v>0</v>
      </c>
      <c r="BP73" s="56">
        <f t="shared" si="6"/>
        <v>0</v>
      </c>
      <c r="BQ73" s="56">
        <f t="shared" si="7"/>
        <v>0</v>
      </c>
      <c r="BR73" s="57">
        <f t="shared" si="8"/>
        <v>0</v>
      </c>
      <c r="BS73" s="38"/>
      <c r="BT73" s="38"/>
      <c r="BU73" s="26"/>
      <c r="BV73" s="26"/>
      <c r="BW73" s="39">
        <f t="shared" si="9"/>
        <v>0</v>
      </c>
      <c r="BX73" s="78">
        <v>0</v>
      </c>
      <c r="BY73" s="63">
        <v>8</v>
      </c>
    </row>
    <row r="74" spans="1:81" ht="16" x14ac:dyDescent="0.2">
      <c r="A74" s="109" t="s">
        <v>262</v>
      </c>
      <c r="B74" s="26">
        <v>37</v>
      </c>
      <c r="C74" s="109">
        <v>6155088</v>
      </c>
      <c r="D74" s="26">
        <v>5</v>
      </c>
      <c r="E74" s="26">
        <v>2</v>
      </c>
      <c r="F74" s="26">
        <v>2</v>
      </c>
      <c r="G74" s="26" t="s">
        <v>51</v>
      </c>
      <c r="H74" s="26">
        <v>4</v>
      </c>
      <c r="I74" s="26" t="s">
        <v>51</v>
      </c>
      <c r="J74" s="26" t="s">
        <v>65</v>
      </c>
      <c r="K74" s="26"/>
      <c r="L74" s="26">
        <v>6</v>
      </c>
      <c r="M74" s="40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 t="s">
        <v>39</v>
      </c>
      <c r="AF74" s="36">
        <f>10/10</f>
        <v>1</v>
      </c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26"/>
      <c r="BF74" s="26"/>
      <c r="BG74" s="37"/>
      <c r="BH74" s="26"/>
      <c r="BI74" s="26">
        <v>1</v>
      </c>
      <c r="BJ74" s="26"/>
      <c r="BK74" s="26"/>
      <c r="BL74" s="26"/>
      <c r="BM74" s="26"/>
      <c r="BO74" s="37">
        <f t="shared" si="5"/>
        <v>1</v>
      </c>
      <c r="BP74" s="56">
        <f t="shared" si="6"/>
        <v>0</v>
      </c>
      <c r="BQ74" s="56">
        <f t="shared" si="7"/>
        <v>0</v>
      </c>
      <c r="BR74" s="57">
        <f t="shared" si="8"/>
        <v>0</v>
      </c>
      <c r="BS74" s="38"/>
      <c r="BT74" s="38"/>
      <c r="BU74" s="26"/>
      <c r="BV74" s="26"/>
      <c r="BW74" s="39">
        <f t="shared" si="9"/>
        <v>1</v>
      </c>
      <c r="BX74" s="78">
        <v>1</v>
      </c>
      <c r="BY74" s="63">
        <v>11</v>
      </c>
    </row>
    <row r="75" spans="1:81" ht="16" x14ac:dyDescent="0.2">
      <c r="A75" s="109" t="s">
        <v>263</v>
      </c>
      <c r="B75" s="26">
        <v>38</v>
      </c>
      <c r="C75" s="109" t="s">
        <v>103</v>
      </c>
      <c r="D75" s="26">
        <v>3</v>
      </c>
      <c r="E75" s="26">
        <v>2</v>
      </c>
      <c r="F75" s="26">
        <v>2</v>
      </c>
      <c r="G75" s="26" t="s">
        <v>51</v>
      </c>
      <c r="H75" s="26">
        <v>4</v>
      </c>
      <c r="I75" s="26" t="s">
        <v>51</v>
      </c>
      <c r="J75" s="26" t="s">
        <v>41</v>
      </c>
      <c r="K75" s="26"/>
      <c r="L75" s="26">
        <v>5</v>
      </c>
      <c r="M75" s="40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 t="s">
        <v>39</v>
      </c>
      <c r="AT75" s="36">
        <f>7/8</f>
        <v>0.875</v>
      </c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26"/>
      <c r="BF75" s="26"/>
      <c r="BG75" s="37"/>
      <c r="BH75" s="26"/>
      <c r="BI75" s="26">
        <v>1</v>
      </c>
      <c r="BJ75" s="26"/>
      <c r="BK75" s="26"/>
      <c r="BL75" s="26"/>
      <c r="BM75" s="26"/>
      <c r="BN75" s="26"/>
      <c r="BO75" s="37">
        <f t="shared" si="5"/>
        <v>1</v>
      </c>
      <c r="BP75" s="56">
        <f t="shared" si="6"/>
        <v>0</v>
      </c>
      <c r="BQ75" s="56">
        <f t="shared" si="7"/>
        <v>0</v>
      </c>
      <c r="BR75" s="57">
        <f t="shared" si="8"/>
        <v>0</v>
      </c>
      <c r="BS75" s="38"/>
      <c r="BT75" s="38"/>
      <c r="BU75" s="26"/>
      <c r="BV75" s="26"/>
      <c r="BW75" s="39">
        <f t="shared" si="9"/>
        <v>1</v>
      </c>
      <c r="BX75" s="78">
        <v>1</v>
      </c>
      <c r="BY75" s="63">
        <v>10</v>
      </c>
      <c r="BZ75" s="7"/>
      <c r="CA75" s="8"/>
      <c r="CB75" s="7"/>
      <c r="CC75" s="7"/>
    </row>
    <row r="76" spans="1:81" x14ac:dyDescent="0.2">
      <c r="A76" s="109" t="s">
        <v>263</v>
      </c>
      <c r="B76" s="26">
        <v>38</v>
      </c>
      <c r="C76" s="109" t="s">
        <v>103</v>
      </c>
      <c r="D76" s="26">
        <v>6</v>
      </c>
      <c r="E76" s="26">
        <v>2</v>
      </c>
      <c r="F76" s="26">
        <v>4</v>
      </c>
      <c r="G76" s="26" t="s">
        <v>50</v>
      </c>
      <c r="H76" s="26">
        <v>7</v>
      </c>
      <c r="I76" s="26" t="s">
        <v>54</v>
      </c>
      <c r="J76" s="26" t="s">
        <v>42</v>
      </c>
      <c r="K76" s="26"/>
      <c r="L76" s="26">
        <v>5</v>
      </c>
      <c r="M76" s="40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26"/>
      <c r="BF76" s="26"/>
      <c r="BG76" s="37"/>
      <c r="BH76" s="26"/>
      <c r="BI76" s="26"/>
      <c r="BJ76" s="26"/>
      <c r="BK76" s="26"/>
      <c r="BL76" s="26"/>
      <c r="BM76" s="26"/>
      <c r="BN76" s="26"/>
      <c r="BO76" s="37">
        <f t="shared" si="5"/>
        <v>0</v>
      </c>
      <c r="BP76" s="56">
        <f t="shared" si="6"/>
        <v>0</v>
      </c>
      <c r="BQ76" s="56">
        <f t="shared" si="7"/>
        <v>0</v>
      </c>
      <c r="BR76" s="57">
        <f t="shared" si="8"/>
        <v>0</v>
      </c>
      <c r="BS76" s="38"/>
      <c r="BT76" s="38"/>
      <c r="BU76" s="26"/>
      <c r="BV76" s="26"/>
      <c r="BW76" s="39">
        <f t="shared" si="9"/>
        <v>0</v>
      </c>
      <c r="BX76" s="78">
        <v>0</v>
      </c>
      <c r="BY76" s="63">
        <v>8</v>
      </c>
      <c r="BZ76" s="7"/>
      <c r="CA76" s="8"/>
      <c r="CB76" s="7"/>
      <c r="CC76" s="7"/>
    </row>
    <row r="77" spans="1:81" ht="16" x14ac:dyDescent="0.2">
      <c r="A77" s="109" t="s">
        <v>263</v>
      </c>
      <c r="B77" s="26">
        <v>38</v>
      </c>
      <c r="C77" s="109" t="s">
        <v>103</v>
      </c>
      <c r="D77" s="26">
        <v>8</v>
      </c>
      <c r="E77" s="26">
        <v>2</v>
      </c>
      <c r="F77" s="26">
        <v>2</v>
      </c>
      <c r="G77" s="26" t="s">
        <v>51</v>
      </c>
      <c r="H77" s="26">
        <v>4</v>
      </c>
      <c r="I77" s="26" t="s">
        <v>51</v>
      </c>
      <c r="J77" s="26" t="s">
        <v>41</v>
      </c>
      <c r="K77" s="26"/>
      <c r="L77" s="26">
        <v>5</v>
      </c>
      <c r="M77" s="40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 t="s">
        <v>38</v>
      </c>
      <c r="AL77" s="36">
        <f>8/10</f>
        <v>0.8</v>
      </c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26"/>
      <c r="BF77" s="26"/>
      <c r="BG77" s="37">
        <v>1</v>
      </c>
      <c r="BH77" s="26"/>
      <c r="BI77" s="26"/>
      <c r="BJ77" s="26"/>
      <c r="BK77" s="26"/>
      <c r="BL77" s="26"/>
      <c r="BM77" s="26"/>
      <c r="BN77" s="26"/>
      <c r="BO77" s="37">
        <f t="shared" si="5"/>
        <v>1</v>
      </c>
      <c r="BP77" s="56">
        <f t="shared" si="6"/>
        <v>0</v>
      </c>
      <c r="BQ77" s="56">
        <f t="shared" si="7"/>
        <v>0</v>
      </c>
      <c r="BR77" s="57">
        <f t="shared" si="8"/>
        <v>0</v>
      </c>
      <c r="BS77" s="38"/>
      <c r="BT77" s="38"/>
      <c r="BU77" s="26"/>
      <c r="BV77" s="26"/>
      <c r="BW77" s="39">
        <f t="shared" si="9"/>
        <v>1</v>
      </c>
      <c r="BX77" s="78">
        <v>1</v>
      </c>
      <c r="BY77" s="63">
        <v>10</v>
      </c>
      <c r="BZ77" s="7"/>
      <c r="CA77" s="8"/>
      <c r="CB77" s="7"/>
      <c r="CC77" s="7"/>
    </row>
    <row r="78" spans="1:81" x14ac:dyDescent="0.2">
      <c r="A78" s="109" t="s">
        <v>263</v>
      </c>
      <c r="B78" s="26">
        <v>38</v>
      </c>
      <c r="C78" s="109" t="s">
        <v>103</v>
      </c>
      <c r="D78" s="26">
        <v>11</v>
      </c>
      <c r="E78" s="26">
        <v>2</v>
      </c>
      <c r="F78" s="26">
        <v>2</v>
      </c>
      <c r="G78" s="26" t="s">
        <v>51</v>
      </c>
      <c r="H78" s="26">
        <v>4</v>
      </c>
      <c r="I78" s="26" t="s">
        <v>51</v>
      </c>
      <c r="J78" s="26" t="s">
        <v>42</v>
      </c>
      <c r="K78" s="26"/>
      <c r="L78" s="26">
        <v>5</v>
      </c>
      <c r="M78" s="40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26"/>
      <c r="BF78" s="26"/>
      <c r="BG78" s="37"/>
      <c r="BH78" s="26"/>
      <c r="BI78" s="26"/>
      <c r="BJ78" s="26"/>
      <c r="BK78" s="26"/>
      <c r="BL78" s="26"/>
      <c r="BM78" s="26"/>
      <c r="BN78" s="26"/>
      <c r="BO78" s="37">
        <f t="shared" si="5"/>
        <v>0</v>
      </c>
      <c r="BP78" s="56">
        <f t="shared" si="6"/>
        <v>0</v>
      </c>
      <c r="BQ78" s="56">
        <f t="shared" si="7"/>
        <v>0</v>
      </c>
      <c r="BR78" s="57">
        <f t="shared" si="8"/>
        <v>0</v>
      </c>
      <c r="BS78" s="38"/>
      <c r="BT78" s="38"/>
      <c r="BU78" s="26"/>
      <c r="BV78" s="26"/>
      <c r="BW78" s="39">
        <f t="shared" si="9"/>
        <v>0</v>
      </c>
      <c r="BX78" s="78">
        <v>0</v>
      </c>
      <c r="BY78" s="63">
        <v>8</v>
      </c>
      <c r="BZ78" s="7"/>
      <c r="CA78" s="8"/>
      <c r="CB78" s="7"/>
      <c r="CC78" s="7"/>
    </row>
    <row r="79" spans="1:81" x14ac:dyDescent="0.2">
      <c r="A79" s="109" t="s">
        <v>263</v>
      </c>
      <c r="B79" s="26">
        <v>39</v>
      </c>
      <c r="C79" s="109" t="s">
        <v>104</v>
      </c>
      <c r="D79" s="38">
        <v>1</v>
      </c>
      <c r="E79" s="38">
        <v>2</v>
      </c>
      <c r="F79" s="38">
        <v>2</v>
      </c>
      <c r="G79" s="38" t="s">
        <v>51</v>
      </c>
      <c r="H79" s="38">
        <v>6</v>
      </c>
      <c r="I79" s="38" t="s">
        <v>56</v>
      </c>
      <c r="J79" s="38" t="s">
        <v>41</v>
      </c>
      <c r="K79" s="38"/>
      <c r="L79" s="38">
        <v>5</v>
      </c>
      <c r="M79" s="40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8"/>
      <c r="BF79" s="38"/>
      <c r="BG79" s="39"/>
      <c r="BH79" s="38"/>
      <c r="BI79" s="38"/>
      <c r="BJ79" s="38"/>
      <c r="BK79" s="38"/>
      <c r="BL79" s="38"/>
      <c r="BM79" s="38"/>
      <c r="BN79" s="38"/>
      <c r="BO79" s="37">
        <f t="shared" si="5"/>
        <v>0</v>
      </c>
      <c r="BP79" s="56">
        <f t="shared" si="6"/>
        <v>0</v>
      </c>
      <c r="BQ79" s="56">
        <f t="shared" si="7"/>
        <v>0</v>
      </c>
      <c r="BR79" s="57">
        <f t="shared" si="8"/>
        <v>0</v>
      </c>
      <c r="BS79" s="38"/>
      <c r="BT79" s="38"/>
      <c r="BU79" s="26"/>
      <c r="BV79" s="26"/>
      <c r="BW79" s="39">
        <f t="shared" si="9"/>
        <v>0</v>
      </c>
      <c r="BX79" s="78">
        <v>0</v>
      </c>
      <c r="BY79" s="63">
        <v>10</v>
      </c>
      <c r="BZ79" s="7"/>
      <c r="CA79" s="8"/>
      <c r="CB79" s="7"/>
      <c r="CC79" s="7"/>
    </row>
    <row r="80" spans="1:81" ht="16" x14ac:dyDescent="0.2">
      <c r="A80" s="109" t="s">
        <v>263</v>
      </c>
      <c r="B80" s="26">
        <v>39</v>
      </c>
      <c r="C80" s="109" t="s">
        <v>104</v>
      </c>
      <c r="D80" s="38">
        <v>2</v>
      </c>
      <c r="E80" s="38">
        <v>2</v>
      </c>
      <c r="F80" s="38">
        <v>2</v>
      </c>
      <c r="G80" s="38" t="s">
        <v>51</v>
      </c>
      <c r="H80" s="38">
        <v>6</v>
      </c>
      <c r="I80" s="38" t="s">
        <v>50</v>
      </c>
      <c r="J80" s="38" t="s">
        <v>60</v>
      </c>
      <c r="K80" s="38"/>
      <c r="L80" s="38">
        <v>6</v>
      </c>
      <c r="M80" s="40"/>
      <c r="N80" s="36"/>
      <c r="O80" s="36"/>
      <c r="P80" s="36"/>
      <c r="Q80" s="36"/>
      <c r="R80" s="36"/>
      <c r="S80" s="36" t="s">
        <v>39</v>
      </c>
      <c r="T80" s="36">
        <f>6.5/16</f>
        <v>0.40625</v>
      </c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8" t="s">
        <v>38</v>
      </c>
      <c r="BF80" s="38" t="s">
        <v>66</v>
      </c>
      <c r="BG80" s="39"/>
      <c r="BH80" s="38"/>
      <c r="BI80" s="38"/>
      <c r="BJ80" s="38">
        <v>1</v>
      </c>
      <c r="BK80" s="38"/>
      <c r="BL80" s="38"/>
      <c r="BM80" s="38"/>
      <c r="BN80" s="38"/>
      <c r="BO80" s="37">
        <f t="shared" si="5"/>
        <v>1</v>
      </c>
      <c r="BP80" s="56">
        <f t="shared" si="6"/>
        <v>1</v>
      </c>
      <c r="BQ80" s="56">
        <f t="shared" si="7"/>
        <v>0</v>
      </c>
      <c r="BR80" s="57">
        <f t="shared" si="8"/>
        <v>0</v>
      </c>
      <c r="BS80" s="38"/>
      <c r="BT80" s="38"/>
      <c r="BU80" s="26">
        <v>1</v>
      </c>
      <c r="BV80" s="26"/>
      <c r="BW80" s="39">
        <f t="shared" si="9"/>
        <v>2</v>
      </c>
      <c r="BX80" s="78">
        <v>2</v>
      </c>
      <c r="BY80" s="63">
        <v>7</v>
      </c>
      <c r="BZ80" s="7"/>
      <c r="CA80" s="8"/>
      <c r="CB80" s="7"/>
      <c r="CC80" s="7"/>
    </row>
    <row r="81" spans="1:81" ht="16" x14ac:dyDescent="0.2">
      <c r="A81" s="109" t="s">
        <v>263</v>
      </c>
      <c r="B81" s="26">
        <v>39</v>
      </c>
      <c r="C81" s="109" t="s">
        <v>104</v>
      </c>
      <c r="D81" s="38">
        <v>3</v>
      </c>
      <c r="E81" s="38">
        <v>2</v>
      </c>
      <c r="F81" s="38">
        <v>2</v>
      </c>
      <c r="G81" s="38" t="s">
        <v>51</v>
      </c>
      <c r="H81" s="38">
        <v>4</v>
      </c>
      <c r="I81" s="38" t="s">
        <v>51</v>
      </c>
      <c r="J81" s="38" t="s">
        <v>41</v>
      </c>
      <c r="K81" s="38"/>
      <c r="L81" s="38">
        <v>6</v>
      </c>
      <c r="M81" s="40"/>
      <c r="N81" s="36"/>
      <c r="O81" s="36"/>
      <c r="P81" s="36"/>
      <c r="Q81" s="36"/>
      <c r="R81" s="36"/>
      <c r="S81" s="36"/>
      <c r="T81" s="36"/>
      <c r="U81" s="36" t="s">
        <v>57</v>
      </c>
      <c r="V81" s="36">
        <f>15/16</f>
        <v>0.9375</v>
      </c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 t="s">
        <v>38</v>
      </c>
      <c r="AJ81" s="36">
        <f>16.5/16</f>
        <v>1.03125</v>
      </c>
      <c r="AK81" s="36"/>
      <c r="AL81" s="36"/>
      <c r="AM81" s="36"/>
      <c r="AN81" s="36"/>
      <c r="AO81" s="36"/>
      <c r="AP81" s="36"/>
      <c r="AQ81" s="36" t="s">
        <v>38</v>
      </c>
      <c r="AR81" s="36">
        <f>16/16</f>
        <v>1</v>
      </c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8"/>
      <c r="BF81" s="38"/>
      <c r="BG81" s="39">
        <v>2</v>
      </c>
      <c r="BH81" s="38"/>
      <c r="BI81" s="38"/>
      <c r="BJ81" s="38"/>
      <c r="BK81" s="38"/>
      <c r="BL81" s="38"/>
      <c r="BM81" s="38">
        <v>1</v>
      </c>
      <c r="BN81" s="38"/>
      <c r="BO81" s="37">
        <f t="shared" si="5"/>
        <v>2</v>
      </c>
      <c r="BP81" s="56">
        <f t="shared" si="6"/>
        <v>0</v>
      </c>
      <c r="BQ81" s="56">
        <f t="shared" si="7"/>
        <v>1</v>
      </c>
      <c r="BR81" s="57">
        <f t="shared" si="8"/>
        <v>0</v>
      </c>
      <c r="BS81" s="38"/>
      <c r="BT81" s="38"/>
      <c r="BU81" s="26"/>
      <c r="BV81" s="26"/>
      <c r="BW81" s="39">
        <f t="shared" si="9"/>
        <v>3</v>
      </c>
      <c r="BX81" s="78">
        <v>2</v>
      </c>
      <c r="BY81" s="63">
        <v>10</v>
      </c>
      <c r="BZ81" s="7"/>
      <c r="CA81" s="8"/>
      <c r="CB81" s="7"/>
      <c r="CC81" s="7"/>
    </row>
    <row r="82" spans="1:81" ht="16" x14ac:dyDescent="0.2">
      <c r="A82" s="109" t="s">
        <v>263</v>
      </c>
      <c r="B82" s="26">
        <v>39</v>
      </c>
      <c r="C82" s="109" t="s">
        <v>104</v>
      </c>
      <c r="D82" s="38">
        <v>4</v>
      </c>
      <c r="E82" s="38">
        <v>2</v>
      </c>
      <c r="F82" s="38">
        <v>2</v>
      </c>
      <c r="G82" s="38" t="s">
        <v>51</v>
      </c>
      <c r="H82" s="38">
        <v>4</v>
      </c>
      <c r="I82" s="38" t="s">
        <v>51</v>
      </c>
      <c r="J82" s="38" t="s">
        <v>42</v>
      </c>
      <c r="K82" s="38"/>
      <c r="L82" s="38">
        <v>5</v>
      </c>
      <c r="M82" s="40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 t="s">
        <v>39</v>
      </c>
      <c r="AD82" s="36">
        <f>11/16</f>
        <v>0.6875</v>
      </c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8"/>
      <c r="BF82" s="38"/>
      <c r="BG82" s="39"/>
      <c r="BH82" s="38"/>
      <c r="BI82" s="38"/>
      <c r="BJ82" s="38">
        <v>1</v>
      </c>
      <c r="BK82" s="38"/>
      <c r="BL82" s="38"/>
      <c r="BM82" s="38"/>
      <c r="BN82" s="38"/>
      <c r="BO82" s="37">
        <f t="shared" si="5"/>
        <v>0</v>
      </c>
      <c r="BP82" s="56">
        <f t="shared" si="6"/>
        <v>1</v>
      </c>
      <c r="BQ82" s="56">
        <f t="shared" si="7"/>
        <v>0</v>
      </c>
      <c r="BR82" s="57">
        <f t="shared" si="8"/>
        <v>0</v>
      </c>
      <c r="BS82" s="38"/>
      <c r="BT82" s="38"/>
      <c r="BU82" s="26"/>
      <c r="BV82" s="26"/>
      <c r="BW82" s="39">
        <f t="shared" si="9"/>
        <v>1</v>
      </c>
      <c r="BX82" s="78">
        <v>3</v>
      </c>
      <c r="BY82" s="63">
        <v>8</v>
      </c>
      <c r="BZ82" s="7"/>
      <c r="CA82" s="8"/>
      <c r="CB82" s="7"/>
      <c r="CC82" s="7"/>
    </row>
    <row r="83" spans="1:81" ht="16" x14ac:dyDescent="0.2">
      <c r="A83" s="109" t="s">
        <v>264</v>
      </c>
      <c r="B83" s="26">
        <v>43</v>
      </c>
      <c r="C83" s="109" t="s">
        <v>105</v>
      </c>
      <c r="D83" s="26">
        <v>1</v>
      </c>
      <c r="E83" s="26">
        <v>2</v>
      </c>
      <c r="F83" s="26">
        <v>2</v>
      </c>
      <c r="G83" s="26" t="s">
        <v>51</v>
      </c>
      <c r="H83" s="26">
        <v>4</v>
      </c>
      <c r="I83" s="26" t="s">
        <v>51</v>
      </c>
      <c r="J83" s="26"/>
      <c r="K83" s="26" t="s">
        <v>47</v>
      </c>
      <c r="L83" s="26">
        <v>6</v>
      </c>
      <c r="M83" s="40" t="s">
        <v>39</v>
      </c>
      <c r="N83" s="36">
        <f>6.5/7</f>
        <v>0.9285714285714286</v>
      </c>
      <c r="O83" s="36"/>
      <c r="P83" s="36"/>
      <c r="Q83" s="36"/>
      <c r="R83" s="36"/>
      <c r="S83" s="36"/>
      <c r="T83" s="36"/>
      <c r="U83" s="36"/>
      <c r="V83" s="36"/>
      <c r="W83" s="36" t="s">
        <v>38</v>
      </c>
      <c r="X83" s="36">
        <f>6/7</f>
        <v>0.8571428571428571</v>
      </c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 t="s">
        <v>39</v>
      </c>
      <c r="AP83" s="36">
        <f>6.5/7</f>
        <v>0.9285714285714286</v>
      </c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 t="s">
        <v>38</v>
      </c>
      <c r="BD83" s="36">
        <f>6.5/7</f>
        <v>0.9285714285714286</v>
      </c>
      <c r="BE83" s="26"/>
      <c r="BF83" s="26"/>
      <c r="BG83" s="37">
        <v>2</v>
      </c>
      <c r="BH83" s="26"/>
      <c r="BI83" s="26">
        <v>2</v>
      </c>
      <c r="BJ83" s="26"/>
      <c r="BK83" s="26"/>
      <c r="BL83" s="26"/>
      <c r="BM83" s="26"/>
      <c r="BN83" s="26"/>
      <c r="BO83" s="37">
        <f t="shared" si="5"/>
        <v>4</v>
      </c>
      <c r="BP83" s="56">
        <f t="shared" si="6"/>
        <v>0</v>
      </c>
      <c r="BQ83" s="56">
        <f t="shared" si="7"/>
        <v>0</v>
      </c>
      <c r="BR83" s="57">
        <f t="shared" si="8"/>
        <v>0</v>
      </c>
      <c r="BS83" s="38"/>
      <c r="BT83" s="38"/>
      <c r="BU83" s="26"/>
      <c r="BV83" s="26"/>
      <c r="BW83" s="39">
        <f t="shared" si="9"/>
        <v>4</v>
      </c>
      <c r="BX83" s="78">
        <v>1</v>
      </c>
      <c r="BY83" s="63">
        <v>3</v>
      </c>
      <c r="BZ83" s="7"/>
      <c r="CA83" s="8"/>
      <c r="CB83" s="7"/>
      <c r="CC83" s="7"/>
    </row>
    <row r="84" spans="1:81" ht="16" x14ac:dyDescent="0.2">
      <c r="A84" s="109" t="s">
        <v>264</v>
      </c>
      <c r="B84" s="26">
        <v>43</v>
      </c>
      <c r="C84" s="109" t="s">
        <v>105</v>
      </c>
      <c r="D84" s="26">
        <v>2</v>
      </c>
      <c r="E84" s="26">
        <v>2</v>
      </c>
      <c r="F84" s="26">
        <v>2</v>
      </c>
      <c r="G84" s="26" t="s">
        <v>51</v>
      </c>
      <c r="H84" s="26">
        <v>4</v>
      </c>
      <c r="I84" s="26" t="s">
        <v>51</v>
      </c>
      <c r="J84" s="26"/>
      <c r="K84" s="26" t="s">
        <v>47</v>
      </c>
      <c r="L84" s="26">
        <v>6</v>
      </c>
      <c r="M84" s="40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 t="s">
        <v>39</v>
      </c>
      <c r="AF84" s="36">
        <f>4.5/7</f>
        <v>0.6428571428571429</v>
      </c>
      <c r="AG84" s="36" t="s">
        <v>38</v>
      </c>
      <c r="AH84" s="36">
        <f>3/7</f>
        <v>0.42857142857142855</v>
      </c>
      <c r="AI84" s="36" t="s">
        <v>38</v>
      </c>
      <c r="AJ84" s="36">
        <f>3/7</f>
        <v>0.42857142857142855</v>
      </c>
      <c r="AK84" s="36"/>
      <c r="AL84" s="36"/>
      <c r="AM84" s="36" t="s">
        <v>38</v>
      </c>
      <c r="AN84" s="36">
        <f>3/7</f>
        <v>0.42857142857142855</v>
      </c>
      <c r="AO84" s="36"/>
      <c r="AP84" s="36"/>
      <c r="AQ84" s="36"/>
      <c r="AR84" s="36"/>
      <c r="AS84" s="36" t="s">
        <v>39</v>
      </c>
      <c r="AT84" s="36">
        <f>3/7</f>
        <v>0.42857142857142855</v>
      </c>
      <c r="AU84" s="36"/>
      <c r="AV84" s="36"/>
      <c r="AW84" s="36" t="s">
        <v>39</v>
      </c>
      <c r="AX84" s="36">
        <f>3/7</f>
        <v>0.42857142857142855</v>
      </c>
      <c r="AY84" s="36"/>
      <c r="AZ84" s="36"/>
      <c r="BA84" s="36" t="s">
        <v>39</v>
      </c>
      <c r="BB84" s="36">
        <f>5/7</f>
        <v>0.7142857142857143</v>
      </c>
      <c r="BC84" s="36"/>
      <c r="BD84" s="36"/>
      <c r="BE84" s="26"/>
      <c r="BF84" s="26"/>
      <c r="BG84" s="37"/>
      <c r="BH84" s="26">
        <v>3</v>
      </c>
      <c r="BI84" s="26">
        <v>1</v>
      </c>
      <c r="BJ84" s="26">
        <v>3</v>
      </c>
      <c r="BK84" s="26"/>
      <c r="BL84" s="26"/>
      <c r="BM84" s="26"/>
      <c r="BN84" s="26"/>
      <c r="BO84" s="37">
        <f t="shared" si="5"/>
        <v>1</v>
      </c>
      <c r="BP84" s="56">
        <f t="shared" si="6"/>
        <v>6</v>
      </c>
      <c r="BQ84" s="56">
        <f t="shared" si="7"/>
        <v>0</v>
      </c>
      <c r="BR84" s="57">
        <f t="shared" si="8"/>
        <v>0</v>
      </c>
      <c r="BS84" s="38"/>
      <c r="BT84" s="38"/>
      <c r="BU84" s="26"/>
      <c r="BV84" s="26"/>
      <c r="BW84" s="39">
        <f t="shared" si="9"/>
        <v>7</v>
      </c>
      <c r="BX84" s="78">
        <v>2</v>
      </c>
      <c r="BY84" s="63">
        <v>3</v>
      </c>
      <c r="BZ84" s="7"/>
      <c r="CA84" s="8"/>
      <c r="CB84" s="7"/>
      <c r="CC84" s="7"/>
    </row>
    <row r="85" spans="1:81" ht="16" x14ac:dyDescent="0.2">
      <c r="A85" s="109" t="s">
        <v>264</v>
      </c>
      <c r="B85" s="26">
        <v>43</v>
      </c>
      <c r="C85" s="109" t="s">
        <v>105</v>
      </c>
      <c r="D85" s="26">
        <v>3</v>
      </c>
      <c r="E85" s="26">
        <v>2</v>
      </c>
      <c r="F85" s="26">
        <v>2</v>
      </c>
      <c r="G85" s="26" t="s">
        <v>51</v>
      </c>
      <c r="H85" s="26">
        <v>4</v>
      </c>
      <c r="I85" s="26" t="s">
        <v>51</v>
      </c>
      <c r="J85" s="26" t="s">
        <v>41</v>
      </c>
      <c r="K85" s="26"/>
      <c r="L85" s="26">
        <v>5</v>
      </c>
      <c r="M85" s="40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 t="s">
        <v>39</v>
      </c>
      <c r="AX85" s="36">
        <f>7/8</f>
        <v>0.875</v>
      </c>
      <c r="AY85" s="36"/>
      <c r="AZ85" s="36"/>
      <c r="BA85" s="36" t="s">
        <v>38</v>
      </c>
      <c r="BB85" s="36">
        <f>7.5/8</f>
        <v>0.9375</v>
      </c>
      <c r="BC85" s="36"/>
      <c r="BD85" s="36"/>
      <c r="BE85" s="26"/>
      <c r="BF85" s="26"/>
      <c r="BG85" s="37">
        <v>1</v>
      </c>
      <c r="BH85" s="26"/>
      <c r="BI85" s="26">
        <v>1</v>
      </c>
      <c r="BJ85" s="26"/>
      <c r="BK85" s="26"/>
      <c r="BL85" s="26"/>
      <c r="BM85" s="26"/>
      <c r="BN85" s="26"/>
      <c r="BO85" s="37">
        <f t="shared" si="5"/>
        <v>2</v>
      </c>
      <c r="BP85" s="56">
        <f t="shared" si="6"/>
        <v>0</v>
      </c>
      <c r="BQ85" s="56">
        <f t="shared" si="7"/>
        <v>0</v>
      </c>
      <c r="BR85" s="57">
        <f t="shared" si="8"/>
        <v>0</v>
      </c>
      <c r="BS85" s="38"/>
      <c r="BT85" s="38"/>
      <c r="BU85" s="26"/>
      <c r="BV85" s="26"/>
      <c r="BW85" s="39">
        <f t="shared" si="9"/>
        <v>2</v>
      </c>
      <c r="BX85" s="78">
        <v>1</v>
      </c>
      <c r="BY85" s="63">
        <v>10</v>
      </c>
      <c r="BZ85" s="7"/>
      <c r="CA85" s="8"/>
      <c r="CB85" s="7"/>
      <c r="CC85" s="7"/>
    </row>
    <row r="86" spans="1:81" ht="16" x14ac:dyDescent="0.2">
      <c r="A86" s="109" t="s">
        <v>264</v>
      </c>
      <c r="B86" s="26">
        <v>43</v>
      </c>
      <c r="C86" s="109" t="s">
        <v>105</v>
      </c>
      <c r="D86" s="26">
        <v>4</v>
      </c>
      <c r="E86" s="26">
        <v>2</v>
      </c>
      <c r="F86" s="26">
        <v>2</v>
      </c>
      <c r="G86" s="26" t="s">
        <v>51</v>
      </c>
      <c r="H86" s="26">
        <v>5</v>
      </c>
      <c r="I86" s="26" t="s">
        <v>56</v>
      </c>
      <c r="J86" s="26"/>
      <c r="K86" s="26" t="s">
        <v>47</v>
      </c>
      <c r="L86" s="26">
        <v>6</v>
      </c>
      <c r="M86" s="40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 t="s">
        <v>39</v>
      </c>
      <c r="AB86" s="36">
        <f>5/7.5</f>
        <v>0.66666666666666663</v>
      </c>
      <c r="AC86" s="36"/>
      <c r="AD86" s="36"/>
      <c r="AE86" s="36"/>
      <c r="AF86" s="36"/>
      <c r="AG86" s="36" t="s">
        <v>39</v>
      </c>
      <c r="AH86" s="36">
        <f>5/7.5</f>
        <v>0.66666666666666663</v>
      </c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 t="s">
        <v>38</v>
      </c>
      <c r="AT86" s="36">
        <f>6.5/7.5</f>
        <v>0.8666666666666667</v>
      </c>
      <c r="AU86" s="36"/>
      <c r="AV86" s="36"/>
      <c r="AW86" s="36"/>
      <c r="AX86" s="36"/>
      <c r="AY86" s="36"/>
      <c r="AZ86" s="36"/>
      <c r="BA86" s="36" t="s">
        <v>38</v>
      </c>
      <c r="BB86" s="36">
        <f>6.5/7.5</f>
        <v>0.8666666666666667</v>
      </c>
      <c r="BC86" s="36" t="s">
        <v>38</v>
      </c>
      <c r="BD86" s="36">
        <f>6/7.5</f>
        <v>0.8</v>
      </c>
      <c r="BE86" s="26"/>
      <c r="BF86" s="26"/>
      <c r="BG86" s="37">
        <v>3</v>
      </c>
      <c r="BH86" s="26"/>
      <c r="BI86" s="26"/>
      <c r="BJ86" s="26">
        <v>2</v>
      </c>
      <c r="BK86" s="26"/>
      <c r="BL86" s="26"/>
      <c r="BM86" s="26"/>
      <c r="BN86" s="26"/>
      <c r="BO86" s="37">
        <f t="shared" si="5"/>
        <v>3</v>
      </c>
      <c r="BP86" s="56">
        <f t="shared" si="6"/>
        <v>2</v>
      </c>
      <c r="BQ86" s="56">
        <f t="shared" si="7"/>
        <v>0</v>
      </c>
      <c r="BR86" s="57">
        <f t="shared" si="8"/>
        <v>0</v>
      </c>
      <c r="BS86" s="38"/>
      <c r="BT86" s="38"/>
      <c r="BU86" s="26"/>
      <c r="BV86" s="26"/>
      <c r="BW86" s="39">
        <f t="shared" si="9"/>
        <v>5</v>
      </c>
      <c r="BX86" s="78">
        <v>2</v>
      </c>
      <c r="BY86" s="63">
        <v>3</v>
      </c>
      <c r="BZ86" s="7"/>
      <c r="CA86" s="8"/>
      <c r="CB86" s="7"/>
      <c r="CC86" s="7"/>
    </row>
    <row r="87" spans="1:81" ht="16" x14ac:dyDescent="0.2">
      <c r="A87" s="111" t="s">
        <v>264</v>
      </c>
      <c r="B87" s="26">
        <v>43</v>
      </c>
      <c r="C87" s="109" t="s">
        <v>105</v>
      </c>
      <c r="D87" s="26">
        <v>5</v>
      </c>
      <c r="E87" s="26">
        <v>2</v>
      </c>
      <c r="F87" s="26">
        <v>2</v>
      </c>
      <c r="G87" s="26" t="s">
        <v>51</v>
      </c>
      <c r="H87" s="26">
        <v>2</v>
      </c>
      <c r="I87" s="26" t="s">
        <v>54</v>
      </c>
      <c r="J87" s="26"/>
      <c r="K87" s="26">
        <v>2</v>
      </c>
      <c r="L87" s="26">
        <v>6</v>
      </c>
      <c r="M87" s="40"/>
      <c r="N87" s="36"/>
      <c r="O87" s="36" t="s">
        <v>39</v>
      </c>
      <c r="P87" s="36">
        <f>3.5/7</f>
        <v>0.5</v>
      </c>
      <c r="Q87" s="36" t="s">
        <v>38</v>
      </c>
      <c r="R87" s="36">
        <f>5/7</f>
        <v>0.7142857142857143</v>
      </c>
      <c r="S87" s="36"/>
      <c r="T87" s="36"/>
      <c r="U87" s="36"/>
      <c r="V87" s="36"/>
      <c r="W87" s="36"/>
      <c r="X87" s="36"/>
      <c r="Y87" s="36"/>
      <c r="Z87" s="36"/>
      <c r="AA87" s="36" t="s">
        <v>39</v>
      </c>
      <c r="AB87" s="36">
        <f>7/7</f>
        <v>1</v>
      </c>
      <c r="AC87" s="36"/>
      <c r="AD87" s="36"/>
      <c r="AE87" s="36" t="s">
        <v>39</v>
      </c>
      <c r="AF87" s="36">
        <f>7.5/7</f>
        <v>1.0714285714285714</v>
      </c>
      <c r="AG87" s="36"/>
      <c r="AH87" s="36"/>
      <c r="AI87" s="36"/>
      <c r="AJ87" s="36"/>
      <c r="AK87" s="36" t="s">
        <v>38</v>
      </c>
      <c r="AL87" s="36">
        <f>7.5/7</f>
        <v>1.0714285714285714</v>
      </c>
      <c r="AM87" s="36" t="s">
        <v>38</v>
      </c>
      <c r="AN87" s="36">
        <f>5/7</f>
        <v>0.7142857142857143</v>
      </c>
      <c r="AO87" s="36" t="s">
        <v>39</v>
      </c>
      <c r="AP87" s="36">
        <f>2.5/7</f>
        <v>0.35714285714285715</v>
      </c>
      <c r="AQ87" s="36" t="s">
        <v>38</v>
      </c>
      <c r="AR87" s="36">
        <f>3/7</f>
        <v>0.42857142857142855</v>
      </c>
      <c r="AS87" s="36" t="s">
        <v>39</v>
      </c>
      <c r="AT87" s="36">
        <f>5/7</f>
        <v>0.7142857142857143</v>
      </c>
      <c r="AU87" s="36"/>
      <c r="AV87" s="36"/>
      <c r="AW87" s="36" t="s">
        <v>38</v>
      </c>
      <c r="AX87" s="36">
        <f>9/7</f>
        <v>1.2857142857142858</v>
      </c>
      <c r="AY87" s="36" t="s">
        <v>39</v>
      </c>
      <c r="AZ87" s="36">
        <f>6.5/7</f>
        <v>0.9285714285714286</v>
      </c>
      <c r="BA87" s="36"/>
      <c r="BB87" s="36"/>
      <c r="BC87" s="36" t="s">
        <v>39</v>
      </c>
      <c r="BD87" s="36">
        <f>8/7</f>
        <v>1.1428571428571428</v>
      </c>
      <c r="BE87" s="26" t="s">
        <v>39</v>
      </c>
      <c r="BF87" s="26" t="s">
        <v>46</v>
      </c>
      <c r="BG87" s="39">
        <v>4</v>
      </c>
      <c r="BH87" s="38">
        <v>1</v>
      </c>
      <c r="BI87" s="38">
        <v>5</v>
      </c>
      <c r="BJ87" s="38">
        <v>2</v>
      </c>
      <c r="BK87" s="38"/>
      <c r="BL87" s="38"/>
      <c r="BM87" s="38"/>
      <c r="BN87" s="38"/>
      <c r="BO87" s="37">
        <f t="shared" si="5"/>
        <v>10</v>
      </c>
      <c r="BP87" s="56">
        <f t="shared" si="6"/>
        <v>3</v>
      </c>
      <c r="BQ87" s="56">
        <f t="shared" si="7"/>
        <v>0</v>
      </c>
      <c r="BR87" s="57">
        <f t="shared" si="8"/>
        <v>0</v>
      </c>
      <c r="BS87" s="38"/>
      <c r="BT87" s="38"/>
      <c r="BU87" s="26">
        <v>1</v>
      </c>
      <c r="BV87" s="26"/>
      <c r="BW87" s="39">
        <f t="shared" si="9"/>
        <v>13</v>
      </c>
      <c r="BX87" s="78">
        <v>2</v>
      </c>
      <c r="BY87" s="63">
        <v>1</v>
      </c>
      <c r="BZ87" s="7"/>
      <c r="CA87" s="8"/>
      <c r="CB87" s="17"/>
      <c r="CC87" s="17"/>
    </row>
    <row r="88" spans="1:81" ht="16" x14ac:dyDescent="0.2">
      <c r="A88" s="111" t="s">
        <v>264</v>
      </c>
      <c r="B88" s="26">
        <v>43</v>
      </c>
      <c r="C88" s="109" t="s">
        <v>105</v>
      </c>
      <c r="D88" s="26">
        <v>6</v>
      </c>
      <c r="E88" s="26">
        <v>2</v>
      </c>
      <c r="F88" s="26">
        <v>2</v>
      </c>
      <c r="G88" s="26" t="s">
        <v>51</v>
      </c>
      <c r="H88" s="26">
        <v>5</v>
      </c>
      <c r="I88" s="26" t="s">
        <v>56</v>
      </c>
      <c r="J88" s="26" t="s">
        <v>60</v>
      </c>
      <c r="K88" s="26"/>
      <c r="L88" s="26">
        <v>6</v>
      </c>
      <c r="M88" s="40" t="s">
        <v>38</v>
      </c>
      <c r="N88" s="36">
        <f>5/7</f>
        <v>0.7142857142857143</v>
      </c>
      <c r="O88" s="36" t="s">
        <v>38</v>
      </c>
      <c r="P88" s="36">
        <f>5/7</f>
        <v>0.7142857142857143</v>
      </c>
      <c r="Q88" s="36"/>
      <c r="R88" s="36"/>
      <c r="S88" s="36" t="s">
        <v>38</v>
      </c>
      <c r="T88" s="36">
        <f>5/7</f>
        <v>0.7142857142857143</v>
      </c>
      <c r="U88" s="36"/>
      <c r="V88" s="36"/>
      <c r="W88" s="36"/>
      <c r="X88" s="36"/>
      <c r="Y88" s="36" t="s">
        <v>38</v>
      </c>
      <c r="Z88" s="36">
        <f>4/7</f>
        <v>0.5714285714285714</v>
      </c>
      <c r="AA88" s="36"/>
      <c r="AB88" s="36"/>
      <c r="AC88" s="36"/>
      <c r="AD88" s="36"/>
      <c r="AE88" s="36" t="s">
        <v>38</v>
      </c>
      <c r="AF88" s="36">
        <f>4.5/7</f>
        <v>0.6428571428571429</v>
      </c>
      <c r="AG88" s="36"/>
      <c r="AH88" s="36"/>
      <c r="AI88" s="36"/>
      <c r="AJ88" s="36"/>
      <c r="AK88" s="36" t="s">
        <v>38</v>
      </c>
      <c r="AL88" s="36">
        <f>5/7</f>
        <v>0.7142857142857143</v>
      </c>
      <c r="AM88" s="36"/>
      <c r="AN88" s="36"/>
      <c r="AO88" s="36"/>
      <c r="AP88" s="36"/>
      <c r="AQ88" s="36" t="s">
        <v>38</v>
      </c>
      <c r="AR88" s="36">
        <f>5/7</f>
        <v>0.7142857142857143</v>
      </c>
      <c r="AS88" s="36"/>
      <c r="AT88" s="36"/>
      <c r="AU88" s="36"/>
      <c r="AV88" s="36"/>
      <c r="AW88" s="36"/>
      <c r="AX88" s="36"/>
      <c r="AY88" s="36"/>
      <c r="AZ88" s="36"/>
      <c r="BA88" s="36" t="s">
        <v>38</v>
      </c>
      <c r="BB88" s="36">
        <f>5/7</f>
        <v>0.7142857142857143</v>
      </c>
      <c r="BC88" s="36"/>
      <c r="BD88" s="36"/>
      <c r="BE88" s="26" t="s">
        <v>38</v>
      </c>
      <c r="BF88" s="26" t="s">
        <v>67</v>
      </c>
      <c r="BG88" s="39">
        <v>6</v>
      </c>
      <c r="BH88" s="38">
        <v>2</v>
      </c>
      <c r="BI88" s="38"/>
      <c r="BJ88" s="38"/>
      <c r="BK88" s="38"/>
      <c r="BL88" s="38"/>
      <c r="BM88" s="38"/>
      <c r="BN88" s="38"/>
      <c r="BO88" s="37">
        <f t="shared" si="5"/>
        <v>7</v>
      </c>
      <c r="BP88" s="56">
        <f t="shared" si="6"/>
        <v>2</v>
      </c>
      <c r="BQ88" s="56">
        <f t="shared" si="7"/>
        <v>0</v>
      </c>
      <c r="BR88" s="57">
        <f t="shared" si="8"/>
        <v>0</v>
      </c>
      <c r="BS88" s="38"/>
      <c r="BT88" s="38"/>
      <c r="BU88" s="26">
        <v>1</v>
      </c>
      <c r="BV88" s="26"/>
      <c r="BW88" s="39">
        <f t="shared" si="9"/>
        <v>9</v>
      </c>
      <c r="BX88" s="78">
        <v>2</v>
      </c>
      <c r="BY88" s="63">
        <v>7</v>
      </c>
      <c r="BZ88" s="7"/>
      <c r="CA88" s="8"/>
      <c r="CB88" s="17"/>
      <c r="CC88" s="17"/>
    </row>
    <row r="89" spans="1:81" ht="16" x14ac:dyDescent="0.2">
      <c r="A89" s="111" t="s">
        <v>264</v>
      </c>
      <c r="B89" s="26">
        <v>43</v>
      </c>
      <c r="C89" s="109" t="s">
        <v>105</v>
      </c>
      <c r="D89" s="26">
        <v>7</v>
      </c>
      <c r="E89" s="26">
        <v>2</v>
      </c>
      <c r="F89" s="26">
        <v>2</v>
      </c>
      <c r="G89" s="26" t="s">
        <v>51</v>
      </c>
      <c r="H89" s="26">
        <v>5</v>
      </c>
      <c r="I89" s="26" t="s">
        <v>56</v>
      </c>
      <c r="J89" s="26" t="s">
        <v>42</v>
      </c>
      <c r="K89" s="26"/>
      <c r="L89" s="26">
        <v>5</v>
      </c>
      <c r="M89" s="40"/>
      <c r="N89" s="36"/>
      <c r="O89" s="36"/>
      <c r="P89" s="36"/>
      <c r="Q89" s="36"/>
      <c r="R89" s="36"/>
      <c r="S89" s="36" t="s">
        <v>38</v>
      </c>
      <c r="T89" s="36">
        <f>6/7</f>
        <v>0.8571428571428571</v>
      </c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 t="s">
        <v>39</v>
      </c>
      <c r="AP89" s="36">
        <f>7/7</f>
        <v>1</v>
      </c>
      <c r="AQ89" s="36"/>
      <c r="AR89" s="36"/>
      <c r="AS89" s="36"/>
      <c r="AT89" s="36"/>
      <c r="AU89" s="36"/>
      <c r="AV89" s="36"/>
      <c r="AW89" s="36" t="s">
        <v>38</v>
      </c>
      <c r="AX89" s="36">
        <f>7/7</f>
        <v>1</v>
      </c>
      <c r="AY89" s="36"/>
      <c r="AZ89" s="36"/>
      <c r="BA89" s="36"/>
      <c r="BB89" s="36"/>
      <c r="BC89" s="36"/>
      <c r="BD89" s="36"/>
      <c r="BE89" s="26"/>
      <c r="BF89" s="26"/>
      <c r="BG89" s="39">
        <v>2</v>
      </c>
      <c r="BH89" s="38"/>
      <c r="BI89" s="38">
        <v>1</v>
      </c>
      <c r="BJ89" s="38"/>
      <c r="BK89" s="38"/>
      <c r="BL89" s="38"/>
      <c r="BM89" s="38"/>
      <c r="BN89" s="38"/>
      <c r="BO89" s="37">
        <f t="shared" si="5"/>
        <v>3</v>
      </c>
      <c r="BP89" s="56">
        <f t="shared" si="6"/>
        <v>0</v>
      </c>
      <c r="BQ89" s="56">
        <f t="shared" si="7"/>
        <v>0</v>
      </c>
      <c r="BR89" s="57">
        <f t="shared" si="8"/>
        <v>0</v>
      </c>
      <c r="BS89" s="38"/>
      <c r="BT89" s="38"/>
      <c r="BU89" s="26"/>
      <c r="BV89" s="26"/>
      <c r="BW89" s="39">
        <f t="shared" si="9"/>
        <v>3</v>
      </c>
      <c r="BX89" s="78">
        <v>1</v>
      </c>
      <c r="BY89" s="63">
        <v>8</v>
      </c>
      <c r="BZ89" s="7"/>
      <c r="CA89" s="8"/>
      <c r="CB89" s="17"/>
      <c r="CC89" s="17"/>
    </row>
    <row r="90" spans="1:81" ht="16" x14ac:dyDescent="0.2">
      <c r="A90" s="109" t="s">
        <v>264</v>
      </c>
      <c r="B90" s="26">
        <v>43</v>
      </c>
      <c r="C90" s="109" t="s">
        <v>105</v>
      </c>
      <c r="D90" s="26">
        <v>8</v>
      </c>
      <c r="E90" s="26">
        <v>2</v>
      </c>
      <c r="F90" s="26">
        <v>3</v>
      </c>
      <c r="G90" s="26" t="s">
        <v>50</v>
      </c>
      <c r="H90" s="26">
        <v>5</v>
      </c>
      <c r="I90" s="26" t="s">
        <v>51</v>
      </c>
      <c r="J90" s="26"/>
      <c r="K90" s="26" t="s">
        <v>47</v>
      </c>
      <c r="L90" s="26">
        <v>6</v>
      </c>
      <c r="M90" s="40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 t="s">
        <v>38</v>
      </c>
      <c r="AF90" s="36">
        <f>6/7</f>
        <v>0.8571428571428571</v>
      </c>
      <c r="AG90" s="36" t="s">
        <v>38</v>
      </c>
      <c r="AH90" s="36">
        <f>7/7</f>
        <v>1</v>
      </c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 t="s">
        <v>39</v>
      </c>
      <c r="AX90" s="36">
        <f>6/7</f>
        <v>0.8571428571428571</v>
      </c>
      <c r="AY90" s="36"/>
      <c r="AZ90" s="36"/>
      <c r="BA90" s="36"/>
      <c r="BB90" s="36"/>
      <c r="BC90" s="36"/>
      <c r="BD90" s="36"/>
      <c r="BE90" s="26"/>
      <c r="BF90" s="26"/>
      <c r="BG90" s="37">
        <v>2</v>
      </c>
      <c r="BH90" s="26"/>
      <c r="BI90" s="26">
        <v>1</v>
      </c>
      <c r="BJ90" s="26"/>
      <c r="BK90" s="26"/>
      <c r="BL90" s="26"/>
      <c r="BM90" s="26"/>
      <c r="BN90" s="26"/>
      <c r="BO90" s="37">
        <f t="shared" si="5"/>
        <v>3</v>
      </c>
      <c r="BP90" s="56">
        <f t="shared" si="6"/>
        <v>0</v>
      </c>
      <c r="BQ90" s="56">
        <f t="shared" si="7"/>
        <v>0</v>
      </c>
      <c r="BR90" s="57">
        <f t="shared" si="8"/>
        <v>0</v>
      </c>
      <c r="BS90" s="38"/>
      <c r="BT90" s="38"/>
      <c r="BU90" s="26"/>
      <c r="BV90" s="26"/>
      <c r="BW90" s="39">
        <f t="shared" si="9"/>
        <v>3</v>
      </c>
      <c r="BX90" s="78">
        <v>1</v>
      </c>
      <c r="BY90" s="63">
        <v>3</v>
      </c>
      <c r="CB90" s="7"/>
      <c r="CC90" s="7"/>
    </row>
    <row r="91" spans="1:81" ht="16" x14ac:dyDescent="0.2">
      <c r="A91" s="109" t="s">
        <v>264</v>
      </c>
      <c r="B91" s="26">
        <v>43</v>
      </c>
      <c r="C91" s="109" t="s">
        <v>105</v>
      </c>
      <c r="D91" s="26">
        <v>9</v>
      </c>
      <c r="E91" s="26">
        <v>2</v>
      </c>
      <c r="F91" s="26">
        <v>2</v>
      </c>
      <c r="G91" s="26" t="s">
        <v>51</v>
      </c>
      <c r="H91" s="26">
        <v>4</v>
      </c>
      <c r="I91" s="26" t="s">
        <v>51</v>
      </c>
      <c r="J91" s="26" t="s">
        <v>41</v>
      </c>
      <c r="K91" s="26"/>
      <c r="L91" s="26">
        <v>5</v>
      </c>
      <c r="M91" s="40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 t="s">
        <v>38</v>
      </c>
      <c r="AN91" s="36">
        <f>7/7</f>
        <v>1</v>
      </c>
      <c r="AO91" s="36"/>
      <c r="AP91" s="36"/>
      <c r="AQ91" s="36" t="s">
        <v>38</v>
      </c>
      <c r="AR91" s="36">
        <f>7/7</f>
        <v>1</v>
      </c>
      <c r="AS91" s="36"/>
      <c r="AT91" s="36"/>
      <c r="AU91" s="36" t="s">
        <v>39</v>
      </c>
      <c r="AV91" s="36">
        <f>7/7</f>
        <v>1</v>
      </c>
      <c r="AW91" s="36"/>
      <c r="AX91" s="36"/>
      <c r="AY91" s="36"/>
      <c r="AZ91" s="36"/>
      <c r="BA91" s="36"/>
      <c r="BB91" s="36"/>
      <c r="BC91" s="36"/>
      <c r="BD91" s="36"/>
      <c r="BE91" s="26"/>
      <c r="BF91" s="26"/>
      <c r="BG91" s="37">
        <v>2</v>
      </c>
      <c r="BH91" s="26"/>
      <c r="BI91" s="26">
        <v>1</v>
      </c>
      <c r="BJ91" s="26"/>
      <c r="BK91" s="26"/>
      <c r="BL91" s="26"/>
      <c r="BM91" s="26"/>
      <c r="BN91" s="26"/>
      <c r="BO91" s="37">
        <f t="shared" si="5"/>
        <v>3</v>
      </c>
      <c r="BP91" s="56">
        <f t="shared" si="6"/>
        <v>0</v>
      </c>
      <c r="BQ91" s="56">
        <f t="shared" si="7"/>
        <v>0</v>
      </c>
      <c r="BR91" s="57">
        <f t="shared" si="8"/>
        <v>0</v>
      </c>
      <c r="BS91" s="38"/>
      <c r="BT91" s="38"/>
      <c r="BU91" s="26"/>
      <c r="BV91" s="26"/>
      <c r="BW91" s="39">
        <f t="shared" si="9"/>
        <v>3</v>
      </c>
      <c r="BX91" s="78">
        <v>1</v>
      </c>
      <c r="BY91" s="63">
        <v>10</v>
      </c>
      <c r="CB91" s="7"/>
      <c r="CC91" s="7"/>
    </row>
    <row r="92" spans="1:81" ht="16" x14ac:dyDescent="0.2">
      <c r="A92" s="109" t="s">
        <v>264</v>
      </c>
      <c r="B92" s="26">
        <v>43</v>
      </c>
      <c r="C92" s="109" t="s">
        <v>105</v>
      </c>
      <c r="D92" s="26">
        <v>10</v>
      </c>
      <c r="E92" s="26">
        <v>2</v>
      </c>
      <c r="F92" s="26">
        <v>4</v>
      </c>
      <c r="G92" s="26" t="s">
        <v>50</v>
      </c>
      <c r="H92" s="26">
        <v>7</v>
      </c>
      <c r="I92" s="26"/>
      <c r="J92" s="26"/>
      <c r="K92" s="26">
        <v>8</v>
      </c>
      <c r="L92" s="26">
        <v>6</v>
      </c>
      <c r="M92" s="40" t="s">
        <v>40</v>
      </c>
      <c r="N92" s="36">
        <f>4/7</f>
        <v>0.5714285714285714</v>
      </c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 t="s">
        <v>38</v>
      </c>
      <c r="AB92" s="36">
        <f>5/7</f>
        <v>0.7142857142857143</v>
      </c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 t="s">
        <v>39</v>
      </c>
      <c r="AN92" s="36">
        <f>4/7</f>
        <v>0.5714285714285714</v>
      </c>
      <c r="AO92" s="36"/>
      <c r="AP92" s="36"/>
      <c r="AQ92" s="36" t="s">
        <v>38</v>
      </c>
      <c r="AR92" s="36">
        <f>3.5/7</f>
        <v>0.5</v>
      </c>
      <c r="AS92" s="36"/>
      <c r="AT92" s="36"/>
      <c r="AU92" s="36" t="s">
        <v>68</v>
      </c>
      <c r="AV92" s="36">
        <f>5.5/7</f>
        <v>0.7857142857142857</v>
      </c>
      <c r="AW92" s="36" t="s">
        <v>48</v>
      </c>
      <c r="AX92" s="36">
        <f>4/7</f>
        <v>0.5714285714285714</v>
      </c>
      <c r="AY92" s="36" t="s">
        <v>57</v>
      </c>
      <c r="AZ92" s="36">
        <f>4.5/7</f>
        <v>0.6428571428571429</v>
      </c>
      <c r="BA92" s="36"/>
      <c r="BB92" s="36"/>
      <c r="BC92" s="36" t="s">
        <v>39</v>
      </c>
      <c r="BD92" s="36">
        <f>3.5/7</f>
        <v>0.5</v>
      </c>
      <c r="BE92" s="26"/>
      <c r="BF92" s="26"/>
      <c r="BG92" s="37">
        <v>1</v>
      </c>
      <c r="BH92" s="26">
        <v>1</v>
      </c>
      <c r="BI92" s="26"/>
      <c r="BJ92" s="26">
        <v>2</v>
      </c>
      <c r="BK92" s="26"/>
      <c r="BL92" s="26">
        <v>1</v>
      </c>
      <c r="BM92" s="26"/>
      <c r="BN92" s="26">
        <v>2</v>
      </c>
      <c r="BO92" s="37">
        <f t="shared" si="5"/>
        <v>1</v>
      </c>
      <c r="BP92" s="56">
        <f t="shared" si="6"/>
        <v>3</v>
      </c>
      <c r="BQ92" s="56">
        <f t="shared" si="7"/>
        <v>0</v>
      </c>
      <c r="BR92" s="57">
        <f t="shared" si="8"/>
        <v>3</v>
      </c>
      <c r="BS92" s="38"/>
      <c r="BT92" s="38"/>
      <c r="BU92" s="26"/>
      <c r="BV92" s="26"/>
      <c r="BW92" s="39">
        <f t="shared" si="9"/>
        <v>7</v>
      </c>
      <c r="BX92" s="78">
        <v>2</v>
      </c>
      <c r="BY92" s="63">
        <v>1</v>
      </c>
      <c r="CB92" s="7"/>
      <c r="CC92" s="7"/>
    </row>
    <row r="93" spans="1:81" ht="16" x14ac:dyDescent="0.2">
      <c r="A93" s="109" t="s">
        <v>265</v>
      </c>
      <c r="B93" s="26">
        <v>42</v>
      </c>
      <c r="C93" s="109" t="s">
        <v>106</v>
      </c>
      <c r="D93" s="38">
        <v>1</v>
      </c>
      <c r="E93" s="38">
        <v>2</v>
      </c>
      <c r="F93" s="38">
        <v>2</v>
      </c>
      <c r="G93" s="38" t="s">
        <v>51</v>
      </c>
      <c r="H93" s="38">
        <v>4</v>
      </c>
      <c r="I93" s="38" t="s">
        <v>51</v>
      </c>
      <c r="J93" s="38" t="s">
        <v>44</v>
      </c>
      <c r="K93" s="38"/>
      <c r="L93" s="38">
        <v>7</v>
      </c>
      <c r="M93" s="40"/>
      <c r="N93" s="36"/>
      <c r="O93" s="36"/>
      <c r="P93" s="36"/>
      <c r="Q93" s="36"/>
      <c r="R93" s="36"/>
      <c r="S93" s="36"/>
      <c r="T93" s="36"/>
      <c r="U93" s="36" t="s">
        <v>39</v>
      </c>
      <c r="V93" s="36">
        <f>7/18</f>
        <v>0.3888888888888889</v>
      </c>
      <c r="W93" s="36"/>
      <c r="X93" s="36"/>
      <c r="Y93" s="36"/>
      <c r="Z93" s="36"/>
      <c r="AA93" s="36"/>
      <c r="AB93" s="36"/>
      <c r="AC93" s="36"/>
      <c r="AD93" s="36"/>
      <c r="AE93" s="36" t="s">
        <v>38</v>
      </c>
      <c r="AF93" s="36">
        <f>16/18</f>
        <v>0.88888888888888884</v>
      </c>
      <c r="AG93" s="36"/>
      <c r="AH93" s="36"/>
      <c r="AI93" s="36" t="s">
        <v>38</v>
      </c>
      <c r="AJ93" s="36">
        <f>7/18</f>
        <v>0.3888888888888889</v>
      </c>
      <c r="AK93" s="36"/>
      <c r="AL93" s="36"/>
      <c r="AM93" s="36"/>
      <c r="AN93" s="36"/>
      <c r="AO93" s="36"/>
      <c r="AP93" s="36"/>
      <c r="AQ93" s="36" t="s">
        <v>39</v>
      </c>
      <c r="AR93" s="36">
        <f>13/18</f>
        <v>0.72222222222222221</v>
      </c>
      <c r="AS93" s="36"/>
      <c r="AT93" s="36"/>
      <c r="AU93" s="36" t="s">
        <v>39</v>
      </c>
      <c r="AV93" s="36">
        <f>18/18</f>
        <v>1</v>
      </c>
      <c r="AW93" s="36"/>
      <c r="AX93" s="36"/>
      <c r="AY93" s="36" t="s">
        <v>39</v>
      </c>
      <c r="AZ93" s="36">
        <f>17/18</f>
        <v>0.94444444444444442</v>
      </c>
      <c r="BA93" s="36" t="s">
        <v>38</v>
      </c>
      <c r="BB93" s="36">
        <f>5/18</f>
        <v>0.27777777777777779</v>
      </c>
      <c r="BC93" s="36"/>
      <c r="BD93" s="36"/>
      <c r="BE93" s="38" t="s">
        <v>39</v>
      </c>
      <c r="BF93" s="38" t="s">
        <v>46</v>
      </c>
      <c r="BG93" s="43">
        <v>1</v>
      </c>
      <c r="BH93" s="41">
        <v>1</v>
      </c>
      <c r="BI93" s="41">
        <v>3</v>
      </c>
      <c r="BJ93" s="41">
        <v>1</v>
      </c>
      <c r="BO93" s="37">
        <f t="shared" si="5"/>
        <v>5</v>
      </c>
      <c r="BP93" s="56">
        <f t="shared" si="6"/>
        <v>2</v>
      </c>
      <c r="BQ93" s="56">
        <f t="shared" si="7"/>
        <v>0</v>
      </c>
      <c r="BR93" s="57">
        <f t="shared" si="8"/>
        <v>0</v>
      </c>
      <c r="BS93" s="38"/>
      <c r="BT93" s="38"/>
      <c r="BU93" s="26">
        <v>1</v>
      </c>
      <c r="BV93" s="26"/>
      <c r="BW93" s="39">
        <f t="shared" si="9"/>
        <v>7</v>
      </c>
      <c r="BX93" s="78">
        <v>2</v>
      </c>
      <c r="BY93" s="63">
        <v>4</v>
      </c>
      <c r="BZ93" s="7"/>
      <c r="CA93" s="19"/>
      <c r="CB93" s="7"/>
      <c r="CC93" s="7"/>
    </row>
    <row r="94" spans="1:81" ht="16" x14ac:dyDescent="0.2">
      <c r="A94" s="109" t="s">
        <v>265</v>
      </c>
      <c r="B94" s="26">
        <v>42</v>
      </c>
      <c r="C94" s="109" t="s">
        <v>106</v>
      </c>
      <c r="D94" s="38">
        <v>2</v>
      </c>
      <c r="E94" s="38">
        <v>2</v>
      </c>
      <c r="F94" s="38">
        <v>2</v>
      </c>
      <c r="G94" s="38" t="s">
        <v>51</v>
      </c>
      <c r="H94" s="38">
        <v>4</v>
      </c>
      <c r="I94" s="38" t="s">
        <v>51</v>
      </c>
      <c r="J94" s="38" t="s">
        <v>41</v>
      </c>
      <c r="K94" s="38"/>
      <c r="L94" s="38">
        <v>5</v>
      </c>
      <c r="M94" s="40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 t="s">
        <v>39</v>
      </c>
      <c r="AL94" s="36">
        <f>11.5/18</f>
        <v>0.63888888888888884</v>
      </c>
      <c r="AM94" s="36"/>
      <c r="AN94" s="36"/>
      <c r="AO94" s="36"/>
      <c r="AP94" s="36"/>
      <c r="AQ94" s="36" t="s">
        <v>38</v>
      </c>
      <c r="AR94" s="36">
        <f>17/18</f>
        <v>0.94444444444444442</v>
      </c>
      <c r="AS94" s="36"/>
      <c r="AT94" s="36"/>
      <c r="AU94" s="36" t="s">
        <v>38</v>
      </c>
      <c r="AV94" s="36">
        <f>18/18</f>
        <v>1</v>
      </c>
      <c r="AW94" s="36" t="s">
        <v>39</v>
      </c>
      <c r="AX94" s="36">
        <f>15/18</f>
        <v>0.83333333333333337</v>
      </c>
      <c r="AY94" s="36"/>
      <c r="AZ94" s="36"/>
      <c r="BA94" s="36"/>
      <c r="BB94" s="36"/>
      <c r="BC94" s="36"/>
      <c r="BD94" s="36"/>
      <c r="BE94" s="38"/>
      <c r="BF94" s="38"/>
      <c r="BG94" s="43">
        <v>2</v>
      </c>
      <c r="BI94" s="41">
        <v>1</v>
      </c>
      <c r="BJ94" s="41">
        <v>1</v>
      </c>
      <c r="BO94" s="37">
        <f t="shared" si="5"/>
        <v>3</v>
      </c>
      <c r="BP94" s="56">
        <f t="shared" si="6"/>
        <v>1</v>
      </c>
      <c r="BQ94" s="56">
        <f t="shared" si="7"/>
        <v>0</v>
      </c>
      <c r="BR94" s="57">
        <f t="shared" si="8"/>
        <v>0</v>
      </c>
      <c r="BS94" s="38"/>
      <c r="BT94" s="38"/>
      <c r="BU94" s="26"/>
      <c r="BV94" s="26"/>
      <c r="BW94" s="39">
        <f t="shared" si="9"/>
        <v>4</v>
      </c>
      <c r="BX94" s="78">
        <v>2</v>
      </c>
      <c r="BY94" s="63">
        <v>10</v>
      </c>
      <c r="BZ94" s="7"/>
      <c r="CA94" s="19"/>
      <c r="CB94" s="7"/>
      <c r="CC94" s="7"/>
    </row>
    <row r="95" spans="1:81" x14ac:dyDescent="0.2">
      <c r="A95" s="109" t="s">
        <v>265</v>
      </c>
      <c r="B95" s="26">
        <v>42</v>
      </c>
      <c r="C95" s="109" t="s">
        <v>106</v>
      </c>
      <c r="D95" s="38">
        <v>3</v>
      </c>
      <c r="E95" s="38">
        <v>2</v>
      </c>
      <c r="F95" s="38">
        <v>2</v>
      </c>
      <c r="G95" s="38" t="s">
        <v>51</v>
      </c>
      <c r="H95" s="38">
        <v>4</v>
      </c>
      <c r="I95" s="38" t="s">
        <v>51</v>
      </c>
      <c r="J95" s="38" t="s">
        <v>45</v>
      </c>
      <c r="K95" s="38"/>
      <c r="L95" s="38">
        <v>7</v>
      </c>
      <c r="M95" s="40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8"/>
      <c r="BF95" s="38"/>
      <c r="BG95" s="43"/>
      <c r="BO95" s="37">
        <f t="shared" si="5"/>
        <v>0</v>
      </c>
      <c r="BP95" s="56">
        <f t="shared" si="6"/>
        <v>0</v>
      </c>
      <c r="BQ95" s="56">
        <f t="shared" si="7"/>
        <v>0</v>
      </c>
      <c r="BR95" s="57">
        <f t="shared" si="8"/>
        <v>0</v>
      </c>
      <c r="BS95" s="38"/>
      <c r="BT95" s="38"/>
      <c r="BU95" s="26"/>
      <c r="BV95" s="26"/>
      <c r="BW95" s="39">
        <f t="shared" si="9"/>
        <v>0</v>
      </c>
      <c r="BX95" s="78">
        <v>0</v>
      </c>
      <c r="BY95" s="63">
        <v>5</v>
      </c>
      <c r="BZ95" s="7"/>
      <c r="CA95" s="19"/>
      <c r="CB95" s="7"/>
      <c r="CC95" s="7"/>
    </row>
    <row r="96" spans="1:81" ht="16" x14ac:dyDescent="0.2">
      <c r="A96" s="109" t="s">
        <v>265</v>
      </c>
      <c r="B96" s="26">
        <v>42</v>
      </c>
      <c r="C96" s="109" t="s">
        <v>106</v>
      </c>
      <c r="D96" s="38">
        <v>4</v>
      </c>
      <c r="E96" s="38">
        <v>2</v>
      </c>
      <c r="F96" s="38">
        <v>2</v>
      </c>
      <c r="G96" s="38" t="s">
        <v>51</v>
      </c>
      <c r="H96" s="38">
        <v>4</v>
      </c>
      <c r="I96" s="38" t="s">
        <v>51</v>
      </c>
      <c r="J96" s="38" t="s">
        <v>60</v>
      </c>
      <c r="K96" s="38"/>
      <c r="L96" s="38">
        <v>6</v>
      </c>
      <c r="M96" s="40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 t="s">
        <v>39</v>
      </c>
      <c r="AR96" s="36">
        <f>15.5/18</f>
        <v>0.86111111111111116</v>
      </c>
      <c r="AS96" s="36"/>
      <c r="AT96" s="36"/>
      <c r="AU96" s="36"/>
      <c r="AV96" s="36"/>
      <c r="AW96" s="36"/>
      <c r="AX96" s="36"/>
      <c r="AY96" s="36" t="s">
        <v>38</v>
      </c>
      <c r="AZ96" s="36">
        <f>19/18</f>
        <v>1.0555555555555556</v>
      </c>
      <c r="BA96" s="36" t="s">
        <v>38</v>
      </c>
      <c r="BB96" s="36">
        <f>18/18</f>
        <v>1</v>
      </c>
      <c r="BC96" s="36"/>
      <c r="BD96" s="36"/>
      <c r="BE96" s="38"/>
      <c r="BF96" s="38"/>
      <c r="BG96" s="43">
        <v>2</v>
      </c>
      <c r="BI96" s="41">
        <v>1</v>
      </c>
      <c r="BO96" s="37">
        <f t="shared" si="5"/>
        <v>3</v>
      </c>
      <c r="BP96" s="56">
        <f t="shared" si="6"/>
        <v>0</v>
      </c>
      <c r="BQ96" s="56">
        <f t="shared" si="7"/>
        <v>0</v>
      </c>
      <c r="BR96" s="57">
        <f t="shared" si="8"/>
        <v>0</v>
      </c>
      <c r="BS96" s="38"/>
      <c r="BT96" s="38"/>
      <c r="BU96" s="26"/>
      <c r="BV96" s="26"/>
      <c r="BW96" s="39">
        <f t="shared" si="9"/>
        <v>3</v>
      </c>
      <c r="BX96" s="78">
        <v>1</v>
      </c>
      <c r="BY96" s="63">
        <v>7</v>
      </c>
      <c r="BZ96" s="7"/>
      <c r="CA96" s="19"/>
      <c r="CB96" s="7"/>
      <c r="CC96" s="7"/>
    </row>
    <row r="97" spans="1:81" x14ac:dyDescent="0.2">
      <c r="A97" s="109" t="s">
        <v>265</v>
      </c>
      <c r="B97" s="26">
        <v>42</v>
      </c>
      <c r="C97" s="109" t="s">
        <v>106</v>
      </c>
      <c r="D97" s="38">
        <v>6</v>
      </c>
      <c r="E97" s="38">
        <v>2</v>
      </c>
      <c r="F97" s="38">
        <v>2</v>
      </c>
      <c r="G97" s="38" t="s">
        <v>51</v>
      </c>
      <c r="H97" s="38">
        <v>4</v>
      </c>
      <c r="I97" s="38" t="s">
        <v>51</v>
      </c>
      <c r="J97" s="38" t="s">
        <v>69</v>
      </c>
      <c r="K97" s="38"/>
      <c r="L97" s="38">
        <v>5</v>
      </c>
      <c r="M97" s="40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8"/>
      <c r="BF97" s="38"/>
      <c r="BG97" s="39"/>
      <c r="BH97" s="38"/>
      <c r="BI97" s="38"/>
      <c r="BJ97" s="38"/>
      <c r="BK97" s="38"/>
      <c r="BL97" s="38"/>
      <c r="BM97" s="38"/>
      <c r="BN97" s="38"/>
      <c r="BO97" s="37">
        <f t="shared" si="5"/>
        <v>0</v>
      </c>
      <c r="BP97" s="56">
        <f t="shared" si="6"/>
        <v>0</v>
      </c>
      <c r="BQ97" s="56">
        <f t="shared" si="7"/>
        <v>0</v>
      </c>
      <c r="BR97" s="57">
        <f t="shared" si="8"/>
        <v>0</v>
      </c>
      <c r="BS97" s="38"/>
      <c r="BT97" s="38"/>
      <c r="BU97" s="26"/>
      <c r="BV97" s="26"/>
      <c r="BW97" s="39">
        <f t="shared" si="9"/>
        <v>0</v>
      </c>
      <c r="BX97" s="78">
        <v>0</v>
      </c>
      <c r="BY97" s="64">
        <v>12</v>
      </c>
      <c r="BZ97" s="17"/>
      <c r="CA97" s="20"/>
      <c r="CB97" s="7"/>
      <c r="CC97" s="7"/>
    </row>
    <row r="98" spans="1:81" ht="16" x14ac:dyDescent="0.2">
      <c r="A98" s="109" t="s">
        <v>265</v>
      </c>
      <c r="B98" s="26">
        <v>42</v>
      </c>
      <c r="C98" s="109" t="s">
        <v>106</v>
      </c>
      <c r="D98" s="38">
        <v>7</v>
      </c>
      <c r="E98" s="38">
        <v>2</v>
      </c>
      <c r="F98" s="38">
        <v>2</v>
      </c>
      <c r="G98" s="38" t="s">
        <v>51</v>
      </c>
      <c r="H98" s="38">
        <v>4</v>
      </c>
      <c r="I98" s="38" t="s">
        <v>51</v>
      </c>
      <c r="J98" s="38" t="s">
        <v>60</v>
      </c>
      <c r="K98" s="38"/>
      <c r="L98" s="38">
        <v>5</v>
      </c>
      <c r="M98" s="40"/>
      <c r="N98" s="36"/>
      <c r="O98" s="36" t="s">
        <v>48</v>
      </c>
      <c r="P98" s="36">
        <f>8/18</f>
        <v>0.44444444444444442</v>
      </c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 t="s">
        <v>38</v>
      </c>
      <c r="AZ98" s="36">
        <f>19/18</f>
        <v>1.0555555555555556</v>
      </c>
      <c r="BA98" s="36"/>
      <c r="BB98" s="36"/>
      <c r="BC98" s="36"/>
      <c r="BD98" s="36"/>
      <c r="BE98" s="38"/>
      <c r="BF98" s="38"/>
      <c r="BG98" s="43">
        <v>1</v>
      </c>
      <c r="BL98" s="41">
        <v>1</v>
      </c>
      <c r="BO98" s="37">
        <f t="shared" si="5"/>
        <v>1</v>
      </c>
      <c r="BP98" s="56">
        <f t="shared" si="6"/>
        <v>0</v>
      </c>
      <c r="BQ98" s="56">
        <f t="shared" si="7"/>
        <v>0</v>
      </c>
      <c r="BR98" s="57">
        <f t="shared" si="8"/>
        <v>1</v>
      </c>
      <c r="BS98" s="38"/>
      <c r="BT98" s="38"/>
      <c r="BU98" s="26"/>
      <c r="BV98" s="26"/>
      <c r="BW98" s="39">
        <f t="shared" si="9"/>
        <v>2</v>
      </c>
      <c r="BX98" s="78">
        <v>2</v>
      </c>
      <c r="BY98" s="63">
        <v>7</v>
      </c>
      <c r="BZ98" s="7"/>
      <c r="CA98" s="8"/>
      <c r="CB98" s="7"/>
      <c r="CC98" s="7"/>
    </row>
    <row r="99" spans="1:81" ht="16" x14ac:dyDescent="0.2">
      <c r="A99" s="109" t="s">
        <v>265</v>
      </c>
      <c r="B99" s="26">
        <v>42</v>
      </c>
      <c r="C99" s="109" t="s">
        <v>106</v>
      </c>
      <c r="D99" s="38">
        <v>8</v>
      </c>
      <c r="E99" s="38">
        <v>2</v>
      </c>
      <c r="F99" s="38">
        <v>3</v>
      </c>
      <c r="G99" s="38" t="s">
        <v>50</v>
      </c>
      <c r="H99" s="38">
        <v>5</v>
      </c>
      <c r="I99" s="38" t="s">
        <v>51</v>
      </c>
      <c r="J99" s="38" t="s">
        <v>42</v>
      </c>
      <c r="K99" s="38"/>
      <c r="L99" s="38">
        <v>6</v>
      </c>
      <c r="M99" s="40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 t="s">
        <v>40</v>
      </c>
      <c r="Z99" s="36">
        <f>18/18</f>
        <v>1</v>
      </c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8"/>
      <c r="BF99" s="38"/>
      <c r="BG99" s="43"/>
      <c r="BM99" s="41">
        <v>1</v>
      </c>
      <c r="BO99" s="37">
        <f t="shared" si="5"/>
        <v>0</v>
      </c>
      <c r="BP99" s="56">
        <f t="shared" si="6"/>
        <v>0</v>
      </c>
      <c r="BQ99" s="56">
        <f t="shared" si="7"/>
        <v>1</v>
      </c>
      <c r="BR99" s="57">
        <f t="shared" si="8"/>
        <v>0</v>
      </c>
      <c r="BS99" s="38"/>
      <c r="BT99" s="38"/>
      <c r="BU99" s="26"/>
      <c r="BV99" s="26"/>
      <c r="BW99" s="39">
        <f t="shared" si="9"/>
        <v>1</v>
      </c>
      <c r="BX99" s="78">
        <v>4</v>
      </c>
      <c r="BY99" s="63">
        <v>8</v>
      </c>
      <c r="BZ99" s="7"/>
      <c r="CA99" s="8"/>
      <c r="CB99" s="7"/>
      <c r="CC99" s="7"/>
    </row>
    <row r="100" spans="1:81" ht="16" x14ac:dyDescent="0.2">
      <c r="A100" s="109" t="s">
        <v>265</v>
      </c>
      <c r="B100" s="26">
        <v>42</v>
      </c>
      <c r="C100" s="109" t="s">
        <v>106</v>
      </c>
      <c r="D100" s="38">
        <v>9</v>
      </c>
      <c r="E100" s="38">
        <v>2</v>
      </c>
      <c r="F100" s="38">
        <v>2</v>
      </c>
      <c r="G100" s="38" t="s">
        <v>51</v>
      </c>
      <c r="H100" s="38">
        <v>4</v>
      </c>
      <c r="I100" s="38" t="s">
        <v>51</v>
      </c>
      <c r="J100" s="38" t="s">
        <v>69</v>
      </c>
      <c r="K100" s="38"/>
      <c r="L100" s="38">
        <v>5</v>
      </c>
      <c r="M100" s="40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 t="s">
        <v>39</v>
      </c>
      <c r="AH100" s="36">
        <f>18/18</f>
        <v>1</v>
      </c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8"/>
      <c r="BF100" s="38"/>
      <c r="BG100" s="43"/>
      <c r="BI100" s="41">
        <v>1</v>
      </c>
      <c r="BO100" s="37">
        <f t="shared" si="5"/>
        <v>1</v>
      </c>
      <c r="BP100" s="56">
        <f t="shared" si="6"/>
        <v>0</v>
      </c>
      <c r="BQ100" s="56">
        <f t="shared" si="7"/>
        <v>0</v>
      </c>
      <c r="BR100" s="57">
        <f t="shared" si="8"/>
        <v>0</v>
      </c>
      <c r="BS100" s="38"/>
      <c r="BT100" s="38"/>
      <c r="BU100" s="26"/>
      <c r="BV100" s="26"/>
      <c r="BW100" s="39">
        <f t="shared" si="9"/>
        <v>1</v>
      </c>
      <c r="BX100" s="78">
        <v>1</v>
      </c>
      <c r="BY100" s="63">
        <v>12</v>
      </c>
      <c r="BZ100" s="7"/>
      <c r="CA100" s="19"/>
      <c r="CB100" s="7"/>
      <c r="CC100" s="7"/>
    </row>
    <row r="101" spans="1:81" ht="16" x14ac:dyDescent="0.2">
      <c r="A101" s="109" t="s">
        <v>265</v>
      </c>
      <c r="B101" s="26">
        <v>42</v>
      </c>
      <c r="C101" s="109" t="s">
        <v>106</v>
      </c>
      <c r="D101" s="38">
        <v>13</v>
      </c>
      <c r="E101" s="38">
        <v>2</v>
      </c>
      <c r="F101" s="38">
        <v>2</v>
      </c>
      <c r="G101" s="38" t="s">
        <v>51</v>
      </c>
      <c r="H101" s="38">
        <v>4</v>
      </c>
      <c r="I101" s="38" t="s">
        <v>51</v>
      </c>
      <c r="J101" s="38" t="s">
        <v>41</v>
      </c>
      <c r="K101" s="38"/>
      <c r="L101" s="38">
        <v>5</v>
      </c>
      <c r="M101" s="40"/>
      <c r="N101" s="36"/>
      <c r="O101" s="36"/>
      <c r="P101" s="36"/>
      <c r="Q101" s="36"/>
      <c r="R101" s="36"/>
      <c r="S101" s="36"/>
      <c r="T101" s="36"/>
      <c r="U101" s="36" t="s">
        <v>38</v>
      </c>
      <c r="V101" s="36">
        <f>19/18</f>
        <v>1.0555555555555556</v>
      </c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 t="s">
        <v>38</v>
      </c>
      <c r="AJ101" s="36">
        <f>18/18</f>
        <v>1</v>
      </c>
      <c r="AK101" s="36" t="s">
        <v>39</v>
      </c>
      <c r="AL101" s="36">
        <f>19/18</f>
        <v>1.0555555555555556</v>
      </c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 t="s">
        <v>39</v>
      </c>
      <c r="BD101" s="36">
        <f>16/18</f>
        <v>0.88888888888888884</v>
      </c>
      <c r="BE101" s="38"/>
      <c r="BF101" s="38"/>
      <c r="BG101" s="43">
        <v>2</v>
      </c>
      <c r="BI101" s="41">
        <v>2</v>
      </c>
      <c r="BO101" s="37">
        <f t="shared" si="5"/>
        <v>4</v>
      </c>
      <c r="BP101" s="56">
        <f t="shared" si="6"/>
        <v>0</v>
      </c>
      <c r="BQ101" s="56">
        <f t="shared" si="7"/>
        <v>0</v>
      </c>
      <c r="BR101" s="57">
        <f t="shared" si="8"/>
        <v>0</v>
      </c>
      <c r="BS101" s="38"/>
      <c r="BT101" s="38"/>
      <c r="BU101" s="26"/>
      <c r="BV101" s="26"/>
      <c r="BW101" s="39">
        <f t="shared" si="9"/>
        <v>4</v>
      </c>
      <c r="BX101" s="78">
        <v>1</v>
      </c>
      <c r="BY101" s="63">
        <v>10</v>
      </c>
      <c r="BZ101" s="7"/>
      <c r="CA101" s="19"/>
      <c r="CB101" s="7"/>
      <c r="CC101" s="7"/>
    </row>
    <row r="102" spans="1:81" ht="16" x14ac:dyDescent="0.2">
      <c r="A102" s="109" t="s">
        <v>265</v>
      </c>
      <c r="B102" s="26">
        <v>42</v>
      </c>
      <c r="C102" s="109" t="s">
        <v>106</v>
      </c>
      <c r="D102" s="38">
        <v>16</v>
      </c>
      <c r="E102" s="38">
        <v>2</v>
      </c>
      <c r="F102" s="38">
        <v>2</v>
      </c>
      <c r="G102" s="38" t="s">
        <v>51</v>
      </c>
      <c r="H102" s="38">
        <v>4</v>
      </c>
      <c r="I102" s="38" t="s">
        <v>51</v>
      </c>
      <c r="J102" s="38" t="s">
        <v>37</v>
      </c>
      <c r="K102" s="38"/>
      <c r="L102" s="38">
        <v>5</v>
      </c>
      <c r="M102" s="40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 t="s">
        <v>38</v>
      </c>
      <c r="AH102" s="36">
        <f>17/18</f>
        <v>0.94444444444444442</v>
      </c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8"/>
      <c r="BF102" s="38"/>
      <c r="BG102" s="43">
        <v>1</v>
      </c>
      <c r="BO102" s="37">
        <f t="shared" si="5"/>
        <v>1</v>
      </c>
      <c r="BP102" s="56">
        <f t="shared" si="6"/>
        <v>0</v>
      </c>
      <c r="BQ102" s="56">
        <f t="shared" si="7"/>
        <v>0</v>
      </c>
      <c r="BR102" s="57">
        <f t="shared" si="8"/>
        <v>0</v>
      </c>
      <c r="BS102" s="38"/>
      <c r="BT102" s="38"/>
      <c r="BU102" s="26"/>
      <c r="BV102" s="26"/>
      <c r="BW102" s="39">
        <f t="shared" si="9"/>
        <v>1</v>
      </c>
      <c r="BX102" s="78">
        <v>1</v>
      </c>
      <c r="BY102" s="63">
        <v>9</v>
      </c>
      <c r="BZ102" s="7"/>
      <c r="CA102" s="19"/>
      <c r="CB102" s="7"/>
      <c r="CC102" s="7"/>
    </row>
    <row r="103" spans="1:81" ht="16" x14ac:dyDescent="0.2">
      <c r="A103" s="109" t="s">
        <v>266</v>
      </c>
      <c r="B103" s="26">
        <v>35</v>
      </c>
      <c r="C103" s="109" t="s">
        <v>107</v>
      </c>
      <c r="D103" s="38">
        <v>3</v>
      </c>
      <c r="E103" s="38">
        <v>2</v>
      </c>
      <c r="F103" s="38">
        <v>2</v>
      </c>
      <c r="G103" s="38" t="s">
        <v>51</v>
      </c>
      <c r="H103" s="38">
        <v>5</v>
      </c>
      <c r="I103" s="38" t="s">
        <v>56</v>
      </c>
      <c r="J103" s="38"/>
      <c r="K103" s="38" t="s">
        <v>63</v>
      </c>
      <c r="L103" s="38">
        <v>7</v>
      </c>
      <c r="M103" s="40" t="s">
        <v>38</v>
      </c>
      <c r="N103" s="36">
        <f>8.5/17</f>
        <v>0.5</v>
      </c>
      <c r="O103" s="36"/>
      <c r="P103" s="36"/>
      <c r="Q103" s="36" t="s">
        <v>39</v>
      </c>
      <c r="R103" s="36">
        <f>13.5/17</f>
        <v>0.79411764705882348</v>
      </c>
      <c r="S103" s="36"/>
      <c r="T103" s="36"/>
      <c r="U103" s="36" t="s">
        <v>39</v>
      </c>
      <c r="V103" s="36">
        <f>7/17</f>
        <v>0.41176470588235292</v>
      </c>
      <c r="W103" s="36" t="s">
        <v>38</v>
      </c>
      <c r="X103" s="36">
        <f>8.5/17</f>
        <v>0.5</v>
      </c>
      <c r="Y103" s="36" t="s">
        <v>48</v>
      </c>
      <c r="Z103" s="36">
        <f>11.5/17</f>
        <v>0.67647058823529416</v>
      </c>
      <c r="AA103" s="36" t="s">
        <v>39</v>
      </c>
      <c r="AB103" s="36">
        <f>7.5/17</f>
        <v>0.44117647058823528</v>
      </c>
      <c r="AC103" s="36"/>
      <c r="AD103" s="36"/>
      <c r="AE103" s="36"/>
      <c r="AF103" s="36"/>
      <c r="AG103" s="36" t="s">
        <v>39</v>
      </c>
      <c r="AH103" s="36">
        <f>6.5/17</f>
        <v>0.38235294117647056</v>
      </c>
      <c r="AI103" s="36"/>
      <c r="AJ103" s="36"/>
      <c r="AK103" s="36"/>
      <c r="AL103" s="36"/>
      <c r="AM103" s="36" t="s">
        <v>38</v>
      </c>
      <c r="AN103" s="36">
        <f>16/17</f>
        <v>0.94117647058823528</v>
      </c>
      <c r="AO103" s="36" t="s">
        <v>39</v>
      </c>
      <c r="AP103" s="36">
        <f>8.5/17</f>
        <v>0.5</v>
      </c>
      <c r="AQ103" s="36"/>
      <c r="AR103" s="36"/>
      <c r="AS103" s="36" t="s">
        <v>39</v>
      </c>
      <c r="AT103" s="36">
        <f>5.5/17</f>
        <v>0.3235294117647059</v>
      </c>
      <c r="AU103" s="36" t="s">
        <v>38</v>
      </c>
      <c r="AV103" s="36">
        <f>5/17</f>
        <v>0.29411764705882354</v>
      </c>
      <c r="AW103" s="36" t="s">
        <v>38</v>
      </c>
      <c r="AX103" s="36">
        <f>12/17</f>
        <v>0.70588235294117652</v>
      </c>
      <c r="AY103" s="36"/>
      <c r="AZ103" s="36"/>
      <c r="BA103" s="36"/>
      <c r="BB103" s="36"/>
      <c r="BC103" s="36"/>
      <c r="BD103" s="36"/>
      <c r="BE103" s="38"/>
      <c r="BF103" s="38"/>
      <c r="BG103" s="39">
        <v>2</v>
      </c>
      <c r="BH103" s="38">
        <v>2</v>
      </c>
      <c r="BI103" s="38">
        <v>1</v>
      </c>
      <c r="BJ103" s="38">
        <v>5</v>
      </c>
      <c r="BK103" s="38"/>
      <c r="BL103" s="38">
        <v>1</v>
      </c>
      <c r="BM103" s="38"/>
      <c r="BN103" s="38"/>
      <c r="BO103" s="37">
        <f t="shared" si="5"/>
        <v>3</v>
      </c>
      <c r="BP103" s="56">
        <f t="shared" si="6"/>
        <v>7</v>
      </c>
      <c r="BQ103" s="56">
        <f t="shared" si="7"/>
        <v>0</v>
      </c>
      <c r="BR103" s="57">
        <f t="shared" si="8"/>
        <v>1</v>
      </c>
      <c r="BS103" s="38"/>
      <c r="BT103" s="38"/>
      <c r="BU103" s="26"/>
      <c r="BV103" s="26"/>
      <c r="BW103" s="39">
        <f t="shared" si="9"/>
        <v>11</v>
      </c>
      <c r="BX103" s="78">
        <v>2</v>
      </c>
      <c r="BY103" s="63">
        <v>2</v>
      </c>
      <c r="BZ103" s="7"/>
      <c r="CA103" s="8"/>
      <c r="CB103" s="7"/>
      <c r="CC103" s="7"/>
    </row>
    <row r="104" spans="1:81" x14ac:dyDescent="0.2">
      <c r="A104" s="109" t="s">
        <v>266</v>
      </c>
      <c r="B104" s="26">
        <v>35</v>
      </c>
      <c r="C104" s="109" t="s">
        <v>107</v>
      </c>
      <c r="D104" s="38">
        <v>4</v>
      </c>
      <c r="E104" s="38">
        <v>2</v>
      </c>
      <c r="F104" s="38">
        <v>3</v>
      </c>
      <c r="G104" s="38" t="s">
        <v>50</v>
      </c>
      <c r="H104" s="38">
        <v>6</v>
      </c>
      <c r="I104" s="38" t="s">
        <v>51</v>
      </c>
      <c r="J104" s="38" t="s">
        <v>42</v>
      </c>
      <c r="K104" s="38"/>
      <c r="L104" s="38">
        <v>6</v>
      </c>
      <c r="M104" s="40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8"/>
      <c r="BF104" s="38"/>
      <c r="BG104" s="37"/>
      <c r="BH104" s="26"/>
      <c r="BI104" s="26"/>
      <c r="BJ104" s="26"/>
      <c r="BK104" s="26"/>
      <c r="BL104" s="26"/>
      <c r="BM104" s="26"/>
      <c r="BN104" s="26"/>
      <c r="BO104" s="37">
        <f t="shared" si="5"/>
        <v>0</v>
      </c>
      <c r="BP104" s="56">
        <f t="shared" si="6"/>
        <v>0</v>
      </c>
      <c r="BQ104" s="56">
        <f t="shared" si="7"/>
        <v>0</v>
      </c>
      <c r="BR104" s="57">
        <f t="shared" si="8"/>
        <v>0</v>
      </c>
      <c r="BS104" s="38"/>
      <c r="BT104" s="38"/>
      <c r="BU104" s="26"/>
      <c r="BV104" s="26"/>
      <c r="BW104" s="39">
        <f t="shared" si="9"/>
        <v>0</v>
      </c>
      <c r="BX104" s="78">
        <v>0</v>
      </c>
      <c r="BY104" s="63">
        <v>8</v>
      </c>
      <c r="BZ104" s="7"/>
      <c r="CA104" s="8"/>
      <c r="CB104" s="7"/>
      <c r="CC104" s="7"/>
    </row>
    <row r="105" spans="1:81" x14ac:dyDescent="0.2">
      <c r="A105" s="109" t="s">
        <v>266</v>
      </c>
      <c r="B105" s="26">
        <v>35</v>
      </c>
      <c r="C105" s="109" t="s">
        <v>107</v>
      </c>
      <c r="D105" s="38">
        <v>5</v>
      </c>
      <c r="E105" s="38">
        <v>2</v>
      </c>
      <c r="F105" s="38">
        <v>2</v>
      </c>
      <c r="G105" s="38" t="s">
        <v>51</v>
      </c>
      <c r="H105" s="38">
        <v>4</v>
      </c>
      <c r="I105" s="38" t="s">
        <v>51</v>
      </c>
      <c r="J105" s="38" t="s">
        <v>42</v>
      </c>
      <c r="K105" s="38"/>
      <c r="L105" s="38">
        <v>5</v>
      </c>
      <c r="M105" s="40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8"/>
      <c r="BF105" s="38"/>
      <c r="BG105" s="37"/>
      <c r="BH105" s="26"/>
      <c r="BI105" s="26"/>
      <c r="BJ105" s="26"/>
      <c r="BK105" s="26"/>
      <c r="BL105" s="26"/>
      <c r="BM105" s="26"/>
      <c r="BN105" s="26"/>
      <c r="BO105" s="37">
        <f t="shared" si="5"/>
        <v>0</v>
      </c>
      <c r="BP105" s="56">
        <f t="shared" si="6"/>
        <v>0</v>
      </c>
      <c r="BQ105" s="56">
        <f t="shared" si="7"/>
        <v>0</v>
      </c>
      <c r="BR105" s="57">
        <f t="shared" si="8"/>
        <v>0</v>
      </c>
      <c r="BS105" s="38"/>
      <c r="BT105" s="38"/>
      <c r="BU105" s="26"/>
      <c r="BV105" s="26"/>
      <c r="BW105" s="39">
        <f t="shared" si="9"/>
        <v>0</v>
      </c>
      <c r="BX105" s="78">
        <v>0</v>
      </c>
      <c r="BY105" s="63">
        <v>8</v>
      </c>
      <c r="BZ105" s="7"/>
      <c r="CA105" s="8"/>
      <c r="CB105" s="7"/>
      <c r="CC105" s="7"/>
    </row>
    <row r="106" spans="1:81" ht="16" x14ac:dyDescent="0.2">
      <c r="A106" s="109" t="s">
        <v>266</v>
      </c>
      <c r="B106" s="26">
        <v>35</v>
      </c>
      <c r="C106" s="109" t="s">
        <v>107</v>
      </c>
      <c r="D106" s="38">
        <v>6</v>
      </c>
      <c r="E106" s="38">
        <v>2</v>
      </c>
      <c r="F106" s="38">
        <v>4</v>
      </c>
      <c r="G106" s="38" t="s">
        <v>50</v>
      </c>
      <c r="H106" s="38"/>
      <c r="I106" s="38"/>
      <c r="J106" s="38"/>
      <c r="K106" s="38">
        <v>8</v>
      </c>
      <c r="L106" s="38">
        <v>7</v>
      </c>
      <c r="M106" s="40" t="s">
        <v>43</v>
      </c>
      <c r="N106" s="36">
        <f>9/17</f>
        <v>0.52941176470588236</v>
      </c>
      <c r="O106" s="36"/>
      <c r="P106" s="36"/>
      <c r="Q106" s="36"/>
      <c r="R106" s="36"/>
      <c r="S106" s="36"/>
      <c r="T106" s="36"/>
      <c r="U106" s="36" t="s">
        <v>55</v>
      </c>
      <c r="V106" s="36">
        <f>11.5/17</f>
        <v>0.67647058823529416</v>
      </c>
      <c r="W106" s="36"/>
      <c r="X106" s="36"/>
      <c r="Y106" s="36" t="s">
        <v>70</v>
      </c>
      <c r="Z106" s="36">
        <f>10/17</f>
        <v>0.58823529411764708</v>
      </c>
      <c r="AA106" s="36" t="s">
        <v>43</v>
      </c>
      <c r="AB106" s="36">
        <f>12/17</f>
        <v>0.70588235294117652</v>
      </c>
      <c r="AC106" s="36"/>
      <c r="AD106" s="36"/>
      <c r="AE106" s="36"/>
      <c r="AF106" s="36"/>
      <c r="AG106" s="36" t="s">
        <v>43</v>
      </c>
      <c r="AH106" s="36">
        <f>10.5/17</f>
        <v>0.61764705882352944</v>
      </c>
      <c r="AI106" s="36" t="s">
        <v>48</v>
      </c>
      <c r="AJ106" s="36">
        <f>15.5/17</f>
        <v>0.91176470588235292</v>
      </c>
      <c r="AK106" s="36" t="s">
        <v>43</v>
      </c>
      <c r="AL106" s="36">
        <f>19.5/17</f>
        <v>1.1470588235294117</v>
      </c>
      <c r="AM106" s="36" t="s">
        <v>43</v>
      </c>
      <c r="AN106" s="36">
        <f>9.5/17</f>
        <v>0.55882352941176472</v>
      </c>
      <c r="AO106" s="36" t="s">
        <v>48</v>
      </c>
      <c r="AP106" s="36">
        <f>8.5/17</f>
        <v>0.5</v>
      </c>
      <c r="AQ106" s="36" t="s">
        <v>38</v>
      </c>
      <c r="AR106" s="36">
        <f>7.5/17</f>
        <v>0.44117647058823528</v>
      </c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8" t="s">
        <v>58</v>
      </c>
      <c r="BF106" s="38" t="s">
        <v>71</v>
      </c>
      <c r="BG106" s="37"/>
      <c r="BH106" s="26">
        <v>1</v>
      </c>
      <c r="BI106" s="26"/>
      <c r="BJ106" s="26"/>
      <c r="BK106" s="26">
        <v>1</v>
      </c>
      <c r="BL106" s="26">
        <v>2</v>
      </c>
      <c r="BM106" s="26"/>
      <c r="BN106" s="26"/>
      <c r="BO106" s="37">
        <f t="shared" si="5"/>
        <v>0</v>
      </c>
      <c r="BP106" s="56">
        <f t="shared" si="6"/>
        <v>1</v>
      </c>
      <c r="BQ106" s="56">
        <f t="shared" si="7"/>
        <v>7</v>
      </c>
      <c r="BR106" s="57">
        <f t="shared" si="8"/>
        <v>2</v>
      </c>
      <c r="BS106" s="38">
        <v>5</v>
      </c>
      <c r="BT106" s="38"/>
      <c r="BU106" s="26"/>
      <c r="BV106" s="26">
        <v>1</v>
      </c>
      <c r="BW106" s="39">
        <f t="shared" si="9"/>
        <v>10</v>
      </c>
      <c r="BX106" s="78">
        <v>4</v>
      </c>
      <c r="BY106" s="63">
        <v>1</v>
      </c>
      <c r="BZ106" s="7"/>
      <c r="CA106" s="8"/>
      <c r="CB106" s="7"/>
      <c r="CC106" s="7"/>
    </row>
    <row r="107" spans="1:81" ht="16" x14ac:dyDescent="0.2">
      <c r="A107" s="109" t="s">
        <v>266</v>
      </c>
      <c r="B107" s="26">
        <v>35</v>
      </c>
      <c r="C107" s="109" t="s">
        <v>107</v>
      </c>
      <c r="D107" s="38">
        <v>7</v>
      </c>
      <c r="E107" s="38">
        <v>2</v>
      </c>
      <c r="F107" s="38" t="s">
        <v>53</v>
      </c>
      <c r="G107" s="38" t="s">
        <v>50</v>
      </c>
      <c r="H107" s="38"/>
      <c r="I107" s="38"/>
      <c r="J107" s="38"/>
      <c r="K107" s="38">
        <v>8</v>
      </c>
      <c r="L107" s="38">
        <v>7</v>
      </c>
      <c r="M107" s="40"/>
      <c r="N107" s="36"/>
      <c r="O107" s="36"/>
      <c r="P107" s="36"/>
      <c r="Q107" s="36"/>
      <c r="R107" s="36"/>
      <c r="S107" s="36" t="s">
        <v>38</v>
      </c>
      <c r="T107" s="36">
        <f>7.5/17</f>
        <v>0.44117647058823528</v>
      </c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 t="s">
        <v>39</v>
      </c>
      <c r="AP107" s="36">
        <v>1</v>
      </c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 t="s">
        <v>38</v>
      </c>
      <c r="BD107" s="36">
        <f>15/17</f>
        <v>0.88235294117647056</v>
      </c>
      <c r="BE107" s="38"/>
      <c r="BF107" s="38"/>
      <c r="BG107" s="37">
        <v>1</v>
      </c>
      <c r="BH107" s="26">
        <v>1</v>
      </c>
      <c r="BI107" s="26">
        <v>1</v>
      </c>
      <c r="BJ107" s="26"/>
      <c r="BK107" s="26"/>
      <c r="BL107" s="26"/>
      <c r="BM107" s="26"/>
      <c r="BN107" s="26"/>
      <c r="BO107" s="37">
        <f t="shared" si="5"/>
        <v>2</v>
      </c>
      <c r="BP107" s="56">
        <f t="shared" si="6"/>
        <v>1</v>
      </c>
      <c r="BQ107" s="56">
        <f t="shared" si="7"/>
        <v>0</v>
      </c>
      <c r="BR107" s="57">
        <f t="shared" si="8"/>
        <v>0</v>
      </c>
      <c r="BS107" s="38"/>
      <c r="BT107" s="38"/>
      <c r="BU107" s="26"/>
      <c r="BV107" s="26"/>
      <c r="BW107" s="39">
        <f t="shared" si="9"/>
        <v>3</v>
      </c>
      <c r="BX107" s="78">
        <v>2</v>
      </c>
      <c r="BY107" s="63">
        <v>1</v>
      </c>
      <c r="BZ107" s="7"/>
      <c r="CA107" s="8"/>
      <c r="CB107" s="7"/>
      <c r="CC107" s="7"/>
    </row>
    <row r="108" spans="1:81" x14ac:dyDescent="0.2">
      <c r="A108" s="109" t="s">
        <v>266</v>
      </c>
      <c r="B108" s="26">
        <v>35</v>
      </c>
      <c r="C108" s="109" t="s">
        <v>107</v>
      </c>
      <c r="D108" s="38">
        <v>9</v>
      </c>
      <c r="E108" s="38">
        <v>2</v>
      </c>
      <c r="F108" s="38">
        <v>3</v>
      </c>
      <c r="G108" s="38" t="s">
        <v>50</v>
      </c>
      <c r="H108" s="38">
        <v>8</v>
      </c>
      <c r="I108" s="38" t="s">
        <v>50</v>
      </c>
      <c r="J108" s="38"/>
      <c r="K108" s="38">
        <v>8</v>
      </c>
      <c r="L108" s="38">
        <v>7</v>
      </c>
      <c r="M108" s="40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8"/>
      <c r="BF108" s="38"/>
      <c r="BG108" s="37"/>
      <c r="BH108" s="26"/>
      <c r="BI108" s="26"/>
      <c r="BJ108" s="26"/>
      <c r="BK108" s="26"/>
      <c r="BL108" s="26"/>
      <c r="BM108" s="26"/>
      <c r="BN108" s="26"/>
      <c r="BO108" s="37">
        <f t="shared" si="5"/>
        <v>0</v>
      </c>
      <c r="BP108" s="56">
        <f t="shared" si="6"/>
        <v>0</v>
      </c>
      <c r="BQ108" s="56">
        <f t="shared" si="7"/>
        <v>0</v>
      </c>
      <c r="BR108" s="57">
        <f t="shared" si="8"/>
        <v>0</v>
      </c>
      <c r="BS108" s="38"/>
      <c r="BT108" s="38"/>
      <c r="BU108" s="26"/>
      <c r="BV108" s="26"/>
      <c r="BW108" s="39">
        <f t="shared" si="9"/>
        <v>0</v>
      </c>
      <c r="BX108" s="78">
        <v>0</v>
      </c>
      <c r="BY108" s="63">
        <v>1</v>
      </c>
      <c r="BZ108" s="7"/>
      <c r="CA108" s="8"/>
      <c r="CB108" s="7"/>
      <c r="CC108" s="7"/>
    </row>
    <row r="109" spans="1:81" ht="16" x14ac:dyDescent="0.2">
      <c r="A109" s="109" t="s">
        <v>266</v>
      </c>
      <c r="B109" s="26">
        <v>35</v>
      </c>
      <c r="C109" s="109" t="s">
        <v>107</v>
      </c>
      <c r="D109" s="38">
        <v>11</v>
      </c>
      <c r="E109" s="38">
        <v>2</v>
      </c>
      <c r="F109" s="38">
        <v>3</v>
      </c>
      <c r="G109" s="38" t="s">
        <v>50</v>
      </c>
      <c r="H109" s="38">
        <v>5</v>
      </c>
      <c r="I109" s="38" t="s">
        <v>51</v>
      </c>
      <c r="J109" s="38"/>
      <c r="K109" s="38">
        <v>8</v>
      </c>
      <c r="L109" s="38">
        <v>7</v>
      </c>
      <c r="M109" s="40"/>
      <c r="N109" s="36"/>
      <c r="O109" s="36"/>
      <c r="P109" s="36"/>
      <c r="Q109" s="36" t="s">
        <v>57</v>
      </c>
      <c r="R109" s="36">
        <f>8/17.5</f>
        <v>0.45714285714285713</v>
      </c>
      <c r="S109" s="36"/>
      <c r="T109" s="36"/>
      <c r="U109" s="36" t="s">
        <v>57</v>
      </c>
      <c r="V109" s="36">
        <f>9.5/17.5</f>
        <v>0.54285714285714282</v>
      </c>
      <c r="W109" s="36"/>
      <c r="X109" s="36"/>
      <c r="Y109" s="36"/>
      <c r="Z109" s="36"/>
      <c r="AA109" s="36"/>
      <c r="AB109" s="36"/>
      <c r="AC109" s="36"/>
      <c r="AD109" s="36"/>
      <c r="AE109" s="36" t="s">
        <v>48</v>
      </c>
      <c r="AF109" s="36">
        <f>7/17.5</f>
        <v>0.4</v>
      </c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 t="s">
        <v>48</v>
      </c>
      <c r="AX109" s="36">
        <f>12/17.5</f>
        <v>0.68571428571428572</v>
      </c>
      <c r="AY109" s="36" t="s">
        <v>39</v>
      </c>
      <c r="AZ109" s="36">
        <f>7/17.5</f>
        <v>0.4</v>
      </c>
      <c r="BA109" s="36"/>
      <c r="BB109" s="36"/>
      <c r="BC109" s="36"/>
      <c r="BD109" s="36"/>
      <c r="BE109" s="38"/>
      <c r="BF109" s="38"/>
      <c r="BG109" s="37"/>
      <c r="BH109" s="26"/>
      <c r="BI109" s="26"/>
      <c r="BJ109" s="26">
        <v>1</v>
      </c>
      <c r="BK109" s="26"/>
      <c r="BL109" s="26">
        <v>2</v>
      </c>
      <c r="BM109" s="26"/>
      <c r="BN109" s="26">
        <v>2</v>
      </c>
      <c r="BO109" s="37">
        <f t="shared" si="5"/>
        <v>0</v>
      </c>
      <c r="BP109" s="56">
        <f t="shared" si="6"/>
        <v>1</v>
      </c>
      <c r="BQ109" s="56">
        <f t="shared" si="7"/>
        <v>0</v>
      </c>
      <c r="BR109" s="57">
        <f t="shared" si="8"/>
        <v>4</v>
      </c>
      <c r="BS109" s="38"/>
      <c r="BT109" s="38"/>
      <c r="BU109" s="26"/>
      <c r="BV109" s="26"/>
      <c r="BW109" s="39">
        <f t="shared" si="9"/>
        <v>5</v>
      </c>
      <c r="BX109" s="78">
        <v>4</v>
      </c>
      <c r="BY109" s="63">
        <v>1</v>
      </c>
      <c r="BZ109" s="7"/>
      <c r="CA109" s="8"/>
      <c r="CB109" s="7"/>
      <c r="CC109" s="7"/>
    </row>
    <row r="110" spans="1:81" ht="16" x14ac:dyDescent="0.2">
      <c r="A110" s="111" t="s">
        <v>267</v>
      </c>
      <c r="B110" s="26">
        <v>35</v>
      </c>
      <c r="C110" s="106" t="s">
        <v>108</v>
      </c>
      <c r="D110" s="26">
        <v>1</v>
      </c>
      <c r="E110" s="26">
        <v>2</v>
      </c>
      <c r="F110" s="26">
        <v>2</v>
      </c>
      <c r="G110" s="26" t="s">
        <v>51</v>
      </c>
      <c r="H110" s="26">
        <v>4</v>
      </c>
      <c r="I110" s="26" t="s">
        <v>51</v>
      </c>
      <c r="J110" s="26" t="s">
        <v>37</v>
      </c>
      <c r="K110" s="26"/>
      <c r="L110" s="26">
        <v>6</v>
      </c>
      <c r="M110" s="40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 t="s">
        <v>39</v>
      </c>
      <c r="BB110" s="36">
        <f>8/8</f>
        <v>1</v>
      </c>
      <c r="BC110" s="36"/>
      <c r="BD110" s="36"/>
      <c r="BE110" s="26"/>
      <c r="BF110" s="26"/>
      <c r="BG110" s="39"/>
      <c r="BH110" s="38"/>
      <c r="BI110" s="38">
        <v>1</v>
      </c>
      <c r="BJ110" s="38"/>
      <c r="BK110" s="38"/>
      <c r="BL110" s="38"/>
      <c r="BM110" s="38"/>
      <c r="BN110" s="38"/>
      <c r="BO110" s="37">
        <f t="shared" si="5"/>
        <v>1</v>
      </c>
      <c r="BP110" s="56">
        <f t="shared" si="6"/>
        <v>0</v>
      </c>
      <c r="BQ110" s="56">
        <f t="shared" si="7"/>
        <v>0</v>
      </c>
      <c r="BR110" s="57">
        <f t="shared" si="8"/>
        <v>0</v>
      </c>
      <c r="BS110" s="38"/>
      <c r="BT110" s="38"/>
      <c r="BU110" s="26"/>
      <c r="BV110" s="26"/>
      <c r="BW110" s="39">
        <f t="shared" si="9"/>
        <v>1</v>
      </c>
      <c r="BX110" s="78">
        <v>1</v>
      </c>
      <c r="BY110" s="63">
        <v>9</v>
      </c>
      <c r="BZ110" s="7"/>
      <c r="CA110" s="8"/>
      <c r="CB110" s="17"/>
      <c r="CC110" s="17"/>
    </row>
    <row r="111" spans="1:81" x14ac:dyDescent="0.2">
      <c r="A111" s="109" t="s">
        <v>267</v>
      </c>
      <c r="B111" s="26">
        <v>35</v>
      </c>
      <c r="C111" s="106" t="s">
        <v>108</v>
      </c>
      <c r="D111" s="26">
        <v>4</v>
      </c>
      <c r="E111" s="26">
        <v>2</v>
      </c>
      <c r="F111" s="26">
        <v>2</v>
      </c>
      <c r="G111" s="26" t="s">
        <v>51</v>
      </c>
      <c r="H111" s="26">
        <v>4</v>
      </c>
      <c r="I111" s="26" t="s">
        <v>51</v>
      </c>
      <c r="J111" s="26" t="s">
        <v>41</v>
      </c>
      <c r="K111" s="26"/>
      <c r="L111" s="26">
        <v>6</v>
      </c>
      <c r="M111" s="40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26"/>
      <c r="BF111" s="26"/>
      <c r="BG111" s="37"/>
      <c r="BH111" s="26"/>
      <c r="BI111" s="26"/>
      <c r="BJ111" s="26"/>
      <c r="BK111" s="26"/>
      <c r="BL111" s="26"/>
      <c r="BM111" s="26"/>
      <c r="BN111" s="26"/>
      <c r="BO111" s="37">
        <f t="shared" si="5"/>
        <v>0</v>
      </c>
      <c r="BP111" s="56">
        <f t="shared" si="6"/>
        <v>0</v>
      </c>
      <c r="BQ111" s="56">
        <f t="shared" si="7"/>
        <v>0</v>
      </c>
      <c r="BR111" s="57">
        <f t="shared" si="8"/>
        <v>0</v>
      </c>
      <c r="BS111" s="38"/>
      <c r="BT111" s="38"/>
      <c r="BU111" s="26"/>
      <c r="BV111" s="26"/>
      <c r="BW111" s="39">
        <f t="shared" si="9"/>
        <v>0</v>
      </c>
      <c r="BX111" s="78">
        <v>0</v>
      </c>
      <c r="BY111" s="63">
        <v>10</v>
      </c>
      <c r="CB111" s="7"/>
      <c r="CC111" s="7"/>
    </row>
    <row r="112" spans="1:81" ht="16" x14ac:dyDescent="0.2">
      <c r="A112" s="109" t="s">
        <v>267</v>
      </c>
      <c r="B112" s="26">
        <v>35</v>
      </c>
      <c r="C112" s="106" t="s">
        <v>108</v>
      </c>
      <c r="D112" s="26">
        <v>5</v>
      </c>
      <c r="E112" s="26">
        <v>2</v>
      </c>
      <c r="F112" s="26">
        <v>3</v>
      </c>
      <c r="G112" s="26" t="s">
        <v>50</v>
      </c>
      <c r="H112" s="26">
        <v>6</v>
      </c>
      <c r="I112" s="26" t="s">
        <v>51</v>
      </c>
      <c r="J112" s="26" t="s">
        <v>37</v>
      </c>
      <c r="K112" s="26"/>
      <c r="L112" s="26">
        <v>6</v>
      </c>
      <c r="M112" s="40"/>
      <c r="N112" s="36"/>
      <c r="O112" s="36"/>
      <c r="P112" s="36"/>
      <c r="Q112" s="36"/>
      <c r="R112" s="36"/>
      <c r="S112" s="36" t="s">
        <v>38</v>
      </c>
      <c r="T112" s="36">
        <f>5/8</f>
        <v>0.625</v>
      </c>
      <c r="U112" s="36" t="s">
        <v>39</v>
      </c>
      <c r="V112" s="36">
        <f>3/8</f>
        <v>0.375</v>
      </c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26"/>
      <c r="BF112" s="26"/>
      <c r="BG112" s="37"/>
      <c r="BH112" s="26">
        <v>1</v>
      </c>
      <c r="BI112" s="26"/>
      <c r="BJ112" s="26">
        <v>1</v>
      </c>
      <c r="BK112" s="26"/>
      <c r="BL112" s="26"/>
      <c r="BM112" s="26"/>
      <c r="BN112" s="26"/>
      <c r="BO112" s="37">
        <f t="shared" si="5"/>
        <v>0</v>
      </c>
      <c r="BP112" s="56">
        <f t="shared" si="6"/>
        <v>2</v>
      </c>
      <c r="BQ112" s="56">
        <f t="shared" si="7"/>
        <v>0</v>
      </c>
      <c r="BR112" s="57">
        <f t="shared" si="8"/>
        <v>0</v>
      </c>
      <c r="BS112" s="38"/>
      <c r="BT112" s="38"/>
      <c r="BU112" s="26"/>
      <c r="BV112" s="26"/>
      <c r="BW112" s="39">
        <f t="shared" si="9"/>
        <v>2</v>
      </c>
      <c r="BX112" s="78">
        <v>3</v>
      </c>
      <c r="BY112" s="63">
        <v>9</v>
      </c>
      <c r="CB112" s="7"/>
      <c r="CC112" s="7"/>
    </row>
    <row r="113" spans="1:81" x14ac:dyDescent="0.2">
      <c r="A113" s="109" t="s">
        <v>267</v>
      </c>
      <c r="B113" s="26">
        <v>35</v>
      </c>
      <c r="C113" s="106" t="s">
        <v>108</v>
      </c>
      <c r="D113" s="26">
        <v>6</v>
      </c>
      <c r="E113" s="26">
        <v>2</v>
      </c>
      <c r="F113" s="26">
        <v>3</v>
      </c>
      <c r="G113" s="26" t="s">
        <v>50</v>
      </c>
      <c r="H113" s="26">
        <v>5</v>
      </c>
      <c r="I113" s="26" t="s">
        <v>51</v>
      </c>
      <c r="J113" s="26" t="s">
        <v>60</v>
      </c>
      <c r="K113" s="26"/>
      <c r="L113" s="26">
        <v>7</v>
      </c>
      <c r="M113" s="40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26"/>
      <c r="BF113" s="26"/>
      <c r="BG113" s="37"/>
      <c r="BH113" s="26"/>
      <c r="BI113" s="26"/>
      <c r="BJ113" s="26"/>
      <c r="BK113" s="26"/>
      <c r="BL113" s="26"/>
      <c r="BM113" s="26"/>
      <c r="BN113" s="26"/>
      <c r="BO113" s="37">
        <f t="shared" si="5"/>
        <v>0</v>
      </c>
      <c r="BP113" s="56">
        <f t="shared" si="6"/>
        <v>0</v>
      </c>
      <c r="BQ113" s="56">
        <f t="shared" si="7"/>
        <v>0</v>
      </c>
      <c r="BR113" s="57">
        <f t="shared" si="8"/>
        <v>0</v>
      </c>
      <c r="BS113" s="38"/>
      <c r="BT113" s="38"/>
      <c r="BU113" s="26"/>
      <c r="BV113" s="26"/>
      <c r="BW113" s="39">
        <f t="shared" si="9"/>
        <v>0</v>
      </c>
      <c r="BX113" s="78">
        <v>0</v>
      </c>
      <c r="BY113" s="63">
        <v>7</v>
      </c>
      <c r="CB113" s="7"/>
      <c r="CC113" s="7"/>
    </row>
    <row r="114" spans="1:81" ht="16" x14ac:dyDescent="0.2">
      <c r="A114" s="109" t="s">
        <v>260</v>
      </c>
      <c r="B114" s="26">
        <v>41</v>
      </c>
      <c r="C114" s="109" t="s">
        <v>99</v>
      </c>
      <c r="D114" s="26">
        <v>2</v>
      </c>
      <c r="E114" s="26">
        <v>2</v>
      </c>
      <c r="F114" s="26"/>
      <c r="G114" s="26"/>
      <c r="H114" s="26"/>
      <c r="I114" s="26"/>
      <c r="J114" s="26" t="s">
        <v>42</v>
      </c>
      <c r="K114" s="26"/>
      <c r="L114" s="26">
        <v>5</v>
      </c>
      <c r="M114" s="40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 t="s">
        <v>38</v>
      </c>
      <c r="AN114" s="36">
        <v>1</v>
      </c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26"/>
      <c r="BF114" s="26"/>
      <c r="BG114" s="37">
        <v>1</v>
      </c>
      <c r="BH114" s="26"/>
      <c r="BI114" s="26"/>
      <c r="BJ114" s="26"/>
      <c r="BK114" s="26"/>
      <c r="BL114" s="26"/>
      <c r="BM114" s="26"/>
      <c r="BN114" s="26"/>
      <c r="BO114" s="37">
        <f t="shared" si="5"/>
        <v>1</v>
      </c>
      <c r="BP114" s="56">
        <f t="shared" si="6"/>
        <v>0</v>
      </c>
      <c r="BQ114" s="56">
        <f t="shared" si="7"/>
        <v>0</v>
      </c>
      <c r="BR114" s="57">
        <f t="shared" si="8"/>
        <v>0</v>
      </c>
      <c r="BS114" s="38"/>
      <c r="BT114" s="38"/>
      <c r="BU114" s="26"/>
      <c r="BV114" s="26"/>
      <c r="BW114" s="39">
        <f t="shared" si="9"/>
        <v>1</v>
      </c>
      <c r="BX114" s="82">
        <v>1</v>
      </c>
      <c r="BY114" s="63">
        <v>8</v>
      </c>
      <c r="BZ114" s="7"/>
      <c r="CA114" s="8"/>
      <c r="CB114" s="7"/>
      <c r="CC114" s="7"/>
    </row>
    <row r="115" spans="1:81" x14ac:dyDescent="0.2">
      <c r="A115" s="109" t="s">
        <v>268</v>
      </c>
      <c r="B115" s="26">
        <v>43</v>
      </c>
      <c r="C115" s="109" t="s">
        <v>109</v>
      </c>
      <c r="D115" s="38">
        <v>6</v>
      </c>
      <c r="E115" s="38">
        <v>2</v>
      </c>
      <c r="F115" s="38">
        <v>4</v>
      </c>
      <c r="G115" s="38" t="s">
        <v>50</v>
      </c>
      <c r="H115" s="38"/>
      <c r="I115" s="38"/>
      <c r="J115" s="38" t="s">
        <v>37</v>
      </c>
      <c r="K115" s="38"/>
      <c r="L115" s="38">
        <v>5</v>
      </c>
      <c r="M115" s="40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8"/>
      <c r="BF115" s="38"/>
      <c r="BG115" s="37"/>
      <c r="BH115" s="26"/>
      <c r="BI115" s="26"/>
      <c r="BJ115" s="26"/>
      <c r="BK115" s="26"/>
      <c r="BL115" s="26"/>
      <c r="BM115" s="26"/>
      <c r="BN115" s="26"/>
      <c r="BO115" s="37">
        <f t="shared" si="5"/>
        <v>0</v>
      </c>
      <c r="BP115" s="56">
        <f t="shared" si="6"/>
        <v>0</v>
      </c>
      <c r="BQ115" s="56">
        <f t="shared" si="7"/>
        <v>0</v>
      </c>
      <c r="BR115" s="57">
        <f t="shared" si="8"/>
        <v>0</v>
      </c>
      <c r="BS115" s="38"/>
      <c r="BT115" s="38"/>
      <c r="BU115" s="26"/>
      <c r="BV115" s="26"/>
      <c r="BW115" s="39">
        <f t="shared" si="9"/>
        <v>0</v>
      </c>
      <c r="BX115" s="78">
        <v>0</v>
      </c>
      <c r="BY115" s="63">
        <v>9</v>
      </c>
      <c r="CB115" s="7"/>
      <c r="CC115" s="7"/>
    </row>
    <row r="116" spans="1:81" ht="16" x14ac:dyDescent="0.2">
      <c r="A116" s="109" t="s">
        <v>268</v>
      </c>
      <c r="B116" s="26">
        <v>43</v>
      </c>
      <c r="C116" s="109" t="s">
        <v>110</v>
      </c>
      <c r="D116" s="38">
        <v>4</v>
      </c>
      <c r="E116" s="38">
        <v>2</v>
      </c>
      <c r="F116" s="38">
        <v>2</v>
      </c>
      <c r="G116" s="38" t="s">
        <v>51</v>
      </c>
      <c r="H116" s="38">
        <v>4</v>
      </c>
      <c r="I116" s="38" t="s">
        <v>51</v>
      </c>
      <c r="J116" s="38" t="s">
        <v>45</v>
      </c>
      <c r="K116" s="38"/>
      <c r="L116" s="38">
        <v>6</v>
      </c>
      <c r="M116" s="40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 t="s">
        <v>39</v>
      </c>
      <c r="Z116" s="36">
        <f>11/16</f>
        <v>0.6875</v>
      </c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 t="s">
        <v>39</v>
      </c>
      <c r="AL116" s="36">
        <f>7.5/16</f>
        <v>0.46875</v>
      </c>
      <c r="AM116" s="36" t="s">
        <v>39</v>
      </c>
      <c r="AN116" s="36">
        <f>15.5/16</f>
        <v>0.96875</v>
      </c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8"/>
      <c r="BF116" s="38"/>
      <c r="BG116" s="37"/>
      <c r="BH116" s="26"/>
      <c r="BI116" s="26">
        <v>1</v>
      </c>
      <c r="BJ116" s="26">
        <v>2</v>
      </c>
      <c r="BK116" s="26"/>
      <c r="BL116" s="26"/>
      <c r="BM116" s="26"/>
      <c r="BN116" s="26"/>
      <c r="BO116" s="37">
        <f t="shared" si="5"/>
        <v>1</v>
      </c>
      <c r="BP116" s="56">
        <f t="shared" si="6"/>
        <v>2</v>
      </c>
      <c r="BQ116" s="56">
        <f t="shared" si="7"/>
        <v>0</v>
      </c>
      <c r="BR116" s="57">
        <f t="shared" si="8"/>
        <v>0</v>
      </c>
      <c r="BS116" s="38"/>
      <c r="BT116" s="38"/>
      <c r="BU116" s="26"/>
      <c r="BV116" s="26"/>
      <c r="BW116" s="39">
        <f t="shared" si="9"/>
        <v>3</v>
      </c>
      <c r="BX116" s="78">
        <v>2</v>
      </c>
      <c r="BY116" s="63">
        <v>5</v>
      </c>
      <c r="BZ116" s="7"/>
      <c r="CA116" s="8"/>
      <c r="CB116" s="7"/>
      <c r="CC116" s="7"/>
    </row>
    <row r="117" spans="1:81" ht="16" x14ac:dyDescent="0.2">
      <c r="A117" s="109" t="s">
        <v>268</v>
      </c>
      <c r="B117" s="26">
        <v>43</v>
      </c>
      <c r="C117" s="109" t="s">
        <v>110</v>
      </c>
      <c r="D117" s="38">
        <v>5</v>
      </c>
      <c r="E117" s="38">
        <v>2</v>
      </c>
      <c r="F117" s="38">
        <v>2</v>
      </c>
      <c r="G117" s="38" t="s">
        <v>51</v>
      </c>
      <c r="H117" s="38">
        <v>4</v>
      </c>
      <c r="I117" s="38" t="s">
        <v>51</v>
      </c>
      <c r="J117" s="38" t="s">
        <v>69</v>
      </c>
      <c r="K117" s="38"/>
      <c r="L117" s="38">
        <v>5</v>
      </c>
      <c r="M117" s="40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 t="s">
        <v>57</v>
      </c>
      <c r="Z117" s="36">
        <f>12/16</f>
        <v>0.75</v>
      </c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 t="s">
        <v>39</v>
      </c>
      <c r="AT117" s="36">
        <f>13.5/16</f>
        <v>0.84375</v>
      </c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8"/>
      <c r="BF117" s="38"/>
      <c r="BG117" s="37"/>
      <c r="BH117" s="26"/>
      <c r="BI117" s="26">
        <v>1</v>
      </c>
      <c r="BJ117" s="26"/>
      <c r="BK117" s="26"/>
      <c r="BL117" s="26"/>
      <c r="BM117" s="26">
        <v>1</v>
      </c>
      <c r="BN117" s="26"/>
      <c r="BO117" s="37">
        <f t="shared" si="5"/>
        <v>1</v>
      </c>
      <c r="BP117" s="56">
        <f t="shared" si="6"/>
        <v>0</v>
      </c>
      <c r="BQ117" s="56">
        <f t="shared" si="7"/>
        <v>1</v>
      </c>
      <c r="BR117" s="57">
        <f t="shared" si="8"/>
        <v>0</v>
      </c>
      <c r="BS117" s="38"/>
      <c r="BT117" s="38"/>
      <c r="BU117" s="26"/>
      <c r="BV117" s="26"/>
      <c r="BW117" s="39">
        <f t="shared" si="9"/>
        <v>2</v>
      </c>
      <c r="BX117" s="78">
        <v>2</v>
      </c>
      <c r="BY117" s="63">
        <v>12</v>
      </c>
      <c r="BZ117" s="7"/>
      <c r="CA117" s="8"/>
      <c r="CB117" s="7"/>
      <c r="CC117" s="7"/>
    </row>
    <row r="118" spans="1:81" ht="16" x14ac:dyDescent="0.2">
      <c r="A118" s="109" t="s">
        <v>268</v>
      </c>
      <c r="B118" s="26">
        <v>43</v>
      </c>
      <c r="C118" s="109" t="s">
        <v>110</v>
      </c>
      <c r="D118" s="38">
        <v>7</v>
      </c>
      <c r="E118" s="38">
        <v>2</v>
      </c>
      <c r="F118" s="38">
        <v>2</v>
      </c>
      <c r="G118" s="38" t="s">
        <v>51</v>
      </c>
      <c r="H118" s="38">
        <v>5</v>
      </c>
      <c r="I118" s="38" t="s">
        <v>56</v>
      </c>
      <c r="J118" s="38" t="s">
        <v>45</v>
      </c>
      <c r="K118" s="38"/>
      <c r="L118" s="38">
        <v>6</v>
      </c>
      <c r="M118" s="40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 t="s">
        <v>39</v>
      </c>
      <c r="AF118" s="36">
        <f>18.5/16</f>
        <v>1.15625</v>
      </c>
      <c r="AG118" s="36"/>
      <c r="AH118" s="36"/>
      <c r="AI118" s="36"/>
      <c r="AJ118" s="36"/>
      <c r="AK118" s="36"/>
      <c r="AL118" s="36"/>
      <c r="AM118" s="36" t="s">
        <v>38</v>
      </c>
      <c r="AN118" s="36">
        <f>18.5/16</f>
        <v>1.15625</v>
      </c>
      <c r="AO118" s="36"/>
      <c r="AP118" s="36"/>
      <c r="AQ118" s="36" t="s">
        <v>38</v>
      </c>
      <c r="AR118" s="36">
        <f>15/16</f>
        <v>0.9375</v>
      </c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8"/>
      <c r="BF118" s="38"/>
      <c r="BG118" s="37">
        <v>2</v>
      </c>
      <c r="BH118" s="26"/>
      <c r="BI118" s="26">
        <v>1</v>
      </c>
      <c r="BJ118" s="26"/>
      <c r="BK118" s="26"/>
      <c r="BL118" s="26"/>
      <c r="BM118" s="26"/>
      <c r="BN118" s="26"/>
      <c r="BO118" s="37">
        <f t="shared" si="5"/>
        <v>3</v>
      </c>
      <c r="BP118" s="56">
        <f t="shared" si="6"/>
        <v>0</v>
      </c>
      <c r="BQ118" s="56">
        <f t="shared" si="7"/>
        <v>0</v>
      </c>
      <c r="BR118" s="57">
        <f t="shared" si="8"/>
        <v>0</v>
      </c>
      <c r="BS118" s="38"/>
      <c r="BT118" s="38"/>
      <c r="BU118" s="26"/>
      <c r="BV118" s="26"/>
      <c r="BW118" s="39">
        <f t="shared" si="9"/>
        <v>3</v>
      </c>
      <c r="BX118" s="78">
        <v>1</v>
      </c>
      <c r="BY118" s="63">
        <v>5</v>
      </c>
      <c r="BZ118" s="7"/>
      <c r="CA118" s="8"/>
      <c r="CB118" s="7"/>
      <c r="CC118" s="7"/>
    </row>
    <row r="119" spans="1:81" ht="16" x14ac:dyDescent="0.2">
      <c r="A119" s="109" t="s">
        <v>268</v>
      </c>
      <c r="B119" s="26">
        <v>43</v>
      </c>
      <c r="C119" s="109" t="s">
        <v>110</v>
      </c>
      <c r="D119" s="38">
        <v>8</v>
      </c>
      <c r="E119" s="38">
        <v>2</v>
      </c>
      <c r="F119" s="38">
        <v>2</v>
      </c>
      <c r="G119" s="38" t="s">
        <v>51</v>
      </c>
      <c r="H119" s="38">
        <v>4</v>
      </c>
      <c r="I119" s="38" t="s">
        <v>51</v>
      </c>
      <c r="J119" s="38" t="s">
        <v>41</v>
      </c>
      <c r="K119" s="38"/>
      <c r="L119" s="38">
        <v>5</v>
      </c>
      <c r="M119" s="40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 t="s">
        <v>39</v>
      </c>
      <c r="AT119" s="36">
        <f>13.5/16</f>
        <v>0.84375</v>
      </c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8"/>
      <c r="BF119" s="38"/>
      <c r="BG119" s="37"/>
      <c r="BH119" s="26"/>
      <c r="BI119" s="26">
        <v>1</v>
      </c>
      <c r="BJ119" s="26"/>
      <c r="BK119" s="26"/>
      <c r="BL119" s="26"/>
      <c r="BM119" s="26"/>
      <c r="BN119" s="26"/>
      <c r="BO119" s="37">
        <f t="shared" si="5"/>
        <v>1</v>
      </c>
      <c r="BP119" s="56">
        <f t="shared" si="6"/>
        <v>0</v>
      </c>
      <c r="BQ119" s="56">
        <f t="shared" si="7"/>
        <v>0</v>
      </c>
      <c r="BR119" s="57">
        <f t="shared" si="8"/>
        <v>0</v>
      </c>
      <c r="BS119" s="38"/>
      <c r="BT119" s="38"/>
      <c r="BU119" s="26"/>
      <c r="BV119" s="26"/>
      <c r="BW119" s="39">
        <f t="shared" si="9"/>
        <v>1</v>
      </c>
      <c r="BX119" s="78">
        <v>1</v>
      </c>
      <c r="BY119" s="63">
        <v>10</v>
      </c>
      <c r="BZ119" s="7"/>
      <c r="CA119" s="8"/>
      <c r="CB119" s="7"/>
      <c r="CC119" s="7"/>
    </row>
    <row r="120" spans="1:81" ht="16" x14ac:dyDescent="0.2">
      <c r="A120" s="109" t="s">
        <v>268</v>
      </c>
      <c r="B120" s="26">
        <v>43</v>
      </c>
      <c r="C120" s="109" t="s">
        <v>110</v>
      </c>
      <c r="D120" s="38">
        <v>10</v>
      </c>
      <c r="E120" s="38">
        <v>2</v>
      </c>
      <c r="F120" s="38">
        <v>2</v>
      </c>
      <c r="G120" s="38" t="s">
        <v>51</v>
      </c>
      <c r="H120" s="38">
        <v>4</v>
      </c>
      <c r="I120" s="38" t="s">
        <v>51</v>
      </c>
      <c r="J120" s="38" t="s">
        <v>60</v>
      </c>
      <c r="K120" s="38"/>
      <c r="L120" s="38">
        <v>5</v>
      </c>
      <c r="M120" s="40" t="s">
        <v>38</v>
      </c>
      <c r="N120" s="36">
        <f>7/16</f>
        <v>0.4375</v>
      </c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 t="s">
        <v>39</v>
      </c>
      <c r="AD120" s="36">
        <f>15.5/16</f>
        <v>0.96875</v>
      </c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 t="s">
        <v>39</v>
      </c>
      <c r="AR120" s="36">
        <f>8.5/16</f>
        <v>0.53125</v>
      </c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8"/>
      <c r="BF120" s="38"/>
      <c r="BG120" s="37"/>
      <c r="BH120" s="26">
        <v>1</v>
      </c>
      <c r="BI120" s="26">
        <v>1</v>
      </c>
      <c r="BJ120" s="26">
        <v>1</v>
      </c>
      <c r="BK120" s="26"/>
      <c r="BL120" s="26"/>
      <c r="BM120" s="26"/>
      <c r="BN120" s="26"/>
      <c r="BO120" s="37">
        <f t="shared" si="5"/>
        <v>1</v>
      </c>
      <c r="BP120" s="56">
        <f t="shared" si="6"/>
        <v>2</v>
      </c>
      <c r="BQ120" s="56">
        <f t="shared" si="7"/>
        <v>0</v>
      </c>
      <c r="BR120" s="57">
        <f t="shared" si="8"/>
        <v>0</v>
      </c>
      <c r="BS120" s="38"/>
      <c r="BT120" s="38"/>
      <c r="BU120" s="26"/>
      <c r="BV120" s="26"/>
      <c r="BW120" s="39">
        <f t="shared" si="9"/>
        <v>3</v>
      </c>
      <c r="BX120" s="78">
        <v>2</v>
      </c>
      <c r="BY120" s="63">
        <v>7</v>
      </c>
      <c r="BZ120" s="7"/>
      <c r="CA120" s="8"/>
      <c r="CB120" s="7"/>
      <c r="CC120" s="7"/>
    </row>
    <row r="121" spans="1:81" ht="16" x14ac:dyDescent="0.2">
      <c r="A121" s="109" t="s">
        <v>268</v>
      </c>
      <c r="B121" s="26">
        <v>43</v>
      </c>
      <c r="C121" s="109" t="s">
        <v>111</v>
      </c>
      <c r="D121" s="38">
        <v>5</v>
      </c>
      <c r="E121" s="38">
        <v>2</v>
      </c>
      <c r="F121" s="38">
        <v>2</v>
      </c>
      <c r="G121" s="38" t="s">
        <v>51</v>
      </c>
      <c r="H121" s="38">
        <v>5</v>
      </c>
      <c r="I121" s="38" t="s">
        <v>56</v>
      </c>
      <c r="J121" s="38" t="s">
        <v>41</v>
      </c>
      <c r="K121" s="38"/>
      <c r="L121" s="38">
        <v>6</v>
      </c>
      <c r="M121" s="40"/>
      <c r="N121" s="36"/>
      <c r="O121" s="36" t="s">
        <v>38</v>
      </c>
      <c r="P121" s="36">
        <f>16/16</f>
        <v>1</v>
      </c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 t="s">
        <v>55</v>
      </c>
      <c r="AH121" s="36">
        <f>10.5/16</f>
        <v>0.65625</v>
      </c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8"/>
      <c r="BF121" s="38"/>
      <c r="BG121" s="39">
        <v>1</v>
      </c>
      <c r="BH121" s="38"/>
      <c r="BI121" s="38"/>
      <c r="BJ121" s="38"/>
      <c r="BK121" s="38"/>
      <c r="BL121" s="38">
        <v>1</v>
      </c>
      <c r="BM121" s="38"/>
      <c r="BN121" s="38"/>
      <c r="BO121" s="37">
        <f t="shared" si="5"/>
        <v>1</v>
      </c>
      <c r="BP121" s="56">
        <f t="shared" si="6"/>
        <v>0</v>
      </c>
      <c r="BQ121" s="56">
        <f t="shared" si="7"/>
        <v>0</v>
      </c>
      <c r="BR121" s="57">
        <f t="shared" si="8"/>
        <v>1</v>
      </c>
      <c r="BS121" s="38"/>
      <c r="BT121" s="38"/>
      <c r="BU121" s="26"/>
      <c r="BV121" s="26"/>
      <c r="BW121" s="39">
        <f t="shared" si="9"/>
        <v>2</v>
      </c>
      <c r="BX121" s="78">
        <v>2</v>
      </c>
      <c r="BY121" s="63">
        <v>10</v>
      </c>
      <c r="BZ121" s="7"/>
      <c r="CA121" s="8"/>
      <c r="CB121" s="7"/>
      <c r="CC121" s="7"/>
    </row>
    <row r="122" spans="1:81" ht="16" x14ac:dyDescent="0.2">
      <c r="A122" s="111" t="s">
        <v>269</v>
      </c>
      <c r="B122" s="42">
        <v>38</v>
      </c>
      <c r="C122" s="110" t="s">
        <v>112</v>
      </c>
      <c r="D122" s="42">
        <v>1</v>
      </c>
      <c r="E122" s="42">
        <v>2</v>
      </c>
      <c r="F122" s="36"/>
      <c r="G122" s="36"/>
      <c r="H122" s="36"/>
      <c r="I122" s="36"/>
      <c r="J122" s="42" t="s">
        <v>41</v>
      </c>
      <c r="K122" s="42"/>
      <c r="L122" s="42">
        <v>5</v>
      </c>
      <c r="M122" s="40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9"/>
      <c r="BH122" s="38"/>
      <c r="BI122" s="38"/>
      <c r="BJ122" s="38"/>
      <c r="BK122" s="38"/>
      <c r="BL122" s="38"/>
      <c r="BM122" s="38"/>
      <c r="BN122" s="38"/>
      <c r="BO122" s="37">
        <f t="shared" si="5"/>
        <v>0</v>
      </c>
      <c r="BP122" s="56">
        <f t="shared" si="6"/>
        <v>0</v>
      </c>
      <c r="BQ122" s="56">
        <f t="shared" si="7"/>
        <v>0</v>
      </c>
      <c r="BR122" s="57">
        <f t="shared" si="8"/>
        <v>0</v>
      </c>
      <c r="BS122" s="38"/>
      <c r="BT122" s="38"/>
      <c r="BU122" s="26"/>
      <c r="BV122" s="26"/>
      <c r="BW122" s="39">
        <f t="shared" si="9"/>
        <v>0</v>
      </c>
      <c r="BX122" s="78">
        <v>0</v>
      </c>
      <c r="BY122" s="63">
        <v>10</v>
      </c>
      <c r="BZ122" s="7"/>
      <c r="CA122" s="8"/>
      <c r="CB122" s="17"/>
      <c r="CC122" s="17"/>
    </row>
    <row r="123" spans="1:81" ht="16" x14ac:dyDescent="0.2">
      <c r="A123" s="111" t="s">
        <v>269</v>
      </c>
      <c r="B123" s="42">
        <v>38</v>
      </c>
      <c r="C123" s="110" t="s">
        <v>112</v>
      </c>
      <c r="D123" s="42">
        <v>2</v>
      </c>
      <c r="E123" s="42">
        <v>2</v>
      </c>
      <c r="F123" s="36"/>
      <c r="G123" s="36"/>
      <c r="H123" s="36"/>
      <c r="I123" s="36"/>
      <c r="J123" s="42"/>
      <c r="K123" s="42" t="s">
        <v>47</v>
      </c>
      <c r="L123" s="42">
        <v>7</v>
      </c>
      <c r="M123" s="40" t="s">
        <v>40</v>
      </c>
      <c r="N123" s="44">
        <f>4.5/8</f>
        <v>0.5625</v>
      </c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 t="s">
        <v>48</v>
      </c>
      <c r="AD123" s="44">
        <f>3.5/8</f>
        <v>0.4375</v>
      </c>
      <c r="AE123" s="36"/>
      <c r="AF123" s="36"/>
      <c r="AG123" s="36"/>
      <c r="AH123" s="36"/>
      <c r="AI123" s="36"/>
      <c r="AJ123" s="36"/>
      <c r="AK123" s="36"/>
      <c r="AL123" s="36"/>
      <c r="AM123" s="36" t="s">
        <v>39</v>
      </c>
      <c r="AN123" s="36">
        <f>6/8</f>
        <v>0.75</v>
      </c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 t="s">
        <v>39</v>
      </c>
      <c r="BB123" s="36">
        <f>6/8</f>
        <v>0.75</v>
      </c>
      <c r="BC123" s="36"/>
      <c r="BD123" s="36"/>
      <c r="BE123" s="36"/>
      <c r="BF123" s="36"/>
      <c r="BG123" s="39"/>
      <c r="BH123" s="38"/>
      <c r="BI123" s="38">
        <v>2</v>
      </c>
      <c r="BJ123" s="38"/>
      <c r="BK123" s="38"/>
      <c r="BL123" s="38">
        <v>1</v>
      </c>
      <c r="BM123" s="38"/>
      <c r="BN123" s="38">
        <v>1</v>
      </c>
      <c r="BO123" s="37">
        <f t="shared" si="5"/>
        <v>2</v>
      </c>
      <c r="BP123" s="56">
        <f t="shared" si="6"/>
        <v>0</v>
      </c>
      <c r="BQ123" s="56">
        <f t="shared" si="7"/>
        <v>0</v>
      </c>
      <c r="BR123" s="57">
        <f t="shared" si="8"/>
        <v>2</v>
      </c>
      <c r="BS123" s="38"/>
      <c r="BT123" s="38"/>
      <c r="BU123" s="26"/>
      <c r="BV123" s="26"/>
      <c r="BW123" s="39">
        <f t="shared" si="9"/>
        <v>4</v>
      </c>
      <c r="BX123" s="78">
        <v>2</v>
      </c>
      <c r="BY123" s="63">
        <v>3</v>
      </c>
      <c r="BZ123" s="7"/>
      <c r="CA123" s="8"/>
      <c r="CB123" s="17"/>
      <c r="CC123" s="17"/>
    </row>
    <row r="124" spans="1:81" ht="16" x14ac:dyDescent="0.2">
      <c r="A124" s="109" t="s">
        <v>269</v>
      </c>
      <c r="B124" s="42">
        <v>38</v>
      </c>
      <c r="C124" s="110" t="s">
        <v>112</v>
      </c>
      <c r="D124" s="42">
        <v>3</v>
      </c>
      <c r="E124" s="42">
        <v>2</v>
      </c>
      <c r="F124" s="36"/>
      <c r="G124" s="36"/>
      <c r="H124" s="36"/>
      <c r="I124" s="36"/>
      <c r="J124" s="42"/>
      <c r="K124" s="42" t="s">
        <v>49</v>
      </c>
      <c r="L124" s="42">
        <v>7</v>
      </c>
      <c r="M124" s="40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 t="s">
        <v>39</v>
      </c>
      <c r="AT124" s="44">
        <f>6.5/8</f>
        <v>0.8125</v>
      </c>
      <c r="AU124" s="36"/>
      <c r="AV124" s="36"/>
      <c r="AW124" s="36" t="s">
        <v>38</v>
      </c>
      <c r="AX124" s="36">
        <f>4/8</f>
        <v>0.5</v>
      </c>
      <c r="AY124" s="36"/>
      <c r="AZ124" s="36"/>
      <c r="BA124" s="36" t="s">
        <v>38</v>
      </c>
      <c r="BB124" s="36">
        <f>3/8</f>
        <v>0.375</v>
      </c>
      <c r="BC124" s="36" t="s">
        <v>39</v>
      </c>
      <c r="BD124" s="36">
        <f>6/8</f>
        <v>0.75</v>
      </c>
      <c r="BE124" s="36"/>
      <c r="BF124" s="36"/>
      <c r="BG124" s="37"/>
      <c r="BH124" s="26">
        <v>2</v>
      </c>
      <c r="BI124" s="26">
        <v>2</v>
      </c>
      <c r="BJ124" s="26"/>
      <c r="BK124" s="26"/>
      <c r="BL124" s="26"/>
      <c r="BM124" s="26"/>
      <c r="BN124" s="26"/>
      <c r="BO124" s="37">
        <f t="shared" si="5"/>
        <v>2</v>
      </c>
      <c r="BP124" s="56">
        <f t="shared" si="6"/>
        <v>2</v>
      </c>
      <c r="BQ124" s="56">
        <f t="shared" si="7"/>
        <v>0</v>
      </c>
      <c r="BR124" s="57">
        <f t="shared" si="8"/>
        <v>0</v>
      </c>
      <c r="BS124" s="38"/>
      <c r="BT124" s="38"/>
      <c r="BU124" s="26"/>
      <c r="BV124" s="26"/>
      <c r="BW124" s="39">
        <f t="shared" si="9"/>
        <v>4</v>
      </c>
      <c r="BX124" s="78">
        <v>2</v>
      </c>
      <c r="BY124" s="63">
        <v>1</v>
      </c>
      <c r="BZ124" s="7"/>
      <c r="CA124" s="8"/>
      <c r="CB124" s="7"/>
      <c r="CC124" s="7"/>
    </row>
    <row r="125" spans="1:81" ht="16" x14ac:dyDescent="0.2">
      <c r="A125" s="111" t="s">
        <v>269</v>
      </c>
      <c r="B125" s="42">
        <v>38</v>
      </c>
      <c r="C125" s="110" t="s">
        <v>112</v>
      </c>
      <c r="D125" s="42">
        <v>4</v>
      </c>
      <c r="E125" s="42">
        <v>2</v>
      </c>
      <c r="F125" s="36"/>
      <c r="G125" s="36"/>
      <c r="H125" s="36"/>
      <c r="I125" s="36"/>
      <c r="J125" s="42"/>
      <c r="K125" s="42" t="s">
        <v>47</v>
      </c>
      <c r="L125" s="42">
        <v>7</v>
      </c>
      <c r="M125" s="40" t="s">
        <v>38</v>
      </c>
      <c r="N125" s="36">
        <f>5.5/8</f>
        <v>0.6875</v>
      </c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 t="s">
        <v>70</v>
      </c>
      <c r="AH125" s="36">
        <f>4.5/8</f>
        <v>0.5625</v>
      </c>
      <c r="AI125" s="36"/>
      <c r="AJ125" s="36"/>
      <c r="AK125" s="36"/>
      <c r="AL125" s="36"/>
      <c r="AM125" s="36"/>
      <c r="AN125" s="36"/>
      <c r="AO125" s="36" t="s">
        <v>40</v>
      </c>
      <c r="AP125" s="36">
        <f>4.5/8</f>
        <v>0.5625</v>
      </c>
      <c r="AQ125" s="36"/>
      <c r="AR125" s="36"/>
      <c r="AS125" s="36" t="s">
        <v>39</v>
      </c>
      <c r="AT125" s="36">
        <f>3/8</f>
        <v>0.375</v>
      </c>
      <c r="AU125" s="36"/>
      <c r="AV125" s="36"/>
      <c r="AW125" s="36" t="s">
        <v>38</v>
      </c>
      <c r="AX125" s="36">
        <v>1</v>
      </c>
      <c r="AY125" s="36"/>
      <c r="AZ125" s="36"/>
      <c r="BA125" s="36"/>
      <c r="BB125" s="36"/>
      <c r="BC125" s="36"/>
      <c r="BD125" s="36"/>
      <c r="BE125" s="36"/>
      <c r="BF125" s="36"/>
      <c r="BG125" s="39">
        <v>1</v>
      </c>
      <c r="BH125" s="38">
        <v>1</v>
      </c>
      <c r="BI125" s="38"/>
      <c r="BJ125" s="38">
        <v>1</v>
      </c>
      <c r="BK125" s="38"/>
      <c r="BL125" s="38"/>
      <c r="BM125" s="38"/>
      <c r="BN125" s="38">
        <v>1</v>
      </c>
      <c r="BO125" s="37">
        <f t="shared" si="5"/>
        <v>1</v>
      </c>
      <c r="BP125" s="56">
        <f t="shared" si="6"/>
        <v>2</v>
      </c>
      <c r="BQ125" s="56">
        <f t="shared" si="7"/>
        <v>1</v>
      </c>
      <c r="BR125" s="57">
        <f t="shared" si="8"/>
        <v>1</v>
      </c>
      <c r="BS125" s="38">
        <v>1</v>
      </c>
      <c r="BT125" s="38"/>
      <c r="BU125" s="26"/>
      <c r="BV125" s="26"/>
      <c r="BW125" s="39">
        <f t="shared" si="9"/>
        <v>5</v>
      </c>
      <c r="BX125" s="78">
        <v>2</v>
      </c>
      <c r="BY125" s="63">
        <v>3</v>
      </c>
      <c r="BZ125" s="7"/>
      <c r="CA125" s="8"/>
      <c r="CB125" s="17"/>
      <c r="CC125" s="17"/>
    </row>
    <row r="126" spans="1:81" ht="16" x14ac:dyDescent="0.2">
      <c r="A126" s="109" t="s">
        <v>269</v>
      </c>
      <c r="B126" s="42">
        <v>38</v>
      </c>
      <c r="C126" s="110" t="s">
        <v>112</v>
      </c>
      <c r="D126" s="42">
        <v>5</v>
      </c>
      <c r="E126" s="42">
        <v>2</v>
      </c>
      <c r="F126" s="36"/>
      <c r="G126" s="36"/>
      <c r="H126" s="36"/>
      <c r="I126" s="36"/>
      <c r="J126" s="42"/>
      <c r="K126" s="42" t="s">
        <v>72</v>
      </c>
      <c r="L126" s="42">
        <v>7</v>
      </c>
      <c r="M126" s="40"/>
      <c r="N126" s="36"/>
      <c r="O126" s="36" t="s">
        <v>38</v>
      </c>
      <c r="P126" s="36">
        <f>3/8</f>
        <v>0.375</v>
      </c>
      <c r="Q126" s="36"/>
      <c r="R126" s="36"/>
      <c r="S126" s="36" t="s">
        <v>38</v>
      </c>
      <c r="T126" s="36">
        <f>3/8</f>
        <v>0.375</v>
      </c>
      <c r="U126" s="36"/>
      <c r="V126" s="36"/>
      <c r="W126" s="36"/>
      <c r="X126" s="36"/>
      <c r="Y126" s="36"/>
      <c r="Z126" s="36"/>
      <c r="AA126" s="36" t="s">
        <v>39</v>
      </c>
      <c r="AB126" s="36">
        <f>4/8</f>
        <v>0.5</v>
      </c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 t="s">
        <v>39</v>
      </c>
      <c r="AN126" s="36">
        <f>4.5/8</f>
        <v>0.5625</v>
      </c>
      <c r="AO126" s="36"/>
      <c r="AP126" s="36"/>
      <c r="AQ126" s="36" t="s">
        <v>38</v>
      </c>
      <c r="AR126" s="36">
        <f>3.5/8</f>
        <v>0.4375</v>
      </c>
      <c r="AS126" s="36"/>
      <c r="AT126" s="36"/>
      <c r="AU126" s="36"/>
      <c r="AV126" s="36"/>
      <c r="AW126" s="36"/>
      <c r="AX126" s="36"/>
      <c r="AY126" s="36" t="s">
        <v>39</v>
      </c>
      <c r="AZ126" s="36">
        <f>5/8</f>
        <v>0.625</v>
      </c>
      <c r="BA126" s="36" t="s">
        <v>38</v>
      </c>
      <c r="BB126" s="36">
        <f>2/8</f>
        <v>0.25</v>
      </c>
      <c r="BC126" s="36" t="s">
        <v>38</v>
      </c>
      <c r="BD126" s="36">
        <f>7.5/8</f>
        <v>0.9375</v>
      </c>
      <c r="BE126" s="36"/>
      <c r="BF126" s="36"/>
      <c r="BG126" s="37">
        <v>1</v>
      </c>
      <c r="BH126" s="26">
        <v>3</v>
      </c>
      <c r="BI126" s="26"/>
      <c r="BJ126" s="26">
        <v>3</v>
      </c>
      <c r="BK126" s="26"/>
      <c r="BL126" s="26"/>
      <c r="BM126" s="26"/>
      <c r="BN126" s="26"/>
      <c r="BO126" s="37">
        <f t="shared" si="5"/>
        <v>1</v>
      </c>
      <c r="BP126" s="56">
        <f t="shared" si="6"/>
        <v>6</v>
      </c>
      <c r="BQ126" s="56">
        <f t="shared" si="7"/>
        <v>0</v>
      </c>
      <c r="BR126" s="57">
        <f t="shared" si="8"/>
        <v>0</v>
      </c>
      <c r="BS126" s="38"/>
      <c r="BT126" s="38"/>
      <c r="BU126" s="26"/>
      <c r="BV126" s="26"/>
      <c r="BW126" s="39">
        <f t="shared" si="9"/>
        <v>7</v>
      </c>
      <c r="BX126" s="78">
        <v>2</v>
      </c>
      <c r="BY126" s="63">
        <v>2</v>
      </c>
      <c r="BZ126" s="7"/>
      <c r="CA126" s="8"/>
      <c r="CB126" s="7"/>
      <c r="CC126" s="7"/>
    </row>
    <row r="127" spans="1:81" ht="16" x14ac:dyDescent="0.2">
      <c r="A127" s="109" t="s">
        <v>269</v>
      </c>
      <c r="B127" s="42">
        <v>38</v>
      </c>
      <c r="C127" s="110" t="s">
        <v>112</v>
      </c>
      <c r="D127" s="42">
        <v>6</v>
      </c>
      <c r="E127" s="42">
        <v>2</v>
      </c>
      <c r="F127" s="36"/>
      <c r="G127" s="36"/>
      <c r="H127" s="36"/>
      <c r="I127" s="36"/>
      <c r="J127" s="42"/>
      <c r="K127" s="42" t="s">
        <v>49</v>
      </c>
      <c r="L127" s="42">
        <v>7</v>
      </c>
      <c r="M127" s="40"/>
      <c r="N127" s="36"/>
      <c r="O127" s="36" t="s">
        <v>39</v>
      </c>
      <c r="P127" s="36">
        <f>2.5/8</f>
        <v>0.3125</v>
      </c>
      <c r="Q127" s="36" t="s">
        <v>38</v>
      </c>
      <c r="R127" s="36">
        <f>3/8</f>
        <v>0.375</v>
      </c>
      <c r="S127" s="36" t="s">
        <v>39</v>
      </c>
      <c r="T127" s="36">
        <f>3/8</f>
        <v>0.375</v>
      </c>
      <c r="U127" s="36" t="s">
        <v>39</v>
      </c>
      <c r="V127" s="36">
        <f>3/8</f>
        <v>0.375</v>
      </c>
      <c r="W127" s="36"/>
      <c r="X127" s="36"/>
      <c r="Y127" s="36"/>
      <c r="Z127" s="36"/>
      <c r="AA127" s="36"/>
      <c r="AB127" s="36"/>
      <c r="AC127" s="36" t="s">
        <v>40</v>
      </c>
      <c r="AD127" s="36">
        <f>2/8</f>
        <v>0.25</v>
      </c>
      <c r="AE127" s="36" t="s">
        <v>39</v>
      </c>
      <c r="AF127" s="36">
        <f>3/8</f>
        <v>0.375</v>
      </c>
      <c r="AG127" s="36"/>
      <c r="AH127" s="36"/>
      <c r="AI127" s="36"/>
      <c r="AJ127" s="36"/>
      <c r="AK127" s="36"/>
      <c r="AL127" s="36"/>
      <c r="AM127" s="36" t="s">
        <v>38</v>
      </c>
      <c r="AN127" s="36">
        <f>3/8</f>
        <v>0.375</v>
      </c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7"/>
      <c r="BH127" s="26">
        <v>2</v>
      </c>
      <c r="BI127" s="26"/>
      <c r="BJ127" s="26">
        <v>4</v>
      </c>
      <c r="BK127" s="26"/>
      <c r="BL127" s="26"/>
      <c r="BM127" s="26"/>
      <c r="BN127" s="26"/>
      <c r="BO127" s="37">
        <f t="shared" si="5"/>
        <v>0</v>
      </c>
      <c r="BP127" s="56">
        <f t="shared" si="6"/>
        <v>6</v>
      </c>
      <c r="BQ127" s="56">
        <f t="shared" si="7"/>
        <v>0</v>
      </c>
      <c r="BR127" s="57">
        <f t="shared" si="8"/>
        <v>0</v>
      </c>
      <c r="BS127" s="38"/>
      <c r="BT127" s="38"/>
      <c r="BU127" s="26"/>
      <c r="BV127" s="26"/>
      <c r="BW127" s="39">
        <f t="shared" si="9"/>
        <v>6</v>
      </c>
      <c r="BX127" s="78">
        <v>3</v>
      </c>
      <c r="BY127" s="63">
        <v>1</v>
      </c>
      <c r="CC127" s="7"/>
    </row>
    <row r="128" spans="1:81" ht="16" x14ac:dyDescent="0.2">
      <c r="A128" s="109" t="s">
        <v>269</v>
      </c>
      <c r="B128" s="42">
        <v>38</v>
      </c>
      <c r="C128" s="110" t="s">
        <v>112</v>
      </c>
      <c r="D128" s="42">
        <v>7</v>
      </c>
      <c r="E128" s="42">
        <v>2</v>
      </c>
      <c r="F128" s="36"/>
      <c r="G128" s="36"/>
      <c r="H128" s="36"/>
      <c r="I128" s="36"/>
      <c r="J128" s="42"/>
      <c r="K128" s="42" t="s">
        <v>63</v>
      </c>
      <c r="L128" s="42">
        <v>7</v>
      </c>
      <c r="M128" s="40"/>
      <c r="N128" s="36"/>
      <c r="O128" s="36"/>
      <c r="P128" s="36"/>
      <c r="Q128" s="36"/>
      <c r="R128" s="36"/>
      <c r="S128" s="36" t="s">
        <v>39</v>
      </c>
      <c r="T128" s="36">
        <f>6.5/8</f>
        <v>0.8125</v>
      </c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7"/>
      <c r="BH128" s="26"/>
      <c r="BI128" s="26">
        <v>1</v>
      </c>
      <c r="BJ128" s="26"/>
      <c r="BK128" s="26"/>
      <c r="BL128" s="26"/>
      <c r="BM128" s="26"/>
      <c r="BN128" s="26"/>
      <c r="BO128" s="37">
        <f t="shared" si="5"/>
        <v>1</v>
      </c>
      <c r="BP128" s="56">
        <f t="shared" si="6"/>
        <v>0</v>
      </c>
      <c r="BQ128" s="56">
        <f t="shared" si="7"/>
        <v>0</v>
      </c>
      <c r="BR128" s="57">
        <f t="shared" si="8"/>
        <v>0</v>
      </c>
      <c r="BS128" s="38"/>
      <c r="BT128" s="38"/>
      <c r="BU128" s="26"/>
      <c r="BV128" s="26"/>
      <c r="BW128" s="39">
        <f t="shared" si="9"/>
        <v>1</v>
      </c>
      <c r="BX128" s="78">
        <v>1</v>
      </c>
      <c r="BY128" s="63">
        <v>2</v>
      </c>
      <c r="BZ128" s="7"/>
      <c r="CA128" s="8"/>
      <c r="CB128" s="7"/>
      <c r="CC128" s="7"/>
    </row>
    <row r="129" spans="1:81" ht="16" x14ac:dyDescent="0.2">
      <c r="A129" s="109" t="s">
        <v>269</v>
      </c>
      <c r="B129" s="42">
        <v>38</v>
      </c>
      <c r="C129" s="110" t="s">
        <v>112</v>
      </c>
      <c r="D129" s="42">
        <v>8</v>
      </c>
      <c r="E129" s="42">
        <v>2</v>
      </c>
      <c r="F129" s="36"/>
      <c r="G129" s="36"/>
      <c r="H129" s="36"/>
      <c r="I129" s="36"/>
      <c r="J129" s="42"/>
      <c r="K129" s="42" t="s">
        <v>49</v>
      </c>
      <c r="L129" s="42">
        <v>7</v>
      </c>
      <c r="M129" s="40" t="s">
        <v>38</v>
      </c>
      <c r="N129" s="36">
        <f>11.5/8</f>
        <v>1.4375</v>
      </c>
      <c r="O129" s="36"/>
      <c r="P129" s="36"/>
      <c r="Q129" s="36"/>
      <c r="R129" s="36"/>
      <c r="S129" s="36" t="s">
        <v>38</v>
      </c>
      <c r="T129" s="36">
        <f>2/8</f>
        <v>0.25</v>
      </c>
      <c r="U129" s="36"/>
      <c r="V129" s="36"/>
      <c r="W129" s="36" t="s">
        <v>40</v>
      </c>
      <c r="X129" s="36">
        <f>7/8</f>
        <v>0.875</v>
      </c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 t="s">
        <v>48</v>
      </c>
      <c r="AJ129" s="36">
        <f>2/8</f>
        <v>0.25</v>
      </c>
      <c r="AK129" s="36"/>
      <c r="AL129" s="36"/>
      <c r="AM129" s="36"/>
      <c r="AN129" s="36"/>
      <c r="AO129" s="36"/>
      <c r="AP129" s="36"/>
      <c r="AQ129" s="36"/>
      <c r="AR129" s="36"/>
      <c r="AS129" s="36" t="s">
        <v>39</v>
      </c>
      <c r="AT129" s="36">
        <f>3.5/8</f>
        <v>0.4375</v>
      </c>
      <c r="AU129" s="36"/>
      <c r="AV129" s="36"/>
      <c r="AW129" s="36"/>
      <c r="AX129" s="36"/>
      <c r="AY129" s="36" t="s">
        <v>38</v>
      </c>
      <c r="AZ129" s="36">
        <f>4/8</f>
        <v>0.5</v>
      </c>
      <c r="BA129" s="36"/>
      <c r="BB129" s="36"/>
      <c r="BC129" s="36" t="s">
        <v>39</v>
      </c>
      <c r="BD129" s="36">
        <f>4.5/8</f>
        <v>0.5625</v>
      </c>
      <c r="BE129" s="36"/>
      <c r="BF129" s="36"/>
      <c r="BG129" s="37">
        <v>1</v>
      </c>
      <c r="BH129" s="26">
        <v>1</v>
      </c>
      <c r="BI129" s="26"/>
      <c r="BJ129" s="26">
        <v>2</v>
      </c>
      <c r="BK129" s="26"/>
      <c r="BL129" s="26"/>
      <c r="BM129" s="26">
        <v>1</v>
      </c>
      <c r="BN129" s="26"/>
      <c r="BO129" s="37">
        <f t="shared" si="5"/>
        <v>1</v>
      </c>
      <c r="BP129" s="56">
        <f t="shared" si="6"/>
        <v>3</v>
      </c>
      <c r="BQ129" s="56">
        <f t="shared" si="7"/>
        <v>1</v>
      </c>
      <c r="BR129" s="57">
        <f t="shared" si="8"/>
        <v>0</v>
      </c>
      <c r="BS129" s="38"/>
      <c r="BT129" s="38"/>
      <c r="BU129" s="26"/>
      <c r="BV129" s="26"/>
      <c r="BW129" s="39">
        <f t="shared" si="9"/>
        <v>5</v>
      </c>
      <c r="BX129" s="78">
        <v>2</v>
      </c>
      <c r="BY129" s="63">
        <v>1</v>
      </c>
      <c r="CB129" s="7"/>
      <c r="CC129" s="7"/>
    </row>
    <row r="130" spans="1:81" ht="16" x14ac:dyDescent="0.2">
      <c r="A130" s="109" t="s">
        <v>269</v>
      </c>
      <c r="B130" s="26">
        <v>39</v>
      </c>
      <c r="C130" s="109" t="s">
        <v>113</v>
      </c>
      <c r="D130" s="38">
        <v>1</v>
      </c>
      <c r="E130" s="38">
        <v>2</v>
      </c>
      <c r="F130" s="38">
        <v>1</v>
      </c>
      <c r="G130" s="38" t="s">
        <v>54</v>
      </c>
      <c r="H130" s="38">
        <v>3</v>
      </c>
      <c r="I130" s="38" t="s">
        <v>50</v>
      </c>
      <c r="J130" s="38"/>
      <c r="K130" s="26" t="s">
        <v>47</v>
      </c>
      <c r="L130" s="38">
        <v>7</v>
      </c>
      <c r="M130" s="40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 t="s">
        <v>38</v>
      </c>
      <c r="AH130" s="36">
        <f>17.5/16</f>
        <v>1.09375</v>
      </c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 t="s">
        <v>39</v>
      </c>
      <c r="BD130" s="36">
        <f>14/16</f>
        <v>0.875</v>
      </c>
      <c r="BE130" s="38"/>
      <c r="BF130" s="38"/>
      <c r="BG130" s="37">
        <v>1</v>
      </c>
      <c r="BH130" s="26"/>
      <c r="BI130" s="26">
        <v>1</v>
      </c>
      <c r="BJ130" s="26"/>
      <c r="BK130" s="26"/>
      <c r="BL130" s="26"/>
      <c r="BM130" s="26"/>
      <c r="BN130" s="26"/>
      <c r="BO130" s="37">
        <f t="shared" ref="BO130:BO193" si="10">BG130+BI130+BU130</f>
        <v>2</v>
      </c>
      <c r="BP130" s="56">
        <f t="shared" ref="BP130:BP193" si="11">BH130+BJ130</f>
        <v>0</v>
      </c>
      <c r="BQ130" s="56">
        <f t="shared" ref="BQ130:BQ193" si="12">BK130+BM130+BV130+BS130</f>
        <v>0</v>
      </c>
      <c r="BR130" s="57">
        <f t="shared" ref="BR130:BR193" si="13">BL130+BN130+BT130</f>
        <v>0</v>
      </c>
      <c r="BS130" s="38"/>
      <c r="BT130" s="38"/>
      <c r="BU130" s="26"/>
      <c r="BV130" s="26"/>
      <c r="BW130" s="39">
        <f t="shared" ref="BW130:BW193" si="14">SUM(BO130:BR130)</f>
        <v>2</v>
      </c>
      <c r="BX130" s="78">
        <v>1</v>
      </c>
      <c r="BY130" s="63">
        <v>3</v>
      </c>
      <c r="CB130" s="7"/>
      <c r="CC130" s="7"/>
    </row>
    <row r="131" spans="1:81" ht="16" x14ac:dyDescent="0.2">
      <c r="A131" s="109" t="s">
        <v>269</v>
      </c>
      <c r="B131" s="26">
        <v>39</v>
      </c>
      <c r="C131" s="109" t="s">
        <v>113</v>
      </c>
      <c r="D131" s="38">
        <v>2</v>
      </c>
      <c r="E131" s="38">
        <v>2</v>
      </c>
      <c r="F131" s="38">
        <v>4</v>
      </c>
      <c r="G131" s="38" t="s">
        <v>50</v>
      </c>
      <c r="H131" s="38"/>
      <c r="I131" s="38"/>
      <c r="J131" s="38"/>
      <c r="K131" s="38">
        <v>8</v>
      </c>
      <c r="L131" s="38">
        <v>7</v>
      </c>
      <c r="M131" s="40"/>
      <c r="N131" s="36"/>
      <c r="O131" s="36"/>
      <c r="P131" s="36"/>
      <c r="Q131" s="36"/>
      <c r="R131" s="36"/>
      <c r="S131" s="36" t="s">
        <v>38</v>
      </c>
      <c r="T131" s="36"/>
      <c r="U131" s="36" t="s">
        <v>57</v>
      </c>
      <c r="V131" s="36">
        <f>9.5/16</f>
        <v>0.59375</v>
      </c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 t="s">
        <v>38</v>
      </c>
      <c r="AN131" s="36">
        <f>16/16</f>
        <v>1</v>
      </c>
      <c r="AO131" s="36" t="s">
        <v>38</v>
      </c>
      <c r="AP131" s="36">
        <f>9.5/16</f>
        <v>0.59375</v>
      </c>
      <c r="AQ131" s="36" t="s">
        <v>38</v>
      </c>
      <c r="AR131" s="36">
        <f>7/16</f>
        <v>0.4375</v>
      </c>
      <c r="AS131" s="36"/>
      <c r="AT131" s="36"/>
      <c r="AU131" s="36" t="s">
        <v>39</v>
      </c>
      <c r="AV131" s="36">
        <f>8/16</f>
        <v>0.5</v>
      </c>
      <c r="AW131" s="36"/>
      <c r="AX131" s="36"/>
      <c r="AY131" s="36" t="s">
        <v>38</v>
      </c>
      <c r="AZ131" s="36">
        <f>5.5/16</f>
        <v>0.34375</v>
      </c>
      <c r="BA131" s="36"/>
      <c r="BB131" s="36"/>
      <c r="BC131" s="36" t="s">
        <v>38</v>
      </c>
      <c r="BD131" s="36">
        <f>7.5/16</f>
        <v>0.46875</v>
      </c>
      <c r="BE131" s="38" t="s">
        <v>38</v>
      </c>
      <c r="BF131" s="38" t="s">
        <v>67</v>
      </c>
      <c r="BG131" s="37">
        <v>1</v>
      </c>
      <c r="BH131" s="26">
        <v>5</v>
      </c>
      <c r="BI131" s="26"/>
      <c r="BJ131" s="26">
        <v>1</v>
      </c>
      <c r="BK131" s="26"/>
      <c r="BL131" s="26"/>
      <c r="BM131" s="26"/>
      <c r="BN131" s="26">
        <v>1</v>
      </c>
      <c r="BO131" s="37">
        <f t="shared" si="10"/>
        <v>2</v>
      </c>
      <c r="BP131" s="56">
        <f t="shared" si="11"/>
        <v>6</v>
      </c>
      <c r="BQ131" s="56">
        <f t="shared" si="12"/>
        <v>0</v>
      </c>
      <c r="BR131" s="57">
        <f t="shared" si="13"/>
        <v>1</v>
      </c>
      <c r="BS131" s="38"/>
      <c r="BT131" s="38"/>
      <c r="BU131" s="26">
        <v>1</v>
      </c>
      <c r="BV131" s="26"/>
      <c r="BW131" s="39">
        <f t="shared" si="14"/>
        <v>9</v>
      </c>
      <c r="BX131" s="78">
        <v>2</v>
      </c>
      <c r="BY131" s="63">
        <v>1</v>
      </c>
      <c r="CB131" s="7"/>
      <c r="CC131" s="7"/>
    </row>
    <row r="132" spans="1:81" x14ac:dyDescent="0.2">
      <c r="A132" s="109" t="s">
        <v>269</v>
      </c>
      <c r="B132" s="26">
        <v>39</v>
      </c>
      <c r="C132" s="109" t="s">
        <v>113</v>
      </c>
      <c r="D132" s="38">
        <v>3</v>
      </c>
      <c r="E132" s="38">
        <v>2</v>
      </c>
      <c r="F132" s="38">
        <v>3</v>
      </c>
      <c r="G132" s="38" t="s">
        <v>50</v>
      </c>
      <c r="H132" s="38"/>
      <c r="I132" s="38"/>
      <c r="J132" s="38"/>
      <c r="K132" s="38">
        <v>5</v>
      </c>
      <c r="L132" s="38">
        <v>7</v>
      </c>
      <c r="M132" s="40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8"/>
      <c r="BF132" s="38"/>
      <c r="BG132" s="37"/>
      <c r="BH132" s="26"/>
      <c r="BI132" s="26"/>
      <c r="BJ132" s="26"/>
      <c r="BK132" s="26"/>
      <c r="BL132" s="26"/>
      <c r="BM132" s="26"/>
      <c r="BN132" s="26"/>
      <c r="BO132" s="37">
        <f t="shared" si="10"/>
        <v>0</v>
      </c>
      <c r="BP132" s="56">
        <f t="shared" si="11"/>
        <v>0</v>
      </c>
      <c r="BQ132" s="56">
        <f t="shared" si="12"/>
        <v>0</v>
      </c>
      <c r="BR132" s="57">
        <f t="shared" si="13"/>
        <v>0</v>
      </c>
      <c r="BS132" s="38"/>
      <c r="BT132" s="38"/>
      <c r="BU132" s="26"/>
      <c r="BV132" s="26"/>
      <c r="BW132" s="39">
        <f t="shared" si="14"/>
        <v>0</v>
      </c>
      <c r="BX132" s="78">
        <v>0</v>
      </c>
      <c r="BY132" s="63">
        <v>1</v>
      </c>
      <c r="CC132" s="7"/>
    </row>
    <row r="133" spans="1:81" ht="16" x14ac:dyDescent="0.2">
      <c r="A133" s="109" t="s">
        <v>269</v>
      </c>
      <c r="B133" s="26">
        <v>39</v>
      </c>
      <c r="C133" s="109" t="s">
        <v>113</v>
      </c>
      <c r="D133" s="38">
        <v>5</v>
      </c>
      <c r="E133" s="38">
        <v>2</v>
      </c>
      <c r="F133" s="38">
        <v>2</v>
      </c>
      <c r="G133" s="38" t="s">
        <v>51</v>
      </c>
      <c r="H133" s="38">
        <v>5</v>
      </c>
      <c r="I133" s="38" t="s">
        <v>56</v>
      </c>
      <c r="J133" s="38" t="s">
        <v>60</v>
      </c>
      <c r="K133" s="38"/>
      <c r="L133" s="38">
        <v>7</v>
      </c>
      <c r="M133" s="40" t="s">
        <v>38</v>
      </c>
      <c r="N133" s="36">
        <f>14.5/16</f>
        <v>0.90625</v>
      </c>
      <c r="O133" s="36"/>
      <c r="P133" s="36"/>
      <c r="Q133" s="36"/>
      <c r="R133" s="36"/>
      <c r="S133" s="36"/>
      <c r="T133" s="36"/>
      <c r="U133" s="36" t="s">
        <v>38</v>
      </c>
      <c r="V133" s="36">
        <f>15/16</f>
        <v>0.9375</v>
      </c>
      <c r="W133" s="36"/>
      <c r="X133" s="36"/>
      <c r="Y133" s="36" t="s">
        <v>38</v>
      </c>
      <c r="Z133" s="36">
        <f>15/16</f>
        <v>0.9375</v>
      </c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 t="s">
        <v>38</v>
      </c>
      <c r="AR133" s="36">
        <f>15/16</f>
        <v>0.9375</v>
      </c>
      <c r="AS133" s="36"/>
      <c r="AT133" s="36"/>
      <c r="AU133" s="36"/>
      <c r="AV133" s="36"/>
      <c r="AW133" s="36"/>
      <c r="AX133" s="36"/>
      <c r="AY133" s="36"/>
      <c r="AZ133" s="36"/>
      <c r="BA133" s="36" t="s">
        <v>38</v>
      </c>
      <c r="BB133" s="36">
        <f>13/16</f>
        <v>0.8125</v>
      </c>
      <c r="BC133" s="36"/>
      <c r="BD133" s="36"/>
      <c r="BE133" s="38"/>
      <c r="BF133" s="38"/>
      <c r="BG133" s="37">
        <v>5</v>
      </c>
      <c r="BH133" s="26"/>
      <c r="BI133" s="26"/>
      <c r="BJ133" s="26"/>
      <c r="BK133" s="26"/>
      <c r="BL133" s="26"/>
      <c r="BM133" s="26"/>
      <c r="BN133" s="26"/>
      <c r="BO133" s="37">
        <f t="shared" si="10"/>
        <v>5</v>
      </c>
      <c r="BP133" s="56">
        <f t="shared" si="11"/>
        <v>0</v>
      </c>
      <c r="BQ133" s="56">
        <f t="shared" si="12"/>
        <v>0</v>
      </c>
      <c r="BR133" s="57">
        <f t="shared" si="13"/>
        <v>0</v>
      </c>
      <c r="BS133" s="38"/>
      <c r="BT133" s="38"/>
      <c r="BU133" s="26"/>
      <c r="BV133" s="26"/>
      <c r="BW133" s="39">
        <f t="shared" si="14"/>
        <v>5</v>
      </c>
      <c r="BX133" s="78">
        <v>1</v>
      </c>
      <c r="BY133" s="63">
        <v>7</v>
      </c>
      <c r="CB133" s="7"/>
      <c r="CC133" s="7"/>
    </row>
    <row r="134" spans="1:81" ht="16" x14ac:dyDescent="0.2">
      <c r="A134" s="109" t="s">
        <v>269</v>
      </c>
      <c r="B134" s="26">
        <v>39</v>
      </c>
      <c r="C134" s="109" t="s">
        <v>113</v>
      </c>
      <c r="D134" s="38">
        <v>7</v>
      </c>
      <c r="E134" s="38">
        <v>2</v>
      </c>
      <c r="F134" s="38">
        <v>4</v>
      </c>
      <c r="G134" s="38" t="s">
        <v>50</v>
      </c>
      <c r="H134" s="38"/>
      <c r="I134" s="38"/>
      <c r="J134" s="38"/>
      <c r="K134" s="38">
        <v>8</v>
      </c>
      <c r="L134" s="38">
        <v>7</v>
      </c>
      <c r="M134" s="40" t="s">
        <v>38</v>
      </c>
      <c r="N134" s="36">
        <f>8/16</f>
        <v>0.5</v>
      </c>
      <c r="O134" s="36"/>
      <c r="P134" s="36"/>
      <c r="Q134" s="36" t="s">
        <v>48</v>
      </c>
      <c r="R134" s="36">
        <f>10/16</f>
        <v>0.625</v>
      </c>
      <c r="S134" s="36"/>
      <c r="T134" s="36"/>
      <c r="U134" s="36"/>
      <c r="V134" s="36"/>
      <c r="W134" s="36" t="s">
        <v>43</v>
      </c>
      <c r="X134" s="36">
        <f>8/16</f>
        <v>0.5</v>
      </c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 t="s">
        <v>39</v>
      </c>
      <c r="AN134" s="36">
        <f>5/16</f>
        <v>0.3125</v>
      </c>
      <c r="AO134" s="36" t="s">
        <v>39</v>
      </c>
      <c r="AP134" s="36">
        <f>12/16</f>
        <v>0.75</v>
      </c>
      <c r="AQ134" s="36"/>
      <c r="AR134" s="36"/>
      <c r="AS134" s="36" t="s">
        <v>39</v>
      </c>
      <c r="AT134" s="36">
        <f>6/16</f>
        <v>0.375</v>
      </c>
      <c r="AU134" s="36"/>
      <c r="AV134" s="36"/>
      <c r="AW134" s="36"/>
      <c r="AX134" s="36"/>
      <c r="AY134" s="36" t="s">
        <v>38</v>
      </c>
      <c r="AZ134" s="36">
        <f>7.5/16</f>
        <v>0.46875</v>
      </c>
      <c r="BA134" s="36"/>
      <c r="BB134" s="36"/>
      <c r="BC134" s="36"/>
      <c r="BD134" s="36"/>
      <c r="BE134" s="38" t="s">
        <v>39</v>
      </c>
      <c r="BF134" s="38" t="s">
        <v>46</v>
      </c>
      <c r="BG134" s="37"/>
      <c r="BH134" s="26">
        <v>2</v>
      </c>
      <c r="BI134" s="26">
        <v>1</v>
      </c>
      <c r="BJ134" s="26">
        <v>2</v>
      </c>
      <c r="BK134" s="26"/>
      <c r="BL134" s="26">
        <v>1</v>
      </c>
      <c r="BM134" s="26"/>
      <c r="BN134" s="26"/>
      <c r="BO134" s="37">
        <f t="shared" si="10"/>
        <v>2</v>
      </c>
      <c r="BP134" s="56">
        <f t="shared" si="11"/>
        <v>4</v>
      </c>
      <c r="BQ134" s="56">
        <f t="shared" si="12"/>
        <v>1</v>
      </c>
      <c r="BR134" s="57">
        <f t="shared" si="13"/>
        <v>1</v>
      </c>
      <c r="BS134" s="38">
        <v>1</v>
      </c>
      <c r="BT134" s="38"/>
      <c r="BU134" s="26">
        <v>1</v>
      </c>
      <c r="BV134" s="26"/>
      <c r="BW134" s="39">
        <f t="shared" si="14"/>
        <v>8</v>
      </c>
      <c r="BX134" s="78">
        <v>2</v>
      </c>
      <c r="BY134" s="63">
        <v>1</v>
      </c>
      <c r="CB134" s="7"/>
      <c r="CC134" s="7"/>
    </row>
    <row r="135" spans="1:81" ht="16" x14ac:dyDescent="0.2">
      <c r="A135" s="109" t="s">
        <v>269</v>
      </c>
      <c r="B135" s="26">
        <v>39</v>
      </c>
      <c r="C135" s="109" t="s">
        <v>113</v>
      </c>
      <c r="D135" s="38">
        <v>8</v>
      </c>
      <c r="E135" s="38">
        <v>2</v>
      </c>
      <c r="F135" s="38">
        <v>2</v>
      </c>
      <c r="G135" s="38" t="s">
        <v>51</v>
      </c>
      <c r="H135" s="38">
        <v>6</v>
      </c>
      <c r="I135" s="38" t="s">
        <v>56</v>
      </c>
      <c r="J135" s="38"/>
      <c r="K135" s="38">
        <v>10</v>
      </c>
      <c r="L135" s="38">
        <v>7</v>
      </c>
      <c r="M135" s="40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 t="s">
        <v>39</v>
      </c>
      <c r="AR135" s="36">
        <f>14.5/16</f>
        <v>0.90625</v>
      </c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8"/>
      <c r="BF135" s="38"/>
      <c r="BG135" s="37"/>
      <c r="BH135" s="26"/>
      <c r="BI135" s="26">
        <v>1</v>
      </c>
      <c r="BJ135" s="26"/>
      <c r="BK135" s="26"/>
      <c r="BL135" s="26"/>
      <c r="BM135" s="26"/>
      <c r="BO135" s="37">
        <f t="shared" si="10"/>
        <v>1</v>
      </c>
      <c r="BP135" s="56">
        <f t="shared" si="11"/>
        <v>0</v>
      </c>
      <c r="BQ135" s="56">
        <f t="shared" si="12"/>
        <v>0</v>
      </c>
      <c r="BR135" s="57">
        <f t="shared" si="13"/>
        <v>0</v>
      </c>
      <c r="BS135" s="38"/>
      <c r="BT135" s="38"/>
      <c r="BU135" s="26"/>
      <c r="BV135" s="26"/>
      <c r="BW135" s="39">
        <f t="shared" si="14"/>
        <v>1</v>
      </c>
      <c r="BX135" s="78">
        <v>1</v>
      </c>
      <c r="BY135" s="63">
        <v>1</v>
      </c>
    </row>
    <row r="136" spans="1:81" ht="16" x14ac:dyDescent="0.2">
      <c r="A136" s="109" t="s">
        <v>269</v>
      </c>
      <c r="B136" s="26">
        <v>39</v>
      </c>
      <c r="C136" s="109" t="s">
        <v>113</v>
      </c>
      <c r="D136" s="38">
        <v>9</v>
      </c>
      <c r="E136" s="38">
        <v>2</v>
      </c>
      <c r="F136" s="38">
        <v>2</v>
      </c>
      <c r="G136" s="38" t="s">
        <v>51</v>
      </c>
      <c r="H136" s="38">
        <v>6</v>
      </c>
      <c r="I136" s="38" t="s">
        <v>56</v>
      </c>
      <c r="J136" s="38"/>
      <c r="K136" s="38">
        <v>8</v>
      </c>
      <c r="L136" s="38">
        <v>7</v>
      </c>
      <c r="M136" s="40"/>
      <c r="N136" s="36"/>
      <c r="O136" s="36" t="s">
        <v>39</v>
      </c>
      <c r="P136" s="36">
        <f>13.5/16</f>
        <v>0.84375</v>
      </c>
      <c r="Q136" s="36"/>
      <c r="R136" s="36"/>
      <c r="S136" s="36" t="s">
        <v>39</v>
      </c>
      <c r="T136" s="36">
        <f>10.5/16</f>
        <v>0.65625</v>
      </c>
      <c r="U136" s="36" t="s">
        <v>39</v>
      </c>
      <c r="V136" s="36">
        <f>7/16</f>
        <v>0.4375</v>
      </c>
      <c r="W136" s="36" t="s">
        <v>38</v>
      </c>
      <c r="X136" s="36">
        <f>11/16</f>
        <v>0.6875</v>
      </c>
      <c r="Y136" s="36" t="s">
        <v>48</v>
      </c>
      <c r="Z136" s="36">
        <f>12.5/16</f>
        <v>0.78125</v>
      </c>
      <c r="AA136" s="36"/>
      <c r="AB136" s="36"/>
      <c r="AC136" s="36"/>
      <c r="AD136" s="36"/>
      <c r="AE136" s="36" t="s">
        <v>38</v>
      </c>
      <c r="AF136" s="36">
        <f>10.5/16</f>
        <v>0.65625</v>
      </c>
      <c r="AG136" s="36" t="s">
        <v>38</v>
      </c>
      <c r="AH136" s="36">
        <f>6.5/16</f>
        <v>0.40625</v>
      </c>
      <c r="AI136" s="36" t="s">
        <v>38</v>
      </c>
      <c r="AJ136" s="36">
        <f>5.5/16</f>
        <v>0.34375</v>
      </c>
      <c r="AK136" s="36"/>
      <c r="AL136" s="36"/>
      <c r="AM136" s="36" t="s">
        <v>40</v>
      </c>
      <c r="AN136" s="36">
        <f>10.5/16</f>
        <v>0.65625</v>
      </c>
      <c r="AO136" s="36"/>
      <c r="AP136" s="36"/>
      <c r="AQ136" s="36" t="s">
        <v>39</v>
      </c>
      <c r="AR136" s="36">
        <f>11.5/16</f>
        <v>0.71875</v>
      </c>
      <c r="AS136" s="36" t="s">
        <v>38</v>
      </c>
      <c r="AT136" s="36">
        <f>19/16</f>
        <v>1.1875</v>
      </c>
      <c r="AU136" s="36" t="s">
        <v>40</v>
      </c>
      <c r="AV136" s="36">
        <f>12.5/16</f>
        <v>0.78125</v>
      </c>
      <c r="AW136" s="36" t="s">
        <v>38</v>
      </c>
      <c r="AX136" s="36">
        <f>11/16</f>
        <v>0.6875</v>
      </c>
      <c r="AY136" s="36" t="s">
        <v>40</v>
      </c>
      <c r="AZ136" s="36">
        <f>15/16</f>
        <v>0.9375</v>
      </c>
      <c r="BA136" s="36" t="s">
        <v>40</v>
      </c>
      <c r="BB136" s="36">
        <f>10/16</f>
        <v>0.625</v>
      </c>
      <c r="BC136" s="36"/>
      <c r="BD136" s="36"/>
      <c r="BE136" s="38"/>
      <c r="BF136" s="38"/>
      <c r="BG136" s="37">
        <v>1</v>
      </c>
      <c r="BH136" s="26">
        <v>5</v>
      </c>
      <c r="BI136" s="26">
        <v>2</v>
      </c>
      <c r="BJ136" s="26">
        <v>2</v>
      </c>
      <c r="BK136" s="26">
        <v>1</v>
      </c>
      <c r="BL136" s="26"/>
      <c r="BM136" s="26">
        <v>2</v>
      </c>
      <c r="BN136" s="26">
        <v>2</v>
      </c>
      <c r="BO136" s="37">
        <f t="shared" si="10"/>
        <v>3</v>
      </c>
      <c r="BP136" s="56">
        <f t="shared" si="11"/>
        <v>7</v>
      </c>
      <c r="BQ136" s="56">
        <f t="shared" si="12"/>
        <v>3</v>
      </c>
      <c r="BR136" s="57">
        <f t="shared" si="13"/>
        <v>2</v>
      </c>
      <c r="BS136" s="38"/>
      <c r="BT136" s="38"/>
      <c r="BU136" s="26"/>
      <c r="BV136" s="26"/>
      <c r="BW136" s="39">
        <f t="shared" si="14"/>
        <v>15</v>
      </c>
      <c r="BX136" s="78">
        <v>2</v>
      </c>
      <c r="BY136" s="63">
        <v>1</v>
      </c>
      <c r="BZ136" s="7"/>
      <c r="CA136" s="8"/>
      <c r="CB136" s="7"/>
      <c r="CC136" s="7"/>
    </row>
    <row r="137" spans="1:81" ht="16" x14ac:dyDescent="0.2">
      <c r="A137" s="109" t="s">
        <v>269</v>
      </c>
      <c r="B137" s="26">
        <v>39</v>
      </c>
      <c r="C137" s="109" t="s">
        <v>113</v>
      </c>
      <c r="D137" s="38">
        <v>10</v>
      </c>
      <c r="E137" s="38">
        <v>2</v>
      </c>
      <c r="F137" s="38">
        <v>4</v>
      </c>
      <c r="G137" s="38" t="s">
        <v>50</v>
      </c>
      <c r="H137" s="38"/>
      <c r="I137" s="38"/>
      <c r="J137" s="38" t="s">
        <v>60</v>
      </c>
      <c r="K137" s="38"/>
      <c r="L137" s="38">
        <v>7</v>
      </c>
      <c r="M137" s="40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 t="s">
        <v>38</v>
      </c>
      <c r="Z137" s="36">
        <f>7/16</f>
        <v>0.4375</v>
      </c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 t="s">
        <v>38</v>
      </c>
      <c r="AL137" s="36">
        <f>6.5/16</f>
        <v>0.40625</v>
      </c>
      <c r="AM137" s="36" t="s">
        <v>38</v>
      </c>
      <c r="AN137" s="36">
        <f>7.5/16</f>
        <v>0.46875</v>
      </c>
      <c r="AO137" s="36"/>
      <c r="AP137" s="36"/>
      <c r="AQ137" s="36" t="s">
        <v>38</v>
      </c>
      <c r="AR137" s="36">
        <f>6/16</f>
        <v>0.375</v>
      </c>
      <c r="AS137" s="36"/>
      <c r="AT137" s="36"/>
      <c r="AU137" s="36" t="s">
        <v>38</v>
      </c>
      <c r="AV137" s="36">
        <f>16/16</f>
        <v>1</v>
      </c>
      <c r="AW137" s="36"/>
      <c r="AX137" s="36"/>
      <c r="AY137" s="36" t="s">
        <v>39</v>
      </c>
      <c r="AZ137" s="36">
        <f>5.5/16</f>
        <v>0.34375</v>
      </c>
      <c r="BA137" s="36"/>
      <c r="BB137" s="36"/>
      <c r="BC137" s="36"/>
      <c r="BD137" s="36"/>
      <c r="BE137" s="38"/>
      <c r="BF137" s="38"/>
      <c r="BG137" s="37">
        <v>1</v>
      </c>
      <c r="BH137" s="26">
        <v>4</v>
      </c>
      <c r="BI137" s="26"/>
      <c r="BJ137" s="26">
        <v>1</v>
      </c>
      <c r="BK137" s="26"/>
      <c r="BL137" s="26"/>
      <c r="BM137" s="26"/>
      <c r="BO137" s="37">
        <f t="shared" si="10"/>
        <v>1</v>
      </c>
      <c r="BP137" s="56">
        <f t="shared" si="11"/>
        <v>5</v>
      </c>
      <c r="BQ137" s="56">
        <f t="shared" si="12"/>
        <v>0</v>
      </c>
      <c r="BR137" s="57">
        <f t="shared" si="13"/>
        <v>0</v>
      </c>
      <c r="BS137" s="38"/>
      <c r="BT137" s="38"/>
      <c r="BU137" s="26"/>
      <c r="BV137" s="26"/>
      <c r="BW137" s="39">
        <f t="shared" si="14"/>
        <v>6</v>
      </c>
      <c r="BX137" s="78">
        <v>2</v>
      </c>
      <c r="BY137" s="63">
        <v>7</v>
      </c>
    </row>
    <row r="138" spans="1:81" ht="16" x14ac:dyDescent="0.2">
      <c r="A138" s="109" t="s">
        <v>269</v>
      </c>
      <c r="B138" s="26">
        <v>39</v>
      </c>
      <c r="C138" s="109" t="s">
        <v>113</v>
      </c>
      <c r="D138" s="38">
        <v>11</v>
      </c>
      <c r="E138" s="38">
        <v>2</v>
      </c>
      <c r="F138" s="38">
        <v>4</v>
      </c>
      <c r="G138" s="38" t="s">
        <v>50</v>
      </c>
      <c r="H138" s="38"/>
      <c r="I138" s="38"/>
      <c r="J138" s="38"/>
      <c r="K138" s="38">
        <v>8</v>
      </c>
      <c r="L138" s="38">
        <v>7</v>
      </c>
      <c r="M138" s="40"/>
      <c r="N138" s="36"/>
      <c r="O138" s="36"/>
      <c r="P138" s="36"/>
      <c r="Q138" s="36" t="s">
        <v>38</v>
      </c>
      <c r="R138" s="36">
        <f>10.5/16</f>
        <v>0.65625</v>
      </c>
      <c r="S138" s="36" t="s">
        <v>38</v>
      </c>
      <c r="T138" s="36">
        <f>14/16</f>
        <v>0.875</v>
      </c>
      <c r="U138" s="36"/>
      <c r="V138" s="36"/>
      <c r="W138" s="36"/>
      <c r="X138" s="36"/>
      <c r="Y138" s="36" t="s">
        <v>39</v>
      </c>
      <c r="Z138" s="36">
        <f>9.5/16</f>
        <v>0.59375</v>
      </c>
      <c r="AA138" s="36" t="s">
        <v>39</v>
      </c>
      <c r="AB138" s="36">
        <f>13/16</f>
        <v>0.8125</v>
      </c>
      <c r="AC138" s="36"/>
      <c r="AD138" s="36"/>
      <c r="AE138" s="36" t="s">
        <v>39</v>
      </c>
      <c r="AF138" s="36">
        <f>10.5/16</f>
        <v>0.65625</v>
      </c>
      <c r="AG138" s="36" t="s">
        <v>38</v>
      </c>
      <c r="AH138" s="36">
        <f>5.5/16</f>
        <v>0.34375</v>
      </c>
      <c r="AI138" s="36"/>
      <c r="AJ138" s="36"/>
      <c r="AK138" s="36" t="s">
        <v>38</v>
      </c>
      <c r="AL138" s="36">
        <f>7/16</f>
        <v>0.4375</v>
      </c>
      <c r="AM138" s="36" t="s">
        <v>39</v>
      </c>
      <c r="AN138" s="36">
        <f>8/16</f>
        <v>0.5</v>
      </c>
      <c r="AO138" s="36" t="s">
        <v>39</v>
      </c>
      <c r="AP138" s="36">
        <f>8/16</f>
        <v>0.5</v>
      </c>
      <c r="AQ138" s="36"/>
      <c r="AR138" s="36"/>
      <c r="AS138" s="36" t="s">
        <v>38</v>
      </c>
      <c r="AT138" s="36">
        <f>7/16</f>
        <v>0.4375</v>
      </c>
      <c r="AU138" s="36" t="s">
        <v>38</v>
      </c>
      <c r="AV138" s="36">
        <f>5/16</f>
        <v>0.3125</v>
      </c>
      <c r="AW138" s="36" t="s">
        <v>38</v>
      </c>
      <c r="AX138" s="36">
        <f>10.5/16</f>
        <v>0.65625</v>
      </c>
      <c r="AY138" s="36"/>
      <c r="AZ138" s="36"/>
      <c r="BA138" s="36" t="s">
        <v>38</v>
      </c>
      <c r="BB138" s="36">
        <f>7/16</f>
        <v>0.4375</v>
      </c>
      <c r="BC138" s="36" t="s">
        <v>39</v>
      </c>
      <c r="BD138" s="36">
        <f>5/16</f>
        <v>0.3125</v>
      </c>
      <c r="BE138" s="38"/>
      <c r="BF138" s="38"/>
      <c r="BG138" s="37">
        <v>1</v>
      </c>
      <c r="BH138" s="26">
        <v>7</v>
      </c>
      <c r="BI138" s="26">
        <v>1</v>
      </c>
      <c r="BJ138" s="26">
        <v>5</v>
      </c>
      <c r="BK138" s="26"/>
      <c r="BL138" s="26"/>
      <c r="BM138" s="26"/>
      <c r="BN138" s="26"/>
      <c r="BO138" s="37">
        <f t="shared" si="10"/>
        <v>2</v>
      </c>
      <c r="BP138" s="56">
        <f t="shared" si="11"/>
        <v>12</v>
      </c>
      <c r="BQ138" s="56">
        <f t="shared" si="12"/>
        <v>0</v>
      </c>
      <c r="BR138" s="57">
        <f t="shared" si="13"/>
        <v>0</v>
      </c>
      <c r="BS138" s="38"/>
      <c r="BT138" s="38"/>
      <c r="BU138" s="26"/>
      <c r="BV138" s="26"/>
      <c r="BW138" s="39">
        <f t="shared" si="14"/>
        <v>14</v>
      </c>
      <c r="BX138" s="78">
        <v>2</v>
      </c>
      <c r="BY138" s="63">
        <v>1</v>
      </c>
      <c r="BZ138" s="7"/>
      <c r="CA138" s="8"/>
      <c r="CB138" s="7"/>
      <c r="CC138" s="7"/>
    </row>
    <row r="139" spans="1:81" ht="16" x14ac:dyDescent="0.2">
      <c r="A139" s="109" t="s">
        <v>269</v>
      </c>
      <c r="B139" s="26">
        <v>39</v>
      </c>
      <c r="C139" s="109" t="s">
        <v>113</v>
      </c>
      <c r="D139" s="38">
        <v>12</v>
      </c>
      <c r="E139" s="38">
        <v>2</v>
      </c>
      <c r="F139" s="38">
        <v>3</v>
      </c>
      <c r="G139" s="38" t="s">
        <v>50</v>
      </c>
      <c r="H139" s="38">
        <v>6</v>
      </c>
      <c r="I139" s="38" t="s">
        <v>51</v>
      </c>
      <c r="J139" s="38"/>
      <c r="K139" s="38">
        <v>10</v>
      </c>
      <c r="L139" s="38">
        <v>7</v>
      </c>
      <c r="M139" s="40"/>
      <c r="N139" s="36"/>
      <c r="O139" s="36"/>
      <c r="P139" s="36"/>
      <c r="Q139" s="36"/>
      <c r="R139" s="36"/>
      <c r="S139" s="36"/>
      <c r="T139" s="36"/>
      <c r="U139" s="36" t="s">
        <v>39</v>
      </c>
      <c r="V139" s="36">
        <f>13/16</f>
        <v>0.8125</v>
      </c>
      <c r="W139" s="36"/>
      <c r="X139" s="36"/>
      <c r="Y139" s="36" t="s">
        <v>38</v>
      </c>
      <c r="Z139" s="36">
        <f>4/16</f>
        <v>0.25</v>
      </c>
      <c r="AA139" s="36" t="s">
        <v>39</v>
      </c>
      <c r="AB139" s="36">
        <f>8/16</f>
        <v>0.5</v>
      </c>
      <c r="AC139" s="36"/>
      <c r="AD139" s="36"/>
      <c r="AE139" s="36" t="s">
        <v>38</v>
      </c>
      <c r="AF139" s="36">
        <f>4.5/16</f>
        <v>0.28125</v>
      </c>
      <c r="AG139" s="36"/>
      <c r="AH139" s="36"/>
      <c r="AI139" s="36"/>
      <c r="AJ139" s="36"/>
      <c r="AK139" s="36"/>
      <c r="AL139" s="36"/>
      <c r="AM139" s="36" t="s">
        <v>39</v>
      </c>
      <c r="AN139" s="36">
        <f>11/16</f>
        <v>0.6875</v>
      </c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8" t="s">
        <v>39</v>
      </c>
      <c r="BF139" s="38" t="s">
        <v>46</v>
      </c>
      <c r="BG139" s="37"/>
      <c r="BH139" s="26"/>
      <c r="BI139" s="26">
        <v>1</v>
      </c>
      <c r="BJ139" s="26">
        <v>2</v>
      </c>
      <c r="BK139" s="26"/>
      <c r="BL139" s="26"/>
      <c r="BM139" s="26"/>
      <c r="BN139" s="26"/>
      <c r="BO139" s="37">
        <f t="shared" si="10"/>
        <v>2</v>
      </c>
      <c r="BP139" s="56">
        <f t="shared" si="11"/>
        <v>2</v>
      </c>
      <c r="BQ139" s="56">
        <f t="shared" si="12"/>
        <v>0</v>
      </c>
      <c r="BR139" s="57">
        <f t="shared" si="13"/>
        <v>0</v>
      </c>
      <c r="BS139" s="38"/>
      <c r="BT139" s="38"/>
      <c r="BU139" s="26">
        <v>1</v>
      </c>
      <c r="BV139" s="26"/>
      <c r="BW139" s="39">
        <f t="shared" si="14"/>
        <v>4</v>
      </c>
      <c r="BX139" s="78">
        <v>2</v>
      </c>
      <c r="BY139" s="63">
        <v>1</v>
      </c>
      <c r="BZ139" s="7"/>
      <c r="CA139" s="8"/>
      <c r="CB139" s="7"/>
      <c r="CC139" s="7"/>
    </row>
    <row r="140" spans="1:81" ht="16" x14ac:dyDescent="0.2">
      <c r="A140" s="109" t="s">
        <v>269</v>
      </c>
      <c r="B140" s="26">
        <v>39</v>
      </c>
      <c r="C140" s="109" t="s">
        <v>113</v>
      </c>
      <c r="D140" s="38">
        <v>13</v>
      </c>
      <c r="E140" s="38">
        <v>2</v>
      </c>
      <c r="F140" s="38">
        <v>2</v>
      </c>
      <c r="G140" s="38" t="s">
        <v>51</v>
      </c>
      <c r="H140" s="38">
        <v>4</v>
      </c>
      <c r="I140" s="38" t="s">
        <v>51</v>
      </c>
      <c r="J140" s="38"/>
      <c r="K140" s="38" t="s">
        <v>63</v>
      </c>
      <c r="L140" s="38">
        <v>7</v>
      </c>
      <c r="M140" s="40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 t="s">
        <v>38</v>
      </c>
      <c r="Z140" s="36">
        <f>14.5/16</f>
        <v>0.90625</v>
      </c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 t="s">
        <v>40</v>
      </c>
      <c r="AX140" s="36">
        <f>12/16</f>
        <v>0.75</v>
      </c>
      <c r="AY140" s="36"/>
      <c r="AZ140" s="36"/>
      <c r="BA140" s="36"/>
      <c r="BB140" s="36"/>
      <c r="BC140" s="36"/>
      <c r="BD140" s="36"/>
      <c r="BE140" s="38"/>
      <c r="BF140" s="38"/>
      <c r="BG140" s="37">
        <v>1</v>
      </c>
      <c r="BH140" s="26"/>
      <c r="BI140" s="26"/>
      <c r="BJ140" s="26"/>
      <c r="BK140" s="26"/>
      <c r="BL140" s="26"/>
      <c r="BM140" s="26">
        <v>1</v>
      </c>
      <c r="BN140" s="26"/>
      <c r="BO140" s="37">
        <f t="shared" si="10"/>
        <v>1</v>
      </c>
      <c r="BP140" s="56">
        <f t="shared" si="11"/>
        <v>0</v>
      </c>
      <c r="BQ140" s="56">
        <f t="shared" si="12"/>
        <v>1</v>
      </c>
      <c r="BR140" s="57">
        <f t="shared" si="13"/>
        <v>0</v>
      </c>
      <c r="BS140" s="38"/>
      <c r="BT140" s="38"/>
      <c r="BU140" s="26"/>
      <c r="BV140" s="26"/>
      <c r="BW140" s="39">
        <f t="shared" si="14"/>
        <v>2</v>
      </c>
      <c r="BX140" s="78">
        <v>2</v>
      </c>
      <c r="BY140" s="63">
        <v>2</v>
      </c>
      <c r="BZ140" s="7"/>
      <c r="CA140" s="8"/>
      <c r="CB140" s="7"/>
      <c r="CC140" s="7"/>
    </row>
    <row r="141" spans="1:81" ht="16" x14ac:dyDescent="0.2">
      <c r="A141" s="109" t="s">
        <v>269</v>
      </c>
      <c r="B141" s="26">
        <v>39</v>
      </c>
      <c r="C141" s="109" t="s">
        <v>113</v>
      </c>
      <c r="D141" s="38">
        <v>15</v>
      </c>
      <c r="E141" s="38">
        <v>2</v>
      </c>
      <c r="F141" s="38">
        <v>2</v>
      </c>
      <c r="G141" s="38" t="s">
        <v>51</v>
      </c>
      <c r="H141" s="38">
        <v>4</v>
      </c>
      <c r="I141" s="38" t="s">
        <v>51</v>
      </c>
      <c r="J141" s="38" t="s">
        <v>37</v>
      </c>
      <c r="K141" s="38"/>
      <c r="L141" s="38">
        <v>6</v>
      </c>
      <c r="M141" s="40" t="s">
        <v>38</v>
      </c>
      <c r="N141" s="36">
        <f>14.5/16</f>
        <v>0.90625</v>
      </c>
      <c r="O141" s="36"/>
      <c r="P141" s="36"/>
      <c r="Q141" s="36" t="s">
        <v>38</v>
      </c>
      <c r="R141" s="36">
        <f>13/16</f>
        <v>0.8125</v>
      </c>
      <c r="S141" s="36"/>
      <c r="T141" s="36"/>
      <c r="U141" s="36"/>
      <c r="V141" s="36"/>
      <c r="W141" s="36" t="s">
        <v>39</v>
      </c>
      <c r="X141" s="36">
        <f>7/16</f>
        <v>0.4375</v>
      </c>
      <c r="Y141" s="36"/>
      <c r="Z141" s="36"/>
      <c r="AA141" s="36" t="s">
        <v>39</v>
      </c>
      <c r="AB141" s="36">
        <f>6.5/16</f>
        <v>0.40625</v>
      </c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 t="s">
        <v>38</v>
      </c>
      <c r="AP141" s="36">
        <f>15.5/16</f>
        <v>0.96875</v>
      </c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8"/>
      <c r="BF141" s="38"/>
      <c r="BG141" s="37">
        <v>3</v>
      </c>
      <c r="BH141" s="26"/>
      <c r="BI141" s="26"/>
      <c r="BJ141" s="26">
        <v>2</v>
      </c>
      <c r="BK141" s="26"/>
      <c r="BL141" s="26"/>
      <c r="BM141" s="26"/>
      <c r="BN141" s="26"/>
      <c r="BO141" s="37">
        <f t="shared" si="10"/>
        <v>3</v>
      </c>
      <c r="BP141" s="56">
        <f t="shared" si="11"/>
        <v>2</v>
      </c>
      <c r="BQ141" s="56">
        <f t="shared" si="12"/>
        <v>0</v>
      </c>
      <c r="BR141" s="57">
        <f t="shared" si="13"/>
        <v>0</v>
      </c>
      <c r="BS141" s="38"/>
      <c r="BT141" s="38"/>
      <c r="BU141" s="26"/>
      <c r="BV141" s="26"/>
      <c r="BW141" s="39">
        <f t="shared" si="14"/>
        <v>5</v>
      </c>
      <c r="BX141" s="78">
        <v>2</v>
      </c>
      <c r="BY141" s="63">
        <v>9</v>
      </c>
      <c r="BZ141" s="7"/>
      <c r="CA141" s="8"/>
      <c r="CB141" s="7"/>
      <c r="CC141" s="7"/>
    </row>
    <row r="142" spans="1:81" ht="16" x14ac:dyDescent="0.2">
      <c r="A142" s="109" t="s">
        <v>269</v>
      </c>
      <c r="B142" s="26">
        <v>39</v>
      </c>
      <c r="C142" s="109" t="s">
        <v>113</v>
      </c>
      <c r="D142" s="38">
        <v>16</v>
      </c>
      <c r="E142" s="38">
        <v>2</v>
      </c>
      <c r="F142" s="38">
        <v>2</v>
      </c>
      <c r="G142" s="38" t="s">
        <v>51</v>
      </c>
      <c r="H142" s="38">
        <v>4</v>
      </c>
      <c r="I142" s="38" t="s">
        <v>51</v>
      </c>
      <c r="J142" s="38" t="s">
        <v>44</v>
      </c>
      <c r="K142" s="38"/>
      <c r="L142" s="38">
        <v>7</v>
      </c>
      <c r="M142" s="40" t="s">
        <v>38</v>
      </c>
      <c r="N142" s="36">
        <f>11.5/16</f>
        <v>0.71875</v>
      </c>
      <c r="O142" s="36"/>
      <c r="P142" s="36"/>
      <c r="Q142" s="36"/>
      <c r="R142" s="36"/>
      <c r="S142" s="36" t="s">
        <v>39</v>
      </c>
      <c r="T142" s="36">
        <f>17/16</f>
        <v>1.0625</v>
      </c>
      <c r="U142" s="36"/>
      <c r="V142" s="36"/>
      <c r="W142" s="36"/>
      <c r="X142" s="36"/>
      <c r="Y142" s="36"/>
      <c r="Z142" s="36"/>
      <c r="AA142" s="36" t="s">
        <v>38</v>
      </c>
      <c r="AB142" s="36">
        <f>14.5/16</f>
        <v>0.90625</v>
      </c>
      <c r="AC142" s="36" t="s">
        <v>38</v>
      </c>
      <c r="AD142" s="36">
        <f>14/16</f>
        <v>0.875</v>
      </c>
      <c r="AE142" s="36"/>
      <c r="AF142" s="36"/>
      <c r="AG142" s="36"/>
      <c r="AH142" s="36"/>
      <c r="AI142" s="36"/>
      <c r="AJ142" s="36"/>
      <c r="AK142" s="36"/>
      <c r="AL142" s="36"/>
      <c r="AM142" s="36" t="s">
        <v>39</v>
      </c>
      <c r="AN142" s="36">
        <f>4.5/16</f>
        <v>0.28125</v>
      </c>
      <c r="AO142" s="36"/>
      <c r="AP142" s="36"/>
      <c r="AQ142" s="36" t="s">
        <v>38</v>
      </c>
      <c r="AR142" s="36">
        <f>13/16</f>
        <v>0.8125</v>
      </c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 t="s">
        <v>38</v>
      </c>
      <c r="BD142" s="36">
        <f>13/16</f>
        <v>0.8125</v>
      </c>
      <c r="BE142" s="38"/>
      <c r="BF142" s="38"/>
      <c r="BG142" s="37">
        <v>5</v>
      </c>
      <c r="BH142" s="26"/>
      <c r="BI142" s="26">
        <v>1</v>
      </c>
      <c r="BJ142" s="26"/>
      <c r="BK142" s="26"/>
      <c r="BL142" s="26"/>
      <c r="BM142" s="26"/>
      <c r="BN142" s="26"/>
      <c r="BO142" s="37">
        <f t="shared" si="10"/>
        <v>6</v>
      </c>
      <c r="BP142" s="56">
        <f t="shared" si="11"/>
        <v>0</v>
      </c>
      <c r="BQ142" s="56">
        <f t="shared" si="12"/>
        <v>0</v>
      </c>
      <c r="BR142" s="57">
        <f t="shared" si="13"/>
        <v>0</v>
      </c>
      <c r="BS142" s="38"/>
      <c r="BT142" s="38"/>
      <c r="BU142" s="26"/>
      <c r="BV142" s="26"/>
      <c r="BW142" s="39">
        <f t="shared" si="14"/>
        <v>6</v>
      </c>
      <c r="BX142" s="78">
        <v>1</v>
      </c>
      <c r="BY142" s="63">
        <v>4</v>
      </c>
      <c r="BZ142" s="7"/>
      <c r="CA142" s="8"/>
      <c r="CB142" s="7"/>
      <c r="CC142" s="7"/>
    </row>
    <row r="143" spans="1:81" ht="16" x14ac:dyDescent="0.2">
      <c r="A143" s="111" t="s">
        <v>270</v>
      </c>
      <c r="B143" s="26">
        <v>42</v>
      </c>
      <c r="C143" s="109" t="s">
        <v>114</v>
      </c>
      <c r="D143" s="26">
        <v>1</v>
      </c>
      <c r="E143" s="26">
        <v>2</v>
      </c>
      <c r="F143" s="26">
        <v>2</v>
      </c>
      <c r="G143" s="26" t="s">
        <v>51</v>
      </c>
      <c r="H143" s="26">
        <v>4</v>
      </c>
      <c r="I143" s="26" t="s">
        <v>51</v>
      </c>
      <c r="J143" s="26" t="s">
        <v>41</v>
      </c>
      <c r="K143" s="26"/>
      <c r="L143" s="26">
        <v>6</v>
      </c>
      <c r="M143" s="40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 t="s">
        <v>38</v>
      </c>
      <c r="AR143" s="36">
        <f>6.5/7</f>
        <v>0.9285714285714286</v>
      </c>
      <c r="AS143" s="36"/>
      <c r="AT143" s="36"/>
      <c r="AU143" s="36" t="s">
        <v>39</v>
      </c>
      <c r="AV143" s="36">
        <f>7/7</f>
        <v>1</v>
      </c>
      <c r="AW143" s="36"/>
      <c r="AX143" s="36"/>
      <c r="AY143" s="36"/>
      <c r="AZ143" s="36"/>
      <c r="BA143" s="36"/>
      <c r="BB143" s="36"/>
      <c r="BC143" s="36"/>
      <c r="BD143" s="36"/>
      <c r="BE143" s="26"/>
      <c r="BF143" s="26"/>
      <c r="BG143" s="39">
        <v>1</v>
      </c>
      <c r="BH143" s="38"/>
      <c r="BI143" s="38">
        <v>1</v>
      </c>
      <c r="BJ143" s="38"/>
      <c r="BK143" s="38"/>
      <c r="BL143" s="38"/>
      <c r="BM143" s="38"/>
      <c r="BN143" s="38"/>
      <c r="BO143" s="37">
        <f t="shared" si="10"/>
        <v>2</v>
      </c>
      <c r="BP143" s="56">
        <f t="shared" si="11"/>
        <v>0</v>
      </c>
      <c r="BQ143" s="56">
        <f t="shared" si="12"/>
        <v>0</v>
      </c>
      <c r="BR143" s="57">
        <f t="shared" si="13"/>
        <v>0</v>
      </c>
      <c r="BS143" s="38"/>
      <c r="BT143" s="38"/>
      <c r="BU143" s="26"/>
      <c r="BV143" s="26"/>
      <c r="BW143" s="39">
        <f t="shared" si="14"/>
        <v>2</v>
      </c>
      <c r="BX143" s="78">
        <v>1</v>
      </c>
      <c r="BY143" s="63">
        <v>10</v>
      </c>
      <c r="BZ143" s="7"/>
      <c r="CA143" s="8"/>
      <c r="CB143" s="17"/>
      <c r="CC143" s="17"/>
    </row>
    <row r="144" spans="1:81" ht="16" x14ac:dyDescent="0.2">
      <c r="A144" s="111" t="s">
        <v>270</v>
      </c>
      <c r="B144" s="26">
        <v>42</v>
      </c>
      <c r="C144" s="109" t="s">
        <v>114</v>
      </c>
      <c r="D144" s="26">
        <v>2</v>
      </c>
      <c r="E144" s="26">
        <v>2</v>
      </c>
      <c r="F144" s="26">
        <v>2</v>
      </c>
      <c r="G144" s="26" t="s">
        <v>51</v>
      </c>
      <c r="H144" s="26">
        <v>4</v>
      </c>
      <c r="I144" s="26" t="s">
        <v>51</v>
      </c>
      <c r="J144" s="26" t="s">
        <v>42</v>
      </c>
      <c r="K144" s="26"/>
      <c r="L144" s="26">
        <v>5</v>
      </c>
      <c r="M144" s="40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 t="s">
        <v>39</v>
      </c>
      <c r="AR144" s="36">
        <f>8/8</f>
        <v>1</v>
      </c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26"/>
      <c r="BF144" s="26"/>
      <c r="BG144" s="39"/>
      <c r="BH144" s="38"/>
      <c r="BI144" s="38">
        <v>1</v>
      </c>
      <c r="BJ144" s="38"/>
      <c r="BK144" s="38"/>
      <c r="BL144" s="38"/>
      <c r="BM144" s="38"/>
      <c r="BN144" s="38"/>
      <c r="BO144" s="37">
        <f t="shared" si="10"/>
        <v>1</v>
      </c>
      <c r="BP144" s="56">
        <f t="shared" si="11"/>
        <v>0</v>
      </c>
      <c r="BQ144" s="56">
        <f t="shared" si="12"/>
        <v>0</v>
      </c>
      <c r="BR144" s="57">
        <f t="shared" si="13"/>
        <v>0</v>
      </c>
      <c r="BS144" s="38"/>
      <c r="BT144" s="38"/>
      <c r="BU144" s="26"/>
      <c r="BV144" s="26"/>
      <c r="BW144" s="39">
        <f t="shared" si="14"/>
        <v>1</v>
      </c>
      <c r="BX144" s="78">
        <v>1</v>
      </c>
      <c r="BY144" s="63">
        <v>8</v>
      </c>
      <c r="BZ144" s="7"/>
      <c r="CA144" s="8"/>
      <c r="CB144" s="17"/>
      <c r="CC144" s="17"/>
    </row>
    <row r="145" spans="1:81" x14ac:dyDescent="0.2">
      <c r="A145" s="111" t="s">
        <v>270</v>
      </c>
      <c r="B145" s="26">
        <v>42</v>
      </c>
      <c r="C145" s="109" t="s">
        <v>114</v>
      </c>
      <c r="D145" s="26">
        <v>3</v>
      </c>
      <c r="E145" s="26">
        <v>2</v>
      </c>
      <c r="F145" s="26">
        <v>2</v>
      </c>
      <c r="G145" s="26" t="s">
        <v>51</v>
      </c>
      <c r="H145" s="26">
        <v>4</v>
      </c>
      <c r="I145" s="26" t="s">
        <v>51</v>
      </c>
      <c r="J145" s="26" t="s">
        <v>42</v>
      </c>
      <c r="K145" s="26"/>
      <c r="L145" s="26">
        <v>5</v>
      </c>
      <c r="M145" s="40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26"/>
      <c r="BF145" s="26"/>
      <c r="BG145" s="39"/>
      <c r="BH145" s="38"/>
      <c r="BI145" s="38"/>
      <c r="BJ145" s="38"/>
      <c r="BK145" s="38"/>
      <c r="BL145" s="38"/>
      <c r="BM145" s="38"/>
      <c r="BN145" s="38"/>
      <c r="BO145" s="37">
        <f t="shared" si="10"/>
        <v>0</v>
      </c>
      <c r="BP145" s="56">
        <f t="shared" si="11"/>
        <v>0</v>
      </c>
      <c r="BQ145" s="56">
        <f t="shared" si="12"/>
        <v>0</v>
      </c>
      <c r="BR145" s="57">
        <f t="shared" si="13"/>
        <v>0</v>
      </c>
      <c r="BS145" s="38"/>
      <c r="BT145" s="38"/>
      <c r="BU145" s="26"/>
      <c r="BV145" s="26"/>
      <c r="BW145" s="39">
        <f t="shared" si="14"/>
        <v>0</v>
      </c>
      <c r="BX145" s="78">
        <v>0</v>
      </c>
      <c r="BY145" s="63">
        <v>8</v>
      </c>
      <c r="BZ145" s="7"/>
      <c r="CA145" s="8"/>
      <c r="CB145" s="17"/>
      <c r="CC145" s="17"/>
    </row>
    <row r="146" spans="1:81" ht="16" x14ac:dyDescent="0.2">
      <c r="A146" s="111" t="s">
        <v>270</v>
      </c>
      <c r="B146" s="26">
        <v>42</v>
      </c>
      <c r="C146" s="109" t="s">
        <v>114</v>
      </c>
      <c r="D146" s="26">
        <v>4</v>
      </c>
      <c r="E146" s="26">
        <v>2</v>
      </c>
      <c r="F146" s="26">
        <v>2</v>
      </c>
      <c r="G146" s="26" t="s">
        <v>51</v>
      </c>
      <c r="H146" s="26">
        <v>4</v>
      </c>
      <c r="I146" s="26" t="s">
        <v>51</v>
      </c>
      <c r="J146" s="26" t="s">
        <v>60</v>
      </c>
      <c r="K146" s="26"/>
      <c r="L146" s="26">
        <v>6</v>
      </c>
      <c r="M146" s="40"/>
      <c r="N146" s="36"/>
      <c r="O146" s="36" t="s">
        <v>39</v>
      </c>
      <c r="P146" s="36">
        <f>2/7</f>
        <v>0.2857142857142857</v>
      </c>
      <c r="Q146" s="36"/>
      <c r="R146" s="36"/>
      <c r="S146" s="36"/>
      <c r="T146" s="36"/>
      <c r="U146" s="36"/>
      <c r="V146" s="36"/>
      <c r="W146" s="36"/>
      <c r="X146" s="36"/>
      <c r="Y146" s="36" t="s">
        <v>38</v>
      </c>
      <c r="Z146" s="36">
        <f>3/7</f>
        <v>0.42857142857142855</v>
      </c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 t="s">
        <v>39</v>
      </c>
      <c r="AT146" s="36">
        <f>7/7</f>
        <v>1</v>
      </c>
      <c r="AU146" s="36" t="s">
        <v>39</v>
      </c>
      <c r="AV146" s="36">
        <f>2/7</f>
        <v>0.2857142857142857</v>
      </c>
      <c r="AW146" s="36"/>
      <c r="AX146" s="36"/>
      <c r="AY146" s="36"/>
      <c r="AZ146" s="36"/>
      <c r="BA146" s="36"/>
      <c r="BB146" s="36"/>
      <c r="BC146" s="36" t="s">
        <v>38</v>
      </c>
      <c r="BD146" s="36">
        <f>2/7</f>
        <v>0.2857142857142857</v>
      </c>
      <c r="BE146" s="26"/>
      <c r="BF146" s="26"/>
      <c r="BG146" s="39"/>
      <c r="BH146" s="38">
        <v>1</v>
      </c>
      <c r="BI146" s="38">
        <v>1</v>
      </c>
      <c r="BJ146" s="38"/>
      <c r="BK146" s="38"/>
      <c r="BL146" s="38"/>
      <c r="BM146" s="38"/>
      <c r="BN146" s="38"/>
      <c r="BO146" s="37">
        <f t="shared" si="10"/>
        <v>1</v>
      </c>
      <c r="BP146" s="56">
        <f t="shared" si="11"/>
        <v>1</v>
      </c>
      <c r="BQ146" s="56">
        <f t="shared" si="12"/>
        <v>0</v>
      </c>
      <c r="BR146" s="57">
        <f t="shared" si="13"/>
        <v>0</v>
      </c>
      <c r="BS146" s="38"/>
      <c r="BT146" s="38"/>
      <c r="BU146" s="26"/>
      <c r="BV146" s="26"/>
      <c r="BW146" s="39">
        <f t="shared" si="14"/>
        <v>2</v>
      </c>
      <c r="BX146" s="78">
        <v>2</v>
      </c>
      <c r="BY146" s="63">
        <v>7</v>
      </c>
      <c r="BZ146" s="7"/>
      <c r="CA146" s="8"/>
      <c r="CB146" s="17"/>
      <c r="CC146" s="17"/>
    </row>
    <row r="147" spans="1:81" ht="16" x14ac:dyDescent="0.2">
      <c r="A147" s="109" t="s">
        <v>270</v>
      </c>
      <c r="B147" s="26">
        <v>42</v>
      </c>
      <c r="C147" s="109" t="s">
        <v>114</v>
      </c>
      <c r="D147" s="26">
        <v>5</v>
      </c>
      <c r="E147" s="26">
        <v>2</v>
      </c>
      <c r="F147" s="26">
        <v>3</v>
      </c>
      <c r="G147" s="26" t="s">
        <v>50</v>
      </c>
      <c r="H147" s="26">
        <v>5</v>
      </c>
      <c r="I147" s="26" t="s">
        <v>51</v>
      </c>
      <c r="J147" s="26" t="s">
        <v>42</v>
      </c>
      <c r="K147" s="26"/>
      <c r="L147" s="26">
        <v>5</v>
      </c>
      <c r="M147" s="40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 t="s">
        <v>39</v>
      </c>
      <c r="AD147" s="36">
        <f>9/9</f>
        <v>1</v>
      </c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 t="s">
        <v>39</v>
      </c>
      <c r="BD147" s="36">
        <f>8/9</f>
        <v>0.88888888888888884</v>
      </c>
      <c r="BE147" s="26"/>
      <c r="BF147" s="26"/>
      <c r="BG147" s="37"/>
      <c r="BH147" s="26"/>
      <c r="BI147" s="26">
        <v>2</v>
      </c>
      <c r="BJ147" s="26"/>
      <c r="BK147" s="26"/>
      <c r="BL147" s="26"/>
      <c r="BM147" s="26"/>
      <c r="BN147" s="26"/>
      <c r="BO147" s="37">
        <f t="shared" si="10"/>
        <v>2</v>
      </c>
      <c r="BP147" s="56">
        <f t="shared" si="11"/>
        <v>0</v>
      </c>
      <c r="BQ147" s="56">
        <f t="shared" si="12"/>
        <v>0</v>
      </c>
      <c r="BR147" s="57">
        <f t="shared" si="13"/>
        <v>0</v>
      </c>
      <c r="BS147" s="38"/>
      <c r="BT147" s="38"/>
      <c r="BU147" s="26"/>
      <c r="BV147" s="26"/>
      <c r="BW147" s="39">
        <f t="shared" si="14"/>
        <v>2</v>
      </c>
      <c r="BX147" s="78">
        <v>1</v>
      </c>
      <c r="BY147" s="63">
        <v>8</v>
      </c>
      <c r="CB147" s="7"/>
      <c r="CC147" s="7"/>
    </row>
    <row r="148" spans="1:81" x14ac:dyDescent="0.2">
      <c r="A148" s="109" t="s">
        <v>270</v>
      </c>
      <c r="B148" s="26">
        <v>42</v>
      </c>
      <c r="C148" s="109" t="s">
        <v>114</v>
      </c>
      <c r="D148" s="26">
        <v>6</v>
      </c>
      <c r="E148" s="26">
        <v>2</v>
      </c>
      <c r="F148" s="26">
        <v>2</v>
      </c>
      <c r="G148" s="26" t="s">
        <v>51</v>
      </c>
      <c r="H148" s="26">
        <v>4</v>
      </c>
      <c r="I148" s="26" t="s">
        <v>51</v>
      </c>
      <c r="J148" s="26" t="s">
        <v>41</v>
      </c>
      <c r="K148" s="26"/>
      <c r="L148" s="26">
        <v>5</v>
      </c>
      <c r="M148" s="40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26"/>
      <c r="BF148" s="26"/>
      <c r="BG148" s="37"/>
      <c r="BH148" s="26"/>
      <c r="BI148" s="26"/>
      <c r="BJ148" s="26"/>
      <c r="BK148" s="26"/>
      <c r="BL148" s="26"/>
      <c r="BM148" s="26"/>
      <c r="BN148" s="26"/>
      <c r="BO148" s="37">
        <f t="shared" si="10"/>
        <v>0</v>
      </c>
      <c r="BP148" s="56">
        <f t="shared" si="11"/>
        <v>0</v>
      </c>
      <c r="BQ148" s="56">
        <f t="shared" si="12"/>
        <v>0</v>
      </c>
      <c r="BR148" s="57">
        <f t="shared" si="13"/>
        <v>0</v>
      </c>
      <c r="BS148" s="38"/>
      <c r="BT148" s="38"/>
      <c r="BU148" s="26"/>
      <c r="BV148" s="26"/>
      <c r="BW148" s="39">
        <f t="shared" si="14"/>
        <v>0</v>
      </c>
      <c r="BX148" s="78">
        <v>0</v>
      </c>
      <c r="BY148" s="63">
        <v>10</v>
      </c>
      <c r="CB148" s="7"/>
      <c r="CC148" s="7"/>
    </row>
    <row r="149" spans="1:81" ht="16" x14ac:dyDescent="0.2">
      <c r="A149" s="109" t="s">
        <v>270</v>
      </c>
      <c r="B149" s="26">
        <v>42</v>
      </c>
      <c r="C149" s="109" t="s">
        <v>114</v>
      </c>
      <c r="D149" s="26">
        <v>8</v>
      </c>
      <c r="E149" s="26">
        <v>2</v>
      </c>
      <c r="F149" s="26">
        <v>2</v>
      </c>
      <c r="G149" s="26" t="s">
        <v>51</v>
      </c>
      <c r="H149" s="26">
        <v>4</v>
      </c>
      <c r="I149" s="26" t="s">
        <v>51</v>
      </c>
      <c r="J149" s="26" t="s">
        <v>60</v>
      </c>
      <c r="K149" s="26"/>
      <c r="L149" s="26">
        <v>6</v>
      </c>
      <c r="M149" s="40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 t="s">
        <v>48</v>
      </c>
      <c r="AD149" s="36">
        <f>3.5/7</f>
        <v>0.5</v>
      </c>
      <c r="AE149" s="36" t="s">
        <v>38</v>
      </c>
      <c r="AF149" s="36">
        <f>8.5/7</f>
        <v>1.2142857142857142</v>
      </c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26"/>
      <c r="BF149" s="26"/>
      <c r="BG149" s="37">
        <v>1</v>
      </c>
      <c r="BH149" s="26"/>
      <c r="BI149" s="26"/>
      <c r="BJ149" s="26"/>
      <c r="BK149" s="26"/>
      <c r="BL149" s="26">
        <v>1</v>
      </c>
      <c r="BM149" s="26"/>
      <c r="BN149" s="26"/>
      <c r="BO149" s="37">
        <f t="shared" si="10"/>
        <v>1</v>
      </c>
      <c r="BP149" s="56">
        <f t="shared" si="11"/>
        <v>0</v>
      </c>
      <c r="BQ149" s="56">
        <f t="shared" si="12"/>
        <v>0</v>
      </c>
      <c r="BR149" s="57">
        <f t="shared" si="13"/>
        <v>1</v>
      </c>
      <c r="BS149" s="38"/>
      <c r="BT149" s="38"/>
      <c r="BU149" s="26"/>
      <c r="BV149" s="26"/>
      <c r="BW149" s="39">
        <f t="shared" si="14"/>
        <v>2</v>
      </c>
      <c r="BX149" s="78">
        <v>2</v>
      </c>
      <c r="BY149" s="63">
        <v>7</v>
      </c>
      <c r="BZ149" s="7"/>
      <c r="CA149" s="8"/>
      <c r="CB149" s="7"/>
      <c r="CC149" s="7"/>
    </row>
    <row r="150" spans="1:81" ht="16" x14ac:dyDescent="0.2">
      <c r="A150" s="109" t="s">
        <v>270</v>
      </c>
      <c r="B150" s="26">
        <v>42</v>
      </c>
      <c r="C150" s="109" t="s">
        <v>114</v>
      </c>
      <c r="D150" s="26">
        <v>9</v>
      </c>
      <c r="E150" s="26">
        <v>2</v>
      </c>
      <c r="F150" s="26">
        <v>3</v>
      </c>
      <c r="G150" s="26" t="s">
        <v>50</v>
      </c>
      <c r="H150" s="26">
        <v>5</v>
      </c>
      <c r="I150" s="26" t="s">
        <v>51</v>
      </c>
      <c r="J150" s="26" t="s">
        <v>42</v>
      </c>
      <c r="K150" s="26"/>
      <c r="L150" s="26">
        <v>6</v>
      </c>
      <c r="M150" s="40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 t="s">
        <v>39</v>
      </c>
      <c r="AR150" s="36">
        <f>8/8.5</f>
        <v>0.94117647058823528</v>
      </c>
      <c r="AS150" s="36"/>
      <c r="AT150" s="36"/>
      <c r="AU150" s="36"/>
      <c r="AV150" s="36"/>
      <c r="AW150" s="36"/>
      <c r="AX150" s="36"/>
      <c r="AY150" s="36"/>
      <c r="AZ150" s="36"/>
      <c r="BA150" s="36" t="s">
        <v>39</v>
      </c>
      <c r="BB150" s="36">
        <f>8.5/8.5</f>
        <v>1</v>
      </c>
      <c r="BC150" s="36"/>
      <c r="BD150" s="36"/>
      <c r="BE150" s="26"/>
      <c r="BF150" s="26"/>
      <c r="BG150" s="37"/>
      <c r="BH150" s="26"/>
      <c r="BI150" s="26">
        <v>2</v>
      </c>
      <c r="BJ150" s="26"/>
      <c r="BK150" s="26"/>
      <c r="BL150" s="26"/>
      <c r="BM150" s="26"/>
      <c r="BN150" s="26"/>
      <c r="BO150" s="37">
        <f t="shared" si="10"/>
        <v>2</v>
      </c>
      <c r="BP150" s="56">
        <f t="shared" si="11"/>
        <v>0</v>
      </c>
      <c r="BQ150" s="56">
        <f t="shared" si="12"/>
        <v>0</v>
      </c>
      <c r="BR150" s="57">
        <f t="shared" si="13"/>
        <v>0</v>
      </c>
      <c r="BS150" s="38"/>
      <c r="BT150" s="38"/>
      <c r="BU150" s="26"/>
      <c r="BV150" s="26"/>
      <c r="BW150" s="39">
        <f t="shared" si="14"/>
        <v>2</v>
      </c>
      <c r="BX150" s="78">
        <v>1</v>
      </c>
      <c r="BY150" s="63">
        <v>8</v>
      </c>
      <c r="BZ150" s="7"/>
      <c r="CA150" s="8"/>
      <c r="CB150" s="7"/>
      <c r="CC150" s="7"/>
    </row>
    <row r="151" spans="1:81" ht="16" x14ac:dyDescent="0.2">
      <c r="A151" s="109" t="s">
        <v>270</v>
      </c>
      <c r="B151" s="26">
        <v>42</v>
      </c>
      <c r="C151" s="109" t="s">
        <v>114</v>
      </c>
      <c r="D151" s="26">
        <v>10</v>
      </c>
      <c r="E151" s="26">
        <v>2</v>
      </c>
      <c r="F151" s="26">
        <v>2</v>
      </c>
      <c r="G151" s="26" t="s">
        <v>51</v>
      </c>
      <c r="H151" s="26">
        <v>4</v>
      </c>
      <c r="I151" s="26" t="s">
        <v>51</v>
      </c>
      <c r="J151" s="26" t="s">
        <v>42</v>
      </c>
      <c r="K151" s="26"/>
      <c r="L151" s="26">
        <v>5</v>
      </c>
      <c r="M151" s="40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 t="s">
        <v>39</v>
      </c>
      <c r="AD151" s="36">
        <f>8/8</f>
        <v>1</v>
      </c>
      <c r="AE151" s="36"/>
      <c r="AF151" s="36"/>
      <c r="AG151" s="36"/>
      <c r="AH151" s="36"/>
      <c r="AI151" s="36"/>
      <c r="AJ151" s="36"/>
      <c r="AK151" s="36" t="s">
        <v>39</v>
      </c>
      <c r="AL151" s="36">
        <f>7/8</f>
        <v>0.875</v>
      </c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26"/>
      <c r="BF151" s="26"/>
      <c r="BG151" s="37"/>
      <c r="BH151" s="26"/>
      <c r="BI151" s="26">
        <v>2</v>
      </c>
      <c r="BJ151" s="26"/>
      <c r="BK151" s="26"/>
      <c r="BL151" s="26"/>
      <c r="BM151" s="26"/>
      <c r="BN151" s="26"/>
      <c r="BO151" s="37">
        <f t="shared" si="10"/>
        <v>2</v>
      </c>
      <c r="BP151" s="56">
        <f t="shared" si="11"/>
        <v>0</v>
      </c>
      <c r="BQ151" s="56">
        <f t="shared" si="12"/>
        <v>0</v>
      </c>
      <c r="BR151" s="57">
        <f t="shared" si="13"/>
        <v>0</v>
      </c>
      <c r="BS151" s="38"/>
      <c r="BT151" s="38"/>
      <c r="BU151" s="26"/>
      <c r="BV151" s="26"/>
      <c r="BW151" s="39">
        <f t="shared" si="14"/>
        <v>2</v>
      </c>
      <c r="BX151" s="78">
        <v>1</v>
      </c>
      <c r="BY151" s="63">
        <v>8</v>
      </c>
      <c r="BZ151" s="7"/>
      <c r="CA151" s="8"/>
      <c r="CB151" s="7"/>
      <c r="CC151" s="7"/>
    </row>
    <row r="152" spans="1:81" ht="16" x14ac:dyDescent="0.2">
      <c r="A152" s="125" t="s">
        <v>271</v>
      </c>
      <c r="B152" s="26">
        <v>41</v>
      </c>
      <c r="C152" s="109" t="s">
        <v>115</v>
      </c>
      <c r="D152" s="26">
        <v>1</v>
      </c>
      <c r="E152" s="26">
        <v>2</v>
      </c>
      <c r="F152" s="26">
        <v>2</v>
      </c>
      <c r="G152" s="26" t="s">
        <v>51</v>
      </c>
      <c r="H152" s="26">
        <v>4</v>
      </c>
      <c r="I152" s="26" t="s">
        <v>51</v>
      </c>
      <c r="J152" s="26" t="s">
        <v>44</v>
      </c>
      <c r="K152" s="26"/>
      <c r="L152" s="26">
        <v>6</v>
      </c>
      <c r="M152" s="40"/>
      <c r="N152" s="36"/>
      <c r="O152" s="36"/>
      <c r="P152" s="36"/>
      <c r="Q152" s="36"/>
      <c r="R152" s="36"/>
      <c r="S152" s="36"/>
      <c r="T152" s="36"/>
      <c r="U152" s="36"/>
      <c r="V152" s="36"/>
      <c r="W152" s="36" t="s">
        <v>39</v>
      </c>
      <c r="X152" s="36">
        <f>17/18</f>
        <v>0.94444444444444442</v>
      </c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26"/>
      <c r="BF152" s="26"/>
      <c r="BG152" s="40"/>
      <c r="BH152" s="36"/>
      <c r="BI152" s="36">
        <v>1</v>
      </c>
      <c r="BJ152" s="36"/>
      <c r="BK152" s="36"/>
      <c r="BL152" s="36"/>
      <c r="BM152" s="36"/>
      <c r="BN152" s="36"/>
      <c r="BO152" s="37">
        <f t="shared" si="10"/>
        <v>1</v>
      </c>
      <c r="BP152" s="56">
        <f t="shared" si="11"/>
        <v>0</v>
      </c>
      <c r="BQ152" s="56">
        <f t="shared" si="12"/>
        <v>0</v>
      </c>
      <c r="BR152" s="57">
        <f t="shared" si="13"/>
        <v>0</v>
      </c>
      <c r="BS152" s="38"/>
      <c r="BT152" s="38"/>
      <c r="BU152" s="26"/>
      <c r="BV152" s="26"/>
      <c r="BW152" s="39">
        <f t="shared" si="14"/>
        <v>1</v>
      </c>
      <c r="BX152" s="78">
        <v>1</v>
      </c>
      <c r="BY152" s="65">
        <v>4</v>
      </c>
      <c r="BZ152" s="16"/>
      <c r="CA152" s="21"/>
      <c r="CB152" s="16"/>
      <c r="CC152" s="16"/>
    </row>
    <row r="153" spans="1:81" ht="16" x14ac:dyDescent="0.2">
      <c r="A153" s="125" t="s">
        <v>271</v>
      </c>
      <c r="B153" s="26">
        <v>41</v>
      </c>
      <c r="C153" s="109" t="s">
        <v>115</v>
      </c>
      <c r="D153" s="26">
        <v>2</v>
      </c>
      <c r="E153" s="26">
        <v>2</v>
      </c>
      <c r="F153" s="26">
        <v>2</v>
      </c>
      <c r="G153" s="26" t="s">
        <v>51</v>
      </c>
      <c r="H153" s="26">
        <v>4</v>
      </c>
      <c r="I153" s="26" t="s">
        <v>51</v>
      </c>
      <c r="J153" s="26"/>
      <c r="K153" s="38" t="s">
        <v>63</v>
      </c>
      <c r="L153" s="26">
        <v>6</v>
      </c>
      <c r="M153" s="40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 t="s">
        <v>39</v>
      </c>
      <c r="AT153" s="36">
        <f>9/9</f>
        <v>1</v>
      </c>
      <c r="AU153" s="36" t="s">
        <v>39</v>
      </c>
      <c r="AV153" s="36">
        <f>7/9</f>
        <v>0.77777777777777779</v>
      </c>
      <c r="AW153" s="36"/>
      <c r="AX153" s="36"/>
      <c r="AY153" s="36" t="s">
        <v>38</v>
      </c>
      <c r="AZ153" s="36">
        <f>9.5/9</f>
        <v>1.0555555555555556</v>
      </c>
      <c r="BA153" s="36"/>
      <c r="BB153" s="36"/>
      <c r="BC153" s="36"/>
      <c r="BD153" s="36"/>
      <c r="BE153" s="26"/>
      <c r="BF153" s="26"/>
      <c r="BG153" s="40">
        <v>1</v>
      </c>
      <c r="BH153" s="36"/>
      <c r="BI153" s="36">
        <v>2</v>
      </c>
      <c r="BJ153" s="36"/>
      <c r="BK153" s="36"/>
      <c r="BL153" s="36"/>
      <c r="BM153" s="36"/>
      <c r="BN153" s="36"/>
      <c r="BO153" s="37">
        <f t="shared" si="10"/>
        <v>3</v>
      </c>
      <c r="BP153" s="56">
        <f t="shared" si="11"/>
        <v>0</v>
      </c>
      <c r="BQ153" s="56">
        <f t="shared" si="12"/>
        <v>0</v>
      </c>
      <c r="BR153" s="57">
        <f t="shared" si="13"/>
        <v>0</v>
      </c>
      <c r="BS153" s="38"/>
      <c r="BT153" s="38"/>
      <c r="BU153" s="26"/>
      <c r="BV153" s="26"/>
      <c r="BW153" s="39">
        <f t="shared" si="14"/>
        <v>3</v>
      </c>
      <c r="BX153" s="78">
        <v>1</v>
      </c>
      <c r="BY153" s="65">
        <v>2</v>
      </c>
      <c r="BZ153" s="16"/>
      <c r="CA153" s="21"/>
      <c r="CB153" s="16"/>
      <c r="CC153" s="16"/>
    </row>
    <row r="154" spans="1:81" ht="16" x14ac:dyDescent="0.2">
      <c r="A154" s="125" t="s">
        <v>271</v>
      </c>
      <c r="B154" s="26">
        <v>41</v>
      </c>
      <c r="C154" s="109" t="s">
        <v>115</v>
      </c>
      <c r="D154" s="26">
        <v>3</v>
      </c>
      <c r="E154" s="26">
        <v>2</v>
      </c>
      <c r="F154" s="26">
        <v>2</v>
      </c>
      <c r="G154" s="26" t="s">
        <v>51</v>
      </c>
      <c r="H154" s="26">
        <v>4</v>
      </c>
      <c r="I154" s="26" t="s">
        <v>51</v>
      </c>
      <c r="J154" s="26" t="s">
        <v>45</v>
      </c>
      <c r="K154" s="26"/>
      <c r="L154" s="26">
        <v>6</v>
      </c>
      <c r="M154" s="40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 t="s">
        <v>39</v>
      </c>
      <c r="AB154" s="36">
        <f>16/18</f>
        <v>0.88888888888888884</v>
      </c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 t="s">
        <v>39</v>
      </c>
      <c r="BB154" s="36">
        <f>16.5/18</f>
        <v>0.91666666666666663</v>
      </c>
      <c r="BC154" s="36"/>
      <c r="BD154" s="36"/>
      <c r="BE154" s="26"/>
      <c r="BF154" s="26"/>
      <c r="BG154" s="40"/>
      <c r="BH154" s="36"/>
      <c r="BI154" s="36">
        <v>2</v>
      </c>
      <c r="BJ154" s="36"/>
      <c r="BK154" s="36"/>
      <c r="BL154" s="36"/>
      <c r="BM154" s="36"/>
      <c r="BN154" s="36"/>
      <c r="BO154" s="37">
        <f t="shared" si="10"/>
        <v>2</v>
      </c>
      <c r="BP154" s="56">
        <f t="shared" si="11"/>
        <v>0</v>
      </c>
      <c r="BQ154" s="56">
        <f t="shared" si="12"/>
        <v>0</v>
      </c>
      <c r="BR154" s="57">
        <f t="shared" si="13"/>
        <v>0</v>
      </c>
      <c r="BS154" s="38"/>
      <c r="BT154" s="38"/>
      <c r="BU154" s="26"/>
      <c r="BV154" s="26"/>
      <c r="BW154" s="39">
        <f t="shared" si="14"/>
        <v>2</v>
      </c>
      <c r="BX154" s="78">
        <v>1</v>
      </c>
      <c r="BY154" s="65">
        <v>5</v>
      </c>
      <c r="BZ154" s="16"/>
      <c r="CA154" s="21"/>
      <c r="CB154" s="16"/>
      <c r="CC154" s="16"/>
    </row>
    <row r="155" spans="1:81" ht="16" x14ac:dyDescent="0.2">
      <c r="A155" s="109" t="s">
        <v>271</v>
      </c>
      <c r="B155" s="26">
        <v>41</v>
      </c>
      <c r="C155" s="109" t="s">
        <v>115</v>
      </c>
      <c r="D155" s="26">
        <v>4</v>
      </c>
      <c r="E155" s="26">
        <v>2</v>
      </c>
      <c r="F155" s="26">
        <v>4</v>
      </c>
      <c r="G155" s="26" t="s">
        <v>50</v>
      </c>
      <c r="H155" s="26">
        <v>3</v>
      </c>
      <c r="I155" s="26" t="s">
        <v>73</v>
      </c>
      <c r="J155" s="26"/>
      <c r="K155" s="26">
        <v>4</v>
      </c>
      <c r="L155" s="26">
        <v>6</v>
      </c>
      <c r="M155" s="40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 t="s">
        <v>39</v>
      </c>
      <c r="AR155" s="36">
        <f>4.5/8</f>
        <v>0.5625</v>
      </c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 t="s">
        <v>38</v>
      </c>
      <c r="BD155" s="36">
        <f>5/8</f>
        <v>0.625</v>
      </c>
      <c r="BE155" s="26"/>
      <c r="BF155" s="26"/>
      <c r="BG155" s="37"/>
      <c r="BH155" s="26">
        <v>1</v>
      </c>
      <c r="BI155" s="26"/>
      <c r="BJ155" s="26">
        <v>1</v>
      </c>
      <c r="BK155" s="26"/>
      <c r="BL155" s="26"/>
      <c r="BM155" s="26"/>
      <c r="BO155" s="37">
        <f t="shared" si="10"/>
        <v>0</v>
      </c>
      <c r="BP155" s="56">
        <f t="shared" si="11"/>
        <v>2</v>
      </c>
      <c r="BQ155" s="56">
        <f t="shared" si="12"/>
        <v>0</v>
      </c>
      <c r="BR155" s="57">
        <f t="shared" si="13"/>
        <v>0</v>
      </c>
      <c r="BS155" s="38"/>
      <c r="BT155" s="38"/>
      <c r="BU155" s="26"/>
      <c r="BV155" s="26"/>
      <c r="BW155" s="39">
        <f t="shared" si="14"/>
        <v>2</v>
      </c>
      <c r="BX155" s="78">
        <v>3</v>
      </c>
      <c r="BY155" s="63">
        <v>1</v>
      </c>
    </row>
    <row r="156" spans="1:81" ht="16" x14ac:dyDescent="0.2">
      <c r="A156" s="109" t="s">
        <v>271</v>
      </c>
      <c r="B156" s="26">
        <v>41</v>
      </c>
      <c r="C156" s="109" t="s">
        <v>115</v>
      </c>
      <c r="D156" s="26">
        <v>5</v>
      </c>
      <c r="E156" s="26">
        <v>2</v>
      </c>
      <c r="F156" s="26">
        <v>2</v>
      </c>
      <c r="G156" s="26" t="s">
        <v>51</v>
      </c>
      <c r="H156" s="26">
        <v>4</v>
      </c>
      <c r="I156" s="26" t="s">
        <v>51</v>
      </c>
      <c r="J156" s="26" t="s">
        <v>41</v>
      </c>
      <c r="K156" s="26"/>
      <c r="L156" s="26">
        <v>5</v>
      </c>
      <c r="M156" s="40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 t="s">
        <v>39</v>
      </c>
      <c r="AT156" s="36">
        <f>10.5/18</f>
        <v>0.58333333333333337</v>
      </c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26"/>
      <c r="BF156" s="26"/>
      <c r="BG156" s="37"/>
      <c r="BH156" s="26"/>
      <c r="BI156" s="26"/>
      <c r="BJ156" s="26">
        <v>1</v>
      </c>
      <c r="BK156" s="26"/>
      <c r="BL156" s="26"/>
      <c r="BM156" s="26"/>
      <c r="BO156" s="37">
        <f t="shared" si="10"/>
        <v>0</v>
      </c>
      <c r="BP156" s="56">
        <f t="shared" si="11"/>
        <v>1</v>
      </c>
      <c r="BQ156" s="56">
        <f t="shared" si="12"/>
        <v>0</v>
      </c>
      <c r="BR156" s="57">
        <f t="shared" si="13"/>
        <v>0</v>
      </c>
      <c r="BS156" s="38"/>
      <c r="BT156" s="38"/>
      <c r="BU156" s="26"/>
      <c r="BV156" s="26"/>
      <c r="BW156" s="39">
        <f t="shared" si="14"/>
        <v>1</v>
      </c>
      <c r="BX156" s="78">
        <v>3</v>
      </c>
      <c r="BY156" s="63">
        <v>10</v>
      </c>
    </row>
    <row r="157" spans="1:81" ht="16" x14ac:dyDescent="0.2">
      <c r="A157" s="109" t="s">
        <v>271</v>
      </c>
      <c r="B157" s="26">
        <v>41</v>
      </c>
      <c r="C157" s="109" t="s">
        <v>115</v>
      </c>
      <c r="D157" s="26">
        <v>6</v>
      </c>
      <c r="E157" s="26">
        <v>2</v>
      </c>
      <c r="F157" s="26">
        <v>2</v>
      </c>
      <c r="G157" s="26" t="s">
        <v>51</v>
      </c>
      <c r="H157" s="26">
        <v>4</v>
      </c>
      <c r="I157" s="26" t="s">
        <v>51</v>
      </c>
      <c r="J157" s="26"/>
      <c r="K157" s="38" t="s">
        <v>63</v>
      </c>
      <c r="L157" s="26">
        <v>6</v>
      </c>
      <c r="M157" s="40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 t="s">
        <v>39</v>
      </c>
      <c r="AR157" s="36">
        <f>6.5/7</f>
        <v>0.9285714285714286</v>
      </c>
      <c r="AS157" s="36"/>
      <c r="AT157" s="36"/>
      <c r="AU157" s="36"/>
      <c r="AV157" s="36"/>
      <c r="AW157" s="36" t="s">
        <v>39</v>
      </c>
      <c r="AX157" s="36">
        <f>6.5/7</f>
        <v>0.9285714285714286</v>
      </c>
      <c r="AY157" s="36"/>
      <c r="AZ157" s="36"/>
      <c r="BA157" s="36"/>
      <c r="BB157" s="36"/>
      <c r="BC157" s="36"/>
      <c r="BD157" s="36"/>
      <c r="BE157" s="26"/>
      <c r="BF157" s="26"/>
      <c r="BG157" s="37"/>
      <c r="BH157" s="26"/>
      <c r="BI157" s="26">
        <v>2</v>
      </c>
      <c r="BJ157" s="26"/>
      <c r="BK157" s="26"/>
      <c r="BL157" s="26"/>
      <c r="BM157" s="26"/>
      <c r="BO157" s="37">
        <f t="shared" si="10"/>
        <v>2</v>
      </c>
      <c r="BP157" s="56">
        <f t="shared" si="11"/>
        <v>0</v>
      </c>
      <c r="BQ157" s="56">
        <f t="shared" si="12"/>
        <v>0</v>
      </c>
      <c r="BR157" s="57">
        <f t="shared" si="13"/>
        <v>0</v>
      </c>
      <c r="BS157" s="38"/>
      <c r="BT157" s="38"/>
      <c r="BU157" s="26"/>
      <c r="BV157" s="26"/>
      <c r="BW157" s="39">
        <f t="shared" si="14"/>
        <v>2</v>
      </c>
      <c r="BX157" s="78">
        <v>1</v>
      </c>
      <c r="BY157" s="63">
        <v>2</v>
      </c>
    </row>
    <row r="158" spans="1:81" ht="16" x14ac:dyDescent="0.2">
      <c r="A158" s="109" t="s">
        <v>271</v>
      </c>
      <c r="B158" s="26">
        <v>41</v>
      </c>
      <c r="C158" s="109" t="s">
        <v>115</v>
      </c>
      <c r="D158" s="26">
        <v>7</v>
      </c>
      <c r="E158" s="26">
        <v>2</v>
      </c>
      <c r="F158" s="26">
        <v>4</v>
      </c>
      <c r="G158" s="26" t="s">
        <v>56</v>
      </c>
      <c r="H158" s="26">
        <v>8</v>
      </c>
      <c r="I158" s="26" t="s">
        <v>51</v>
      </c>
      <c r="J158" s="26"/>
      <c r="K158" s="38" t="s">
        <v>63</v>
      </c>
      <c r="L158" s="26">
        <v>6</v>
      </c>
      <c r="M158" s="40"/>
      <c r="N158" s="36"/>
      <c r="O158" s="36"/>
      <c r="P158" s="36"/>
      <c r="Q158" s="36"/>
      <c r="R158" s="36"/>
      <c r="S158" s="36"/>
      <c r="T158" s="36"/>
      <c r="U158" s="36" t="s">
        <v>39</v>
      </c>
      <c r="V158" s="36">
        <f>3.5/7</f>
        <v>0.5</v>
      </c>
      <c r="W158" s="36"/>
      <c r="X158" s="36"/>
      <c r="Y158" s="36"/>
      <c r="Z158" s="36"/>
      <c r="AA158" s="36"/>
      <c r="AB158" s="36"/>
      <c r="AC158" s="36" t="s">
        <v>48</v>
      </c>
      <c r="AD158" s="36">
        <f>8/7</f>
        <v>1.1428571428571428</v>
      </c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26"/>
      <c r="BF158" s="26"/>
      <c r="BG158" s="37"/>
      <c r="BH158" s="26"/>
      <c r="BI158" s="26"/>
      <c r="BJ158" s="26">
        <v>1</v>
      </c>
      <c r="BK158" s="26">
        <v>1</v>
      </c>
      <c r="BL158" s="26"/>
      <c r="BM158" s="26"/>
      <c r="BO158" s="37">
        <f t="shared" si="10"/>
        <v>0</v>
      </c>
      <c r="BP158" s="56">
        <f t="shared" si="11"/>
        <v>1</v>
      </c>
      <c r="BQ158" s="56">
        <f t="shared" si="12"/>
        <v>1</v>
      </c>
      <c r="BR158" s="57">
        <f t="shared" si="13"/>
        <v>0</v>
      </c>
      <c r="BS158" s="38"/>
      <c r="BT158" s="38"/>
      <c r="BU158" s="26"/>
      <c r="BV158" s="26"/>
      <c r="BW158" s="39">
        <f t="shared" si="14"/>
        <v>2</v>
      </c>
      <c r="BX158" s="78">
        <v>4</v>
      </c>
      <c r="BY158" s="63">
        <v>2</v>
      </c>
    </row>
    <row r="159" spans="1:81" ht="16" x14ac:dyDescent="0.2">
      <c r="A159" s="109" t="s">
        <v>271</v>
      </c>
      <c r="B159" s="26">
        <v>42</v>
      </c>
      <c r="C159" s="109" t="s">
        <v>116</v>
      </c>
      <c r="D159" s="38">
        <v>1</v>
      </c>
      <c r="E159" s="38">
        <v>2</v>
      </c>
      <c r="F159" s="38">
        <v>2</v>
      </c>
      <c r="G159" s="38" t="s">
        <v>51</v>
      </c>
      <c r="H159" s="38">
        <v>4</v>
      </c>
      <c r="I159" s="38" t="s">
        <v>51</v>
      </c>
      <c r="J159" s="38"/>
      <c r="K159" s="38">
        <v>6</v>
      </c>
      <c r="L159" s="38">
        <v>6</v>
      </c>
      <c r="M159" s="40"/>
      <c r="N159" s="36"/>
      <c r="O159" s="36"/>
      <c r="P159" s="36"/>
      <c r="Q159" s="36"/>
      <c r="R159" s="36"/>
      <c r="S159" s="36" t="s">
        <v>39</v>
      </c>
      <c r="T159" s="36">
        <f>3/13</f>
        <v>0.23076923076923078</v>
      </c>
      <c r="U159" s="36"/>
      <c r="V159" s="36"/>
      <c r="W159" s="36"/>
      <c r="X159" s="36"/>
      <c r="Y159" s="36"/>
      <c r="Z159" s="36"/>
      <c r="AA159" s="36"/>
      <c r="AB159" s="36"/>
      <c r="AC159" s="36" t="s">
        <v>38</v>
      </c>
      <c r="AD159" s="36">
        <f>11/13</f>
        <v>0.84615384615384615</v>
      </c>
      <c r="AE159" s="36"/>
      <c r="AF159" s="36"/>
      <c r="AG159" s="36"/>
      <c r="AH159" s="36"/>
      <c r="AI159" s="36"/>
      <c r="AJ159" s="36"/>
      <c r="AK159" s="36" t="s">
        <v>39</v>
      </c>
      <c r="AL159" s="36">
        <f>3/13</f>
        <v>0.23076923076923078</v>
      </c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 t="s">
        <v>39</v>
      </c>
      <c r="AX159" s="36">
        <f>10.5/13</f>
        <v>0.80769230769230771</v>
      </c>
      <c r="AY159" s="36"/>
      <c r="AZ159" s="36"/>
      <c r="BA159" s="36"/>
      <c r="BB159" s="36"/>
      <c r="BC159" s="36" t="s">
        <v>38</v>
      </c>
      <c r="BD159" s="36">
        <f>13/13</f>
        <v>1</v>
      </c>
      <c r="BE159" s="38"/>
      <c r="BF159" s="38"/>
      <c r="BG159" s="37">
        <v>2</v>
      </c>
      <c r="BH159" s="26"/>
      <c r="BI159" s="26">
        <v>1</v>
      </c>
      <c r="BJ159" s="26"/>
      <c r="BK159" s="26"/>
      <c r="BL159" s="26"/>
      <c r="BM159" s="26"/>
      <c r="BN159" s="26"/>
      <c r="BO159" s="37">
        <f t="shared" si="10"/>
        <v>3</v>
      </c>
      <c r="BP159" s="56">
        <f t="shared" si="11"/>
        <v>0</v>
      </c>
      <c r="BQ159" s="56">
        <f t="shared" si="12"/>
        <v>0</v>
      </c>
      <c r="BR159" s="57">
        <f t="shared" si="13"/>
        <v>0</v>
      </c>
      <c r="BS159" s="38"/>
      <c r="BT159" s="38"/>
      <c r="BU159" s="26"/>
      <c r="BV159" s="26"/>
      <c r="BW159" s="39">
        <f t="shared" si="14"/>
        <v>3</v>
      </c>
      <c r="BX159" s="78">
        <v>1</v>
      </c>
      <c r="BY159" s="63">
        <v>1</v>
      </c>
      <c r="BZ159" s="7"/>
      <c r="CA159" s="8"/>
      <c r="CB159" s="7"/>
      <c r="CC159" s="7"/>
    </row>
    <row r="160" spans="1:81" ht="16" x14ac:dyDescent="0.2">
      <c r="A160" s="109" t="s">
        <v>271</v>
      </c>
      <c r="B160" s="26">
        <v>42</v>
      </c>
      <c r="C160" s="109" t="s">
        <v>116</v>
      </c>
      <c r="D160" s="38">
        <v>3</v>
      </c>
      <c r="E160" s="38">
        <v>2</v>
      </c>
      <c r="F160" s="38">
        <v>2</v>
      </c>
      <c r="G160" s="38" t="s">
        <v>51</v>
      </c>
      <c r="H160" s="38">
        <v>4</v>
      </c>
      <c r="I160" s="38" t="s">
        <v>51</v>
      </c>
      <c r="J160" s="38" t="s">
        <v>37</v>
      </c>
      <c r="K160" s="38"/>
      <c r="L160" s="38">
        <v>6</v>
      </c>
      <c r="M160" s="40"/>
      <c r="N160" s="36"/>
      <c r="O160" s="36"/>
      <c r="P160" s="36"/>
      <c r="Q160" s="36"/>
      <c r="R160" s="36"/>
      <c r="S160" s="36" t="s">
        <v>39</v>
      </c>
      <c r="T160" s="36">
        <f>13/13</f>
        <v>1</v>
      </c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 t="s">
        <v>38</v>
      </c>
      <c r="AL160" s="36">
        <f>13/13</f>
        <v>1</v>
      </c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8"/>
      <c r="BF160" s="38"/>
      <c r="BG160" s="37">
        <v>1</v>
      </c>
      <c r="BH160" s="26"/>
      <c r="BI160" s="26">
        <v>1</v>
      </c>
      <c r="BJ160" s="26"/>
      <c r="BK160" s="26"/>
      <c r="BL160" s="26"/>
      <c r="BM160" s="26"/>
      <c r="BN160" s="26"/>
      <c r="BO160" s="37">
        <f t="shared" si="10"/>
        <v>2</v>
      </c>
      <c r="BP160" s="56">
        <f t="shared" si="11"/>
        <v>0</v>
      </c>
      <c r="BQ160" s="56">
        <f t="shared" si="12"/>
        <v>0</v>
      </c>
      <c r="BR160" s="57">
        <f t="shared" si="13"/>
        <v>0</v>
      </c>
      <c r="BS160" s="38"/>
      <c r="BT160" s="38"/>
      <c r="BU160" s="26"/>
      <c r="BV160" s="26"/>
      <c r="BW160" s="39">
        <f t="shared" si="14"/>
        <v>2</v>
      </c>
      <c r="BX160" s="78">
        <v>1</v>
      </c>
      <c r="BY160" s="63">
        <v>9</v>
      </c>
      <c r="BZ160" s="7"/>
      <c r="CA160" s="8"/>
      <c r="CB160" s="7"/>
      <c r="CC160" s="7"/>
    </row>
    <row r="161" spans="1:81" ht="16" x14ac:dyDescent="0.2">
      <c r="A161" s="109" t="s">
        <v>271</v>
      </c>
      <c r="B161" s="26">
        <v>42</v>
      </c>
      <c r="C161" s="109" t="s">
        <v>116</v>
      </c>
      <c r="D161" s="38">
        <v>4</v>
      </c>
      <c r="E161" s="38">
        <v>2</v>
      </c>
      <c r="F161" s="38">
        <v>2</v>
      </c>
      <c r="G161" s="38" t="s">
        <v>51</v>
      </c>
      <c r="H161" s="38">
        <v>4</v>
      </c>
      <c r="I161" s="38" t="s">
        <v>51</v>
      </c>
      <c r="J161" s="38"/>
      <c r="K161" s="38">
        <v>10</v>
      </c>
      <c r="L161" s="38">
        <v>6</v>
      </c>
      <c r="M161" s="40"/>
      <c r="N161" s="36"/>
      <c r="O161" s="36"/>
      <c r="P161" s="36"/>
      <c r="Q161" s="36"/>
      <c r="R161" s="36"/>
      <c r="S161" s="36" t="s">
        <v>43</v>
      </c>
      <c r="T161" s="36">
        <f>7.5/13</f>
        <v>0.57692307692307687</v>
      </c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8"/>
      <c r="BF161" s="38"/>
      <c r="BG161" s="37"/>
      <c r="BH161" s="26"/>
      <c r="BI161" s="26"/>
      <c r="BJ161" s="26"/>
      <c r="BK161" s="26"/>
      <c r="BL161" s="26"/>
      <c r="BM161" s="26"/>
      <c r="BN161" s="26"/>
      <c r="BO161" s="37">
        <f t="shared" si="10"/>
        <v>0</v>
      </c>
      <c r="BP161" s="56">
        <f t="shared" si="11"/>
        <v>0</v>
      </c>
      <c r="BQ161" s="56">
        <f t="shared" si="12"/>
        <v>1</v>
      </c>
      <c r="BR161" s="57">
        <f t="shared" si="13"/>
        <v>0</v>
      </c>
      <c r="BS161" s="38">
        <v>1</v>
      </c>
      <c r="BT161" s="38"/>
      <c r="BU161" s="26"/>
      <c r="BV161" s="26"/>
      <c r="BW161" s="39">
        <f t="shared" si="14"/>
        <v>1</v>
      </c>
      <c r="BX161" s="78">
        <v>4</v>
      </c>
      <c r="BY161" s="63">
        <v>1</v>
      </c>
      <c r="BZ161" s="7"/>
      <c r="CA161" s="8"/>
      <c r="CB161" s="7"/>
      <c r="CC161" s="7"/>
    </row>
    <row r="162" spans="1:81" ht="16" x14ac:dyDescent="0.2">
      <c r="A162" s="109" t="s">
        <v>271</v>
      </c>
      <c r="B162" s="26">
        <v>42</v>
      </c>
      <c r="C162" s="109" t="s">
        <v>116</v>
      </c>
      <c r="D162" s="38">
        <v>5</v>
      </c>
      <c r="E162" s="38">
        <v>2</v>
      </c>
      <c r="F162" s="38">
        <v>2</v>
      </c>
      <c r="G162" s="38" t="s">
        <v>51</v>
      </c>
      <c r="H162" s="38">
        <v>4</v>
      </c>
      <c r="I162" s="38" t="s">
        <v>51</v>
      </c>
      <c r="J162" s="38" t="s">
        <v>41</v>
      </c>
      <c r="K162" s="38"/>
      <c r="L162" s="38">
        <v>6</v>
      </c>
      <c r="M162" s="40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 t="s">
        <v>39</v>
      </c>
      <c r="AR162" s="36">
        <f>12/13</f>
        <v>0.92307692307692313</v>
      </c>
      <c r="AS162" s="36"/>
      <c r="AT162" s="36"/>
      <c r="AU162" s="36"/>
      <c r="AV162" s="36"/>
      <c r="AW162" s="36"/>
      <c r="AX162" s="36"/>
      <c r="AY162" s="36" t="s">
        <v>39</v>
      </c>
      <c r="AZ162" s="36">
        <f>12.5/13</f>
        <v>0.96153846153846156</v>
      </c>
      <c r="BA162" s="36"/>
      <c r="BB162" s="36"/>
      <c r="BC162" s="36"/>
      <c r="BD162" s="36"/>
      <c r="BE162" s="38"/>
      <c r="BF162" s="38"/>
      <c r="BG162" s="37"/>
      <c r="BH162" s="26"/>
      <c r="BI162" s="26">
        <v>2</v>
      </c>
      <c r="BJ162" s="26"/>
      <c r="BK162" s="26"/>
      <c r="BL162" s="26"/>
      <c r="BM162" s="26"/>
      <c r="BN162" s="26"/>
      <c r="BO162" s="37">
        <f t="shared" si="10"/>
        <v>2</v>
      </c>
      <c r="BP162" s="56">
        <f t="shared" si="11"/>
        <v>0</v>
      </c>
      <c r="BQ162" s="56">
        <f t="shared" si="12"/>
        <v>0</v>
      </c>
      <c r="BR162" s="57">
        <f t="shared" si="13"/>
        <v>0</v>
      </c>
      <c r="BS162" s="38"/>
      <c r="BT162" s="38"/>
      <c r="BU162" s="26"/>
      <c r="BV162" s="26"/>
      <c r="BW162" s="39">
        <f t="shared" si="14"/>
        <v>2</v>
      </c>
      <c r="BX162" s="78">
        <v>1</v>
      </c>
      <c r="BY162" s="63">
        <v>10</v>
      </c>
      <c r="BZ162" s="7"/>
      <c r="CA162" s="8"/>
      <c r="CB162" s="7"/>
      <c r="CC162" s="7"/>
    </row>
    <row r="163" spans="1:81" ht="16" x14ac:dyDescent="0.2">
      <c r="A163" s="109" t="s">
        <v>271</v>
      </c>
      <c r="B163" s="26">
        <v>42</v>
      </c>
      <c r="C163" s="109" t="s">
        <v>116</v>
      </c>
      <c r="D163" s="38">
        <v>6</v>
      </c>
      <c r="E163" s="38">
        <v>2</v>
      </c>
      <c r="F163" s="38">
        <v>3</v>
      </c>
      <c r="G163" s="38" t="s">
        <v>50</v>
      </c>
      <c r="H163" s="38">
        <v>6</v>
      </c>
      <c r="I163" s="38" t="s">
        <v>51</v>
      </c>
      <c r="J163" s="38" t="s">
        <v>44</v>
      </c>
      <c r="K163" s="38"/>
      <c r="L163" s="38">
        <v>6</v>
      </c>
      <c r="M163" s="40"/>
      <c r="N163" s="36"/>
      <c r="O163" s="36"/>
      <c r="P163" s="36"/>
      <c r="Q163" s="36"/>
      <c r="R163" s="36"/>
      <c r="S163" s="36" t="s">
        <v>39</v>
      </c>
      <c r="T163" s="36">
        <f>10/13</f>
        <v>0.76923076923076927</v>
      </c>
      <c r="U163" s="36"/>
      <c r="V163" s="36"/>
      <c r="W163" s="36"/>
      <c r="X163" s="36"/>
      <c r="Y163" s="36"/>
      <c r="Z163" s="36"/>
      <c r="AA163" s="36" t="s">
        <v>39</v>
      </c>
      <c r="AB163" s="36">
        <f>11/13</f>
        <v>0.84615384615384615</v>
      </c>
      <c r="AC163" s="36"/>
      <c r="AD163" s="36"/>
      <c r="AE163" s="36"/>
      <c r="AF163" s="36"/>
      <c r="AG163" s="36"/>
      <c r="AH163" s="36"/>
      <c r="AI163" s="36"/>
      <c r="AJ163" s="36"/>
      <c r="AK163" s="36" t="s">
        <v>39</v>
      </c>
      <c r="AL163" s="36">
        <f>10/13</f>
        <v>0.76923076923076927</v>
      </c>
      <c r="AM163" s="36" t="s">
        <v>39</v>
      </c>
      <c r="AN163" s="36">
        <f>11/13</f>
        <v>0.84615384615384615</v>
      </c>
      <c r="AO163" s="36"/>
      <c r="AP163" s="36"/>
      <c r="AQ163" s="36"/>
      <c r="AR163" s="36"/>
      <c r="AS163" s="36"/>
      <c r="AT163" s="36"/>
      <c r="AU163" s="36" t="s">
        <v>39</v>
      </c>
      <c r="AV163" s="36">
        <f>12/13</f>
        <v>0.92307692307692313</v>
      </c>
      <c r="AW163" s="36"/>
      <c r="AX163" s="36"/>
      <c r="AY163" s="36"/>
      <c r="AZ163" s="36"/>
      <c r="BA163" s="36"/>
      <c r="BB163" s="36"/>
      <c r="BC163" s="36"/>
      <c r="BD163" s="36"/>
      <c r="BE163" s="38"/>
      <c r="BF163" s="38"/>
      <c r="BG163" s="43"/>
      <c r="BI163" s="41">
        <v>5</v>
      </c>
      <c r="BO163" s="37">
        <f t="shared" si="10"/>
        <v>5</v>
      </c>
      <c r="BP163" s="56">
        <f t="shared" si="11"/>
        <v>0</v>
      </c>
      <c r="BQ163" s="56">
        <f t="shared" si="12"/>
        <v>0</v>
      </c>
      <c r="BR163" s="57">
        <f t="shared" si="13"/>
        <v>0</v>
      </c>
      <c r="BS163" s="38"/>
      <c r="BT163" s="38"/>
      <c r="BU163" s="26"/>
      <c r="BV163" s="26"/>
      <c r="BW163" s="39">
        <f t="shared" si="14"/>
        <v>5</v>
      </c>
      <c r="BX163" s="78">
        <v>1</v>
      </c>
      <c r="BY163" s="63">
        <v>4</v>
      </c>
      <c r="BZ163" s="7"/>
      <c r="CA163" s="8"/>
      <c r="CB163" s="7"/>
      <c r="CC163" s="7"/>
    </row>
    <row r="164" spans="1:81" x14ac:dyDescent="0.2">
      <c r="A164" s="109" t="s">
        <v>272</v>
      </c>
      <c r="B164" s="26">
        <v>41</v>
      </c>
      <c r="C164" s="109" t="s">
        <v>117</v>
      </c>
      <c r="D164" s="26">
        <v>1</v>
      </c>
      <c r="E164" s="26">
        <v>2</v>
      </c>
      <c r="F164" s="26">
        <v>2</v>
      </c>
      <c r="G164" s="26" t="s">
        <v>51</v>
      </c>
      <c r="H164" s="26">
        <v>4</v>
      </c>
      <c r="I164" s="26" t="s">
        <v>51</v>
      </c>
      <c r="J164" s="26" t="s">
        <v>41</v>
      </c>
      <c r="K164" s="26"/>
      <c r="L164" s="26">
        <v>6</v>
      </c>
      <c r="M164" s="40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26"/>
      <c r="BF164" s="26"/>
      <c r="BG164" s="37"/>
      <c r="BH164" s="26"/>
      <c r="BI164" s="26"/>
      <c r="BJ164" s="26"/>
      <c r="BK164" s="26"/>
      <c r="BL164" s="26"/>
      <c r="BM164" s="26"/>
      <c r="BN164" s="26"/>
      <c r="BO164" s="37">
        <f t="shared" si="10"/>
        <v>0</v>
      </c>
      <c r="BP164" s="56">
        <f t="shared" si="11"/>
        <v>0</v>
      </c>
      <c r="BQ164" s="56">
        <f t="shared" si="12"/>
        <v>0</v>
      </c>
      <c r="BR164" s="57">
        <f t="shared" si="13"/>
        <v>0</v>
      </c>
      <c r="BS164" s="38"/>
      <c r="BT164" s="38"/>
      <c r="BU164" s="26"/>
      <c r="BV164" s="26"/>
      <c r="BW164" s="39">
        <f t="shared" si="14"/>
        <v>0</v>
      </c>
      <c r="BX164" s="78">
        <v>0</v>
      </c>
      <c r="BY164" s="63">
        <v>10</v>
      </c>
      <c r="BZ164" s="7"/>
      <c r="CA164" s="8"/>
      <c r="CB164" s="7"/>
      <c r="CC164" s="7"/>
    </row>
    <row r="165" spans="1:81" ht="16" x14ac:dyDescent="0.2">
      <c r="A165" s="109" t="s">
        <v>273</v>
      </c>
      <c r="B165" s="26">
        <v>42</v>
      </c>
      <c r="C165" s="109" t="s">
        <v>118</v>
      </c>
      <c r="D165" s="26">
        <v>1</v>
      </c>
      <c r="E165" s="26">
        <v>2</v>
      </c>
      <c r="F165" s="26"/>
      <c r="G165" s="26"/>
      <c r="H165" s="26"/>
      <c r="I165" s="26"/>
      <c r="J165" s="26" t="s">
        <v>42</v>
      </c>
      <c r="K165" s="26"/>
      <c r="L165" s="26">
        <v>5</v>
      </c>
      <c r="M165" s="40"/>
      <c r="N165" s="36"/>
      <c r="O165" s="36"/>
      <c r="P165" s="36"/>
      <c r="Q165" s="36" t="s">
        <v>39</v>
      </c>
      <c r="R165" s="36">
        <f>10/16</f>
        <v>0.625</v>
      </c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 t="s">
        <v>39</v>
      </c>
      <c r="AR165" s="36">
        <f>16/16</f>
        <v>1</v>
      </c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26"/>
      <c r="BF165" s="26"/>
      <c r="BG165" s="37"/>
      <c r="BH165" s="26"/>
      <c r="BI165" s="26">
        <v>1</v>
      </c>
      <c r="BJ165" s="26">
        <v>1</v>
      </c>
      <c r="BK165" s="26"/>
      <c r="BL165" s="26"/>
      <c r="BM165" s="26"/>
      <c r="BN165" s="26"/>
      <c r="BO165" s="37">
        <f t="shared" si="10"/>
        <v>1</v>
      </c>
      <c r="BP165" s="56">
        <f t="shared" si="11"/>
        <v>1</v>
      </c>
      <c r="BQ165" s="56">
        <f t="shared" si="12"/>
        <v>0</v>
      </c>
      <c r="BR165" s="57">
        <f t="shared" si="13"/>
        <v>0</v>
      </c>
      <c r="BS165" s="38"/>
      <c r="BT165" s="38"/>
      <c r="BU165" s="26"/>
      <c r="BV165" s="26"/>
      <c r="BW165" s="39">
        <f t="shared" si="14"/>
        <v>2</v>
      </c>
      <c r="BX165" s="78">
        <v>2</v>
      </c>
      <c r="BY165" s="63">
        <v>8</v>
      </c>
      <c r="BZ165" s="7"/>
      <c r="CA165" s="8"/>
      <c r="CB165" s="7"/>
      <c r="CC165" s="7"/>
    </row>
    <row r="166" spans="1:81" ht="16" x14ac:dyDescent="0.2">
      <c r="A166" s="109" t="s">
        <v>273</v>
      </c>
      <c r="B166" s="26">
        <v>42</v>
      </c>
      <c r="C166" s="109" t="s">
        <v>118</v>
      </c>
      <c r="D166" s="26">
        <v>2</v>
      </c>
      <c r="E166" s="26">
        <v>2</v>
      </c>
      <c r="F166" s="26"/>
      <c r="G166" s="26"/>
      <c r="H166" s="26"/>
      <c r="I166" s="26"/>
      <c r="J166" s="26" t="s">
        <v>42</v>
      </c>
      <c r="K166" s="26"/>
      <c r="L166" s="26">
        <v>5</v>
      </c>
      <c r="M166" s="40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 t="s">
        <v>38</v>
      </c>
      <c r="AB166" s="36">
        <f>16/16</f>
        <v>1</v>
      </c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 t="s">
        <v>39</v>
      </c>
      <c r="BB166" s="36">
        <f>18/16</f>
        <v>1.125</v>
      </c>
      <c r="BC166" s="36"/>
      <c r="BD166" s="36"/>
      <c r="BE166" s="26"/>
      <c r="BF166" s="26"/>
      <c r="BG166" s="37">
        <v>1</v>
      </c>
      <c r="BH166" s="26"/>
      <c r="BI166" s="26">
        <v>1</v>
      </c>
      <c r="BJ166" s="26"/>
      <c r="BK166" s="26"/>
      <c r="BL166" s="26"/>
      <c r="BM166" s="26"/>
      <c r="BN166" s="26"/>
      <c r="BO166" s="37">
        <f t="shared" si="10"/>
        <v>2</v>
      </c>
      <c r="BP166" s="56">
        <f t="shared" si="11"/>
        <v>0</v>
      </c>
      <c r="BQ166" s="56">
        <f t="shared" si="12"/>
        <v>0</v>
      </c>
      <c r="BR166" s="57">
        <f t="shared" si="13"/>
        <v>0</v>
      </c>
      <c r="BS166" s="38"/>
      <c r="BT166" s="38"/>
      <c r="BU166" s="26"/>
      <c r="BV166" s="26"/>
      <c r="BW166" s="39">
        <f t="shared" si="14"/>
        <v>2</v>
      </c>
      <c r="BX166" s="78">
        <v>1</v>
      </c>
      <c r="BY166" s="63">
        <v>8</v>
      </c>
      <c r="BZ166" s="7"/>
      <c r="CA166" s="8"/>
      <c r="CB166" s="7"/>
      <c r="CC166" s="7"/>
    </row>
    <row r="167" spans="1:81" ht="16" x14ac:dyDescent="0.2">
      <c r="A167" s="109" t="s">
        <v>273</v>
      </c>
      <c r="B167" s="26">
        <v>42</v>
      </c>
      <c r="C167" s="109" t="s">
        <v>118</v>
      </c>
      <c r="D167" s="26">
        <v>3</v>
      </c>
      <c r="E167" s="26">
        <v>2</v>
      </c>
      <c r="F167" s="26"/>
      <c r="G167" s="26"/>
      <c r="H167" s="26"/>
      <c r="I167" s="26"/>
      <c r="J167" s="26" t="s">
        <v>42</v>
      </c>
      <c r="K167" s="26"/>
      <c r="L167" s="26">
        <v>6</v>
      </c>
      <c r="M167" s="40"/>
      <c r="N167" s="36"/>
      <c r="O167" s="36"/>
      <c r="P167" s="36"/>
      <c r="Q167" s="36"/>
      <c r="R167" s="36"/>
      <c r="S167" s="36" t="s">
        <v>39</v>
      </c>
      <c r="T167" s="36">
        <f>15/16</f>
        <v>0.9375</v>
      </c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 t="s">
        <v>40</v>
      </c>
      <c r="AF167" s="36">
        <f>12/16</f>
        <v>0.75</v>
      </c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26"/>
      <c r="BF167" s="26"/>
      <c r="BG167" s="37"/>
      <c r="BH167" s="26"/>
      <c r="BI167" s="26">
        <v>1</v>
      </c>
      <c r="BJ167" s="26"/>
      <c r="BK167" s="26"/>
      <c r="BL167" s="26"/>
      <c r="BM167" s="26">
        <v>1</v>
      </c>
      <c r="BN167" s="26"/>
      <c r="BO167" s="37">
        <f t="shared" si="10"/>
        <v>1</v>
      </c>
      <c r="BP167" s="56">
        <f t="shared" si="11"/>
        <v>0</v>
      </c>
      <c r="BQ167" s="56">
        <f t="shared" si="12"/>
        <v>1</v>
      </c>
      <c r="BR167" s="57">
        <f t="shared" si="13"/>
        <v>0</v>
      </c>
      <c r="BS167" s="38"/>
      <c r="BT167" s="38"/>
      <c r="BU167" s="26"/>
      <c r="BV167" s="26"/>
      <c r="BW167" s="39">
        <f t="shared" si="14"/>
        <v>2</v>
      </c>
      <c r="BX167" s="78">
        <v>2</v>
      </c>
      <c r="BY167" s="63">
        <v>8</v>
      </c>
      <c r="BZ167" s="7"/>
      <c r="CA167" s="8"/>
      <c r="CB167" s="7"/>
      <c r="CC167" s="7"/>
    </row>
    <row r="168" spans="1:81" ht="16" x14ac:dyDescent="0.2">
      <c r="A168" s="111" t="s">
        <v>273</v>
      </c>
      <c r="B168" s="26">
        <v>42</v>
      </c>
      <c r="C168" s="109" t="s">
        <v>118</v>
      </c>
      <c r="D168" s="26">
        <v>4</v>
      </c>
      <c r="E168" s="26">
        <v>2</v>
      </c>
      <c r="F168" s="26"/>
      <c r="G168" s="26"/>
      <c r="H168" s="26"/>
      <c r="I168" s="26"/>
      <c r="J168" s="26" t="s">
        <v>60</v>
      </c>
      <c r="K168" s="26"/>
      <c r="L168" s="26">
        <v>6</v>
      </c>
      <c r="M168" s="40"/>
      <c r="N168" s="36"/>
      <c r="O168" s="36" t="s">
        <v>39</v>
      </c>
      <c r="P168" s="36">
        <f>6/16</f>
        <v>0.375</v>
      </c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 t="s">
        <v>39</v>
      </c>
      <c r="AD168" s="36">
        <f>6/16</f>
        <v>0.375</v>
      </c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 t="s">
        <v>38</v>
      </c>
      <c r="AR168" s="36">
        <f>13/16</f>
        <v>0.8125</v>
      </c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26"/>
      <c r="BF168" s="26"/>
      <c r="BG168" s="39">
        <v>1</v>
      </c>
      <c r="BH168" s="38"/>
      <c r="BI168" s="38"/>
      <c r="BJ168" s="38">
        <v>2</v>
      </c>
      <c r="BK168" s="38"/>
      <c r="BL168" s="38"/>
      <c r="BM168" s="38"/>
      <c r="BN168" s="38"/>
      <c r="BO168" s="37">
        <f t="shared" si="10"/>
        <v>1</v>
      </c>
      <c r="BP168" s="56">
        <f t="shared" si="11"/>
        <v>2</v>
      </c>
      <c r="BQ168" s="56">
        <f t="shared" si="12"/>
        <v>0</v>
      </c>
      <c r="BR168" s="57">
        <f t="shared" si="13"/>
        <v>0</v>
      </c>
      <c r="BS168" s="38"/>
      <c r="BT168" s="38"/>
      <c r="BU168" s="26"/>
      <c r="BV168" s="26"/>
      <c r="BW168" s="39">
        <f t="shared" si="14"/>
        <v>3</v>
      </c>
      <c r="BX168" s="78">
        <v>2</v>
      </c>
      <c r="BY168" s="63">
        <v>7</v>
      </c>
      <c r="BZ168" s="7"/>
      <c r="CA168" s="8"/>
      <c r="CB168" s="17"/>
      <c r="CC168" s="17"/>
    </row>
    <row r="169" spans="1:81" ht="16" x14ac:dyDescent="0.2">
      <c r="A169" s="111" t="s">
        <v>273</v>
      </c>
      <c r="B169" s="26">
        <v>42</v>
      </c>
      <c r="C169" s="109" t="s">
        <v>118</v>
      </c>
      <c r="D169" s="26">
        <v>5</v>
      </c>
      <c r="E169" s="26">
        <v>2</v>
      </c>
      <c r="F169" s="26"/>
      <c r="G169" s="26"/>
      <c r="H169" s="26"/>
      <c r="I169" s="26"/>
      <c r="J169" s="26" t="s">
        <v>60</v>
      </c>
      <c r="K169" s="26"/>
      <c r="L169" s="26">
        <v>6</v>
      </c>
      <c r="M169" s="40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 t="s">
        <v>39</v>
      </c>
      <c r="AB169" s="36">
        <f>16/16</f>
        <v>1</v>
      </c>
      <c r="AC169" s="36"/>
      <c r="AD169" s="36"/>
      <c r="AE169" s="36"/>
      <c r="AF169" s="36"/>
      <c r="AG169" s="36"/>
      <c r="AH169" s="36"/>
      <c r="AI169" s="36"/>
      <c r="AJ169" s="36"/>
      <c r="AK169" s="36" t="s">
        <v>39</v>
      </c>
      <c r="AL169" s="36">
        <f>14/16</f>
        <v>0.875</v>
      </c>
      <c r="AM169" s="36"/>
      <c r="AN169" s="36"/>
      <c r="AO169" s="36"/>
      <c r="AP169" s="36"/>
      <c r="AQ169" s="36" t="s">
        <v>55</v>
      </c>
      <c r="AR169" s="36">
        <f>11/16</f>
        <v>0.6875</v>
      </c>
      <c r="AS169" s="36"/>
      <c r="AT169" s="36"/>
      <c r="AU169" s="36" t="s">
        <v>38</v>
      </c>
      <c r="AV169" s="36">
        <f>6/16</f>
        <v>0.375</v>
      </c>
      <c r="AW169" s="36"/>
      <c r="AX169" s="36"/>
      <c r="AY169" s="36"/>
      <c r="AZ169" s="36"/>
      <c r="BA169" s="36" t="s">
        <v>38</v>
      </c>
      <c r="BB169" s="36">
        <f>24/16</f>
        <v>1.5</v>
      </c>
      <c r="BC169" s="36"/>
      <c r="BD169" s="36"/>
      <c r="BE169" s="26"/>
      <c r="BF169" s="26"/>
      <c r="BG169" s="39">
        <v>1</v>
      </c>
      <c r="BH169" s="38">
        <v>1</v>
      </c>
      <c r="BI169" s="38">
        <v>2</v>
      </c>
      <c r="BJ169" s="38"/>
      <c r="BK169" s="38"/>
      <c r="BL169" s="38">
        <v>1</v>
      </c>
      <c r="BM169" s="38"/>
      <c r="BN169" s="38"/>
      <c r="BO169" s="37">
        <f t="shared" si="10"/>
        <v>3</v>
      </c>
      <c r="BP169" s="56">
        <f t="shared" si="11"/>
        <v>1</v>
      </c>
      <c r="BQ169" s="56">
        <f t="shared" si="12"/>
        <v>0</v>
      </c>
      <c r="BR169" s="57">
        <f t="shared" si="13"/>
        <v>1</v>
      </c>
      <c r="BS169" s="38"/>
      <c r="BT169" s="38"/>
      <c r="BU169" s="26"/>
      <c r="BV169" s="26"/>
      <c r="BW169" s="39">
        <f t="shared" si="14"/>
        <v>5</v>
      </c>
      <c r="BX169" s="78">
        <v>2</v>
      </c>
      <c r="BY169" s="63">
        <v>7</v>
      </c>
      <c r="BZ169" s="7"/>
      <c r="CA169" s="8"/>
      <c r="CB169" s="17"/>
      <c r="CC169" s="17"/>
    </row>
    <row r="170" spans="1:81" ht="16" x14ac:dyDescent="0.2">
      <c r="A170" s="109" t="s">
        <v>273</v>
      </c>
      <c r="B170" s="26">
        <v>42</v>
      </c>
      <c r="C170" s="109" t="s">
        <v>119</v>
      </c>
      <c r="D170" s="26">
        <v>1</v>
      </c>
      <c r="E170" s="26">
        <v>2</v>
      </c>
      <c r="F170" s="26"/>
      <c r="G170" s="26"/>
      <c r="H170" s="26"/>
      <c r="I170" s="26"/>
      <c r="J170" s="26" t="s">
        <v>60</v>
      </c>
      <c r="K170" s="26"/>
      <c r="L170" s="26">
        <v>6</v>
      </c>
      <c r="M170" s="40"/>
      <c r="N170" s="36"/>
      <c r="O170" s="36"/>
      <c r="P170" s="36"/>
      <c r="Q170" s="36"/>
      <c r="R170" s="36"/>
      <c r="S170" s="36" t="s">
        <v>39</v>
      </c>
      <c r="T170" s="36">
        <f>18.5/16</f>
        <v>1.15625</v>
      </c>
      <c r="U170" s="36"/>
      <c r="V170" s="36"/>
      <c r="W170" s="36"/>
      <c r="X170" s="36"/>
      <c r="Y170" s="36"/>
      <c r="Z170" s="36"/>
      <c r="AA170" s="36" t="s">
        <v>38</v>
      </c>
      <c r="AB170" s="36">
        <f>16/16</f>
        <v>1</v>
      </c>
      <c r="AC170" s="36"/>
      <c r="AD170" s="36"/>
      <c r="AE170" s="36" t="s">
        <v>38</v>
      </c>
      <c r="AF170" s="36">
        <f>18/16</f>
        <v>1.125</v>
      </c>
      <c r="AG170" s="36"/>
      <c r="AH170" s="36"/>
      <c r="AI170" s="36" t="s">
        <v>38</v>
      </c>
      <c r="AJ170" s="36">
        <f>23/16</f>
        <v>1.4375</v>
      </c>
      <c r="AK170" s="36"/>
      <c r="AL170" s="36"/>
      <c r="AM170" s="36" t="s">
        <v>38</v>
      </c>
      <c r="AN170" s="36">
        <f>19/16</f>
        <v>1.1875</v>
      </c>
      <c r="AO170" s="36"/>
      <c r="AP170" s="36"/>
      <c r="AQ170" s="36" t="s">
        <v>38</v>
      </c>
      <c r="AR170" s="36">
        <f>15.5/16</f>
        <v>0.96875</v>
      </c>
      <c r="AS170" s="36"/>
      <c r="AT170" s="36"/>
      <c r="AU170" s="36"/>
      <c r="AV170" s="36"/>
      <c r="AW170" s="36"/>
      <c r="AX170" s="36"/>
      <c r="AY170" s="36"/>
      <c r="AZ170" s="36"/>
      <c r="BA170" s="36" t="s">
        <v>38</v>
      </c>
      <c r="BB170" s="36">
        <f>13.5/16</f>
        <v>0.84375</v>
      </c>
      <c r="BC170" s="36"/>
      <c r="BD170" s="36"/>
      <c r="BE170" s="26"/>
      <c r="BF170" s="26"/>
      <c r="BG170" s="37">
        <v>6</v>
      </c>
      <c r="BH170" s="26"/>
      <c r="BI170" s="26">
        <v>1</v>
      </c>
      <c r="BJ170" s="26"/>
      <c r="BK170" s="26"/>
      <c r="BL170" s="26"/>
      <c r="BM170" s="26"/>
      <c r="BN170" s="26"/>
      <c r="BO170" s="37">
        <f t="shared" si="10"/>
        <v>7</v>
      </c>
      <c r="BP170" s="56">
        <f t="shared" si="11"/>
        <v>0</v>
      </c>
      <c r="BQ170" s="56">
        <f t="shared" si="12"/>
        <v>0</v>
      </c>
      <c r="BR170" s="57">
        <f t="shared" si="13"/>
        <v>0</v>
      </c>
      <c r="BS170" s="38"/>
      <c r="BT170" s="38"/>
      <c r="BU170" s="26"/>
      <c r="BV170" s="26"/>
      <c r="BW170" s="39">
        <f t="shared" si="14"/>
        <v>7</v>
      </c>
      <c r="BX170" s="78">
        <v>1</v>
      </c>
      <c r="BY170" s="63">
        <v>7</v>
      </c>
      <c r="BZ170" s="7"/>
      <c r="CA170" s="8"/>
      <c r="CB170" s="7"/>
      <c r="CC170" s="7"/>
    </row>
    <row r="171" spans="1:81" x14ac:dyDescent="0.2">
      <c r="A171" s="109" t="s">
        <v>273</v>
      </c>
      <c r="B171" s="26">
        <v>42</v>
      </c>
      <c r="C171" s="109" t="s">
        <v>119</v>
      </c>
      <c r="D171" s="26">
        <v>4</v>
      </c>
      <c r="E171" s="26">
        <v>2</v>
      </c>
      <c r="F171" s="26"/>
      <c r="G171" s="26"/>
      <c r="H171" s="26"/>
      <c r="I171" s="26"/>
      <c r="J171" s="26" t="s">
        <v>41</v>
      </c>
      <c r="K171" s="26"/>
      <c r="L171" s="26">
        <v>5</v>
      </c>
      <c r="M171" s="40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26"/>
      <c r="BF171" s="26"/>
      <c r="BG171" s="37"/>
      <c r="BH171" s="26"/>
      <c r="BI171" s="26"/>
      <c r="BJ171" s="26"/>
      <c r="BK171" s="26"/>
      <c r="BL171" s="26"/>
      <c r="BM171" s="26"/>
      <c r="BN171" s="26"/>
      <c r="BO171" s="37">
        <f t="shared" si="10"/>
        <v>0</v>
      </c>
      <c r="BP171" s="56">
        <f t="shared" si="11"/>
        <v>0</v>
      </c>
      <c r="BQ171" s="56">
        <f t="shared" si="12"/>
        <v>0</v>
      </c>
      <c r="BR171" s="57">
        <f t="shared" si="13"/>
        <v>0</v>
      </c>
      <c r="BS171" s="38"/>
      <c r="BT171" s="38"/>
      <c r="BU171" s="26"/>
      <c r="BV171" s="26"/>
      <c r="BW171" s="39">
        <f t="shared" si="14"/>
        <v>0</v>
      </c>
      <c r="BX171" s="78">
        <v>0</v>
      </c>
      <c r="BY171" s="63">
        <v>10</v>
      </c>
      <c r="BZ171" s="7"/>
      <c r="CA171" s="8"/>
      <c r="CB171" s="7"/>
      <c r="CC171" s="7"/>
    </row>
    <row r="172" spans="1:81" ht="16" x14ac:dyDescent="0.2">
      <c r="A172" s="109" t="s">
        <v>273</v>
      </c>
      <c r="B172" s="26">
        <v>43</v>
      </c>
      <c r="C172" s="109" t="s">
        <v>120</v>
      </c>
      <c r="D172" s="38">
        <v>5</v>
      </c>
      <c r="E172" s="38">
        <v>2</v>
      </c>
      <c r="F172" s="38">
        <v>2</v>
      </c>
      <c r="G172" s="38" t="s">
        <v>51</v>
      </c>
      <c r="H172" s="38">
        <v>4</v>
      </c>
      <c r="I172" s="38" t="s">
        <v>51</v>
      </c>
      <c r="J172" s="38" t="s">
        <v>37</v>
      </c>
      <c r="K172" s="26"/>
      <c r="L172" s="38">
        <v>6</v>
      </c>
      <c r="M172" s="40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 t="s">
        <v>39</v>
      </c>
      <c r="AP172" s="36">
        <f>10/10</f>
        <v>1</v>
      </c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8"/>
      <c r="BF172" s="38"/>
      <c r="BG172" s="37"/>
      <c r="BH172" s="26"/>
      <c r="BI172" s="26">
        <v>1</v>
      </c>
      <c r="BJ172" s="26"/>
      <c r="BK172" s="26"/>
      <c r="BL172" s="26"/>
      <c r="BM172" s="26"/>
      <c r="BN172" s="26"/>
      <c r="BO172" s="37">
        <f t="shared" si="10"/>
        <v>1</v>
      </c>
      <c r="BP172" s="56">
        <f t="shared" si="11"/>
        <v>0</v>
      </c>
      <c r="BQ172" s="56">
        <f t="shared" si="12"/>
        <v>0</v>
      </c>
      <c r="BR172" s="57">
        <f t="shared" si="13"/>
        <v>0</v>
      </c>
      <c r="BS172" s="38"/>
      <c r="BT172" s="38"/>
      <c r="BU172" s="26"/>
      <c r="BV172" s="26"/>
      <c r="BW172" s="39">
        <f t="shared" si="14"/>
        <v>1</v>
      </c>
      <c r="BX172" s="78">
        <v>1</v>
      </c>
      <c r="BY172" s="63">
        <v>9</v>
      </c>
      <c r="BZ172" s="7"/>
      <c r="CA172" s="8"/>
      <c r="CB172" s="7"/>
      <c r="CC172" s="7"/>
    </row>
    <row r="173" spans="1:81" ht="16" x14ac:dyDescent="0.2">
      <c r="A173" s="109" t="s">
        <v>273</v>
      </c>
      <c r="B173" s="26">
        <v>43</v>
      </c>
      <c r="C173" s="109" t="s">
        <v>120</v>
      </c>
      <c r="D173" s="38">
        <v>7</v>
      </c>
      <c r="E173" s="38">
        <v>2</v>
      </c>
      <c r="F173" s="38">
        <v>2</v>
      </c>
      <c r="G173" s="38" t="s">
        <v>51</v>
      </c>
      <c r="H173" s="38">
        <v>4</v>
      </c>
      <c r="I173" s="38" t="s">
        <v>51</v>
      </c>
      <c r="J173" s="38" t="s">
        <v>41</v>
      </c>
      <c r="K173" s="26"/>
      <c r="L173" s="38">
        <v>6</v>
      </c>
      <c r="M173" s="40"/>
      <c r="N173" s="36"/>
      <c r="O173" s="36"/>
      <c r="P173" s="36"/>
      <c r="Q173" s="36"/>
      <c r="R173" s="36"/>
      <c r="S173" s="36"/>
      <c r="T173" s="36"/>
      <c r="U173" s="36" t="s">
        <v>57</v>
      </c>
      <c r="V173" s="36">
        <f>3.5/10</f>
        <v>0.35</v>
      </c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 t="s">
        <v>39</v>
      </c>
      <c r="AR173" s="36">
        <f>11/10</f>
        <v>1.1000000000000001</v>
      </c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8"/>
      <c r="BF173" s="38"/>
      <c r="BG173" s="37"/>
      <c r="BH173" s="26"/>
      <c r="BI173" s="26">
        <v>1</v>
      </c>
      <c r="BJ173" s="26"/>
      <c r="BK173" s="26"/>
      <c r="BL173" s="26"/>
      <c r="BM173" s="26"/>
      <c r="BN173" s="26">
        <v>1</v>
      </c>
      <c r="BO173" s="37">
        <f t="shared" si="10"/>
        <v>1</v>
      </c>
      <c r="BP173" s="56">
        <f t="shared" si="11"/>
        <v>0</v>
      </c>
      <c r="BQ173" s="56">
        <f t="shared" si="12"/>
        <v>0</v>
      </c>
      <c r="BR173" s="57">
        <f t="shared" si="13"/>
        <v>1</v>
      </c>
      <c r="BS173" s="38"/>
      <c r="BT173" s="38"/>
      <c r="BU173" s="26"/>
      <c r="BV173" s="26"/>
      <c r="BW173" s="39">
        <f t="shared" si="14"/>
        <v>2</v>
      </c>
      <c r="BX173" s="78">
        <v>2</v>
      </c>
      <c r="BY173" s="63">
        <v>10</v>
      </c>
      <c r="BZ173" s="7"/>
      <c r="CA173" s="8"/>
      <c r="CB173" s="7"/>
      <c r="CC173" s="7"/>
    </row>
    <row r="174" spans="1:81" ht="16" x14ac:dyDescent="0.2">
      <c r="A174" s="109" t="s">
        <v>273</v>
      </c>
      <c r="B174" s="26">
        <v>43</v>
      </c>
      <c r="C174" s="109" t="s">
        <v>121</v>
      </c>
      <c r="D174" s="38">
        <v>1</v>
      </c>
      <c r="E174" s="38">
        <v>2</v>
      </c>
      <c r="F174" s="38">
        <v>2</v>
      </c>
      <c r="G174" s="38" t="s">
        <v>51</v>
      </c>
      <c r="H174" s="38">
        <v>4</v>
      </c>
      <c r="I174" s="38" t="s">
        <v>51</v>
      </c>
      <c r="J174" s="38" t="s">
        <v>41</v>
      </c>
      <c r="K174" s="26"/>
      <c r="L174" s="38">
        <v>5</v>
      </c>
      <c r="M174" s="40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 t="s">
        <v>38</v>
      </c>
      <c r="AN174" s="36">
        <f>2.5/8</f>
        <v>0.3125</v>
      </c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8"/>
      <c r="BF174" s="38"/>
      <c r="BG174" s="43"/>
      <c r="BH174" s="41">
        <v>1</v>
      </c>
      <c r="BO174" s="37">
        <f t="shared" si="10"/>
        <v>0</v>
      </c>
      <c r="BP174" s="56">
        <f t="shared" si="11"/>
        <v>1</v>
      </c>
      <c r="BQ174" s="56">
        <f t="shared" si="12"/>
        <v>0</v>
      </c>
      <c r="BR174" s="57">
        <f t="shared" si="13"/>
        <v>0</v>
      </c>
      <c r="BS174" s="38"/>
      <c r="BT174" s="38"/>
      <c r="BU174" s="26"/>
      <c r="BV174" s="26"/>
      <c r="BW174" s="39">
        <f t="shared" si="14"/>
        <v>1</v>
      </c>
      <c r="BX174" s="78">
        <v>3</v>
      </c>
      <c r="BY174" s="63">
        <v>10</v>
      </c>
      <c r="BZ174" s="7"/>
      <c r="CA174" s="19"/>
      <c r="CB174" s="7"/>
      <c r="CC174" s="7"/>
    </row>
    <row r="175" spans="1:81" ht="16" x14ac:dyDescent="0.2">
      <c r="A175" s="109" t="s">
        <v>273</v>
      </c>
      <c r="B175" s="26">
        <v>43</v>
      </c>
      <c r="C175" s="109" t="s">
        <v>121</v>
      </c>
      <c r="D175" s="38">
        <v>2</v>
      </c>
      <c r="E175" s="38">
        <v>2</v>
      </c>
      <c r="F175" s="38">
        <v>2</v>
      </c>
      <c r="G175" s="38" t="s">
        <v>51</v>
      </c>
      <c r="H175" s="38">
        <v>5</v>
      </c>
      <c r="I175" s="38" t="s">
        <v>50</v>
      </c>
      <c r="J175" s="38" t="s">
        <v>60</v>
      </c>
      <c r="K175" s="26"/>
      <c r="L175" s="38">
        <v>6</v>
      </c>
      <c r="M175" s="40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 t="s">
        <v>39</v>
      </c>
      <c r="AR175" s="36">
        <f>9.5/10</f>
        <v>0.95</v>
      </c>
      <c r="AS175" s="36"/>
      <c r="AT175" s="36"/>
      <c r="AU175" s="36" t="s">
        <v>39</v>
      </c>
      <c r="AV175" s="36">
        <f>10/10</f>
        <v>1</v>
      </c>
      <c r="AW175" s="36" t="s">
        <v>38</v>
      </c>
      <c r="AX175" s="36">
        <f>7.5/10</f>
        <v>0.75</v>
      </c>
      <c r="AY175" s="36"/>
      <c r="AZ175" s="36"/>
      <c r="BA175" s="36"/>
      <c r="BB175" s="36"/>
      <c r="BC175" s="36"/>
      <c r="BD175" s="36"/>
      <c r="BE175" s="38" t="s">
        <v>39</v>
      </c>
      <c r="BF175" s="38" t="s">
        <v>46</v>
      </c>
      <c r="BG175" s="43">
        <v>1</v>
      </c>
      <c r="BI175" s="41">
        <v>2</v>
      </c>
      <c r="BO175" s="37">
        <f t="shared" si="10"/>
        <v>4</v>
      </c>
      <c r="BP175" s="56">
        <f t="shared" si="11"/>
        <v>0</v>
      </c>
      <c r="BQ175" s="56">
        <f t="shared" si="12"/>
        <v>0</v>
      </c>
      <c r="BR175" s="57">
        <f t="shared" si="13"/>
        <v>0</v>
      </c>
      <c r="BS175" s="38"/>
      <c r="BT175" s="38"/>
      <c r="BU175" s="26">
        <v>1</v>
      </c>
      <c r="BV175" s="26"/>
      <c r="BW175" s="39">
        <f t="shared" si="14"/>
        <v>4</v>
      </c>
      <c r="BX175" s="78">
        <v>1</v>
      </c>
      <c r="BY175" s="63">
        <v>7</v>
      </c>
      <c r="BZ175" s="7"/>
      <c r="CA175" s="19"/>
      <c r="CB175" s="7"/>
      <c r="CC175" s="7"/>
    </row>
    <row r="176" spans="1:81" ht="16" x14ac:dyDescent="0.2">
      <c r="A176" s="109" t="s">
        <v>273</v>
      </c>
      <c r="B176" s="26">
        <v>43</v>
      </c>
      <c r="C176" s="109" t="s">
        <v>121</v>
      </c>
      <c r="D176" s="38">
        <v>3</v>
      </c>
      <c r="E176" s="38">
        <v>2</v>
      </c>
      <c r="F176" s="38">
        <v>3</v>
      </c>
      <c r="G176" s="38" t="s">
        <v>50</v>
      </c>
      <c r="H176" s="38">
        <v>5</v>
      </c>
      <c r="I176" s="38" t="s">
        <v>51</v>
      </c>
      <c r="J176" s="38" t="s">
        <v>45</v>
      </c>
      <c r="K176" s="26"/>
      <c r="L176" s="38">
        <v>6</v>
      </c>
      <c r="M176" s="40" t="s">
        <v>38</v>
      </c>
      <c r="N176" s="36">
        <f>9/9.5</f>
        <v>0.94736842105263153</v>
      </c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 t="s">
        <v>38</v>
      </c>
      <c r="AP176" s="36">
        <f>8.5/9.5</f>
        <v>0.89473684210526316</v>
      </c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8"/>
      <c r="BF176" s="38"/>
      <c r="BG176" s="43">
        <v>2</v>
      </c>
      <c r="BO176" s="37">
        <f t="shared" si="10"/>
        <v>2</v>
      </c>
      <c r="BP176" s="56">
        <f t="shared" si="11"/>
        <v>0</v>
      </c>
      <c r="BQ176" s="56">
        <f t="shared" si="12"/>
        <v>0</v>
      </c>
      <c r="BR176" s="57">
        <f t="shared" si="13"/>
        <v>0</v>
      </c>
      <c r="BS176" s="38"/>
      <c r="BT176" s="38"/>
      <c r="BU176" s="26"/>
      <c r="BV176" s="26"/>
      <c r="BW176" s="39">
        <f t="shared" si="14"/>
        <v>2</v>
      </c>
      <c r="BX176" s="78">
        <v>1</v>
      </c>
      <c r="BY176" s="63">
        <v>5</v>
      </c>
      <c r="BZ176" s="7"/>
      <c r="CA176" s="8"/>
      <c r="CB176" s="7"/>
      <c r="CC176" s="7"/>
    </row>
    <row r="177" spans="1:81" ht="16" x14ac:dyDescent="0.2">
      <c r="A177" s="109" t="s">
        <v>273</v>
      </c>
      <c r="B177" s="26">
        <v>43</v>
      </c>
      <c r="C177" s="109" t="s">
        <v>121</v>
      </c>
      <c r="D177" s="38">
        <v>4</v>
      </c>
      <c r="E177" s="38">
        <v>2</v>
      </c>
      <c r="F177" s="38">
        <v>2</v>
      </c>
      <c r="G177" s="38" t="s">
        <v>51</v>
      </c>
      <c r="H177" s="38">
        <v>4</v>
      </c>
      <c r="I177" s="38" t="s">
        <v>51</v>
      </c>
      <c r="J177" s="38" t="s">
        <v>64</v>
      </c>
      <c r="K177" s="26"/>
      <c r="L177" s="38">
        <v>6</v>
      </c>
      <c r="M177" s="40"/>
      <c r="N177" s="36"/>
      <c r="O177" s="36" t="s">
        <v>39</v>
      </c>
      <c r="P177" s="36">
        <f>3/8</f>
        <v>0.375</v>
      </c>
      <c r="Q177" s="36"/>
      <c r="R177" s="36"/>
      <c r="S177" s="36" t="s">
        <v>39</v>
      </c>
      <c r="T177" s="36">
        <f>2.5/8</f>
        <v>0.3125</v>
      </c>
      <c r="U177" s="36" t="s">
        <v>39</v>
      </c>
      <c r="V177" s="36">
        <f>7.5/8</f>
        <v>0.9375</v>
      </c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 t="s">
        <v>39</v>
      </c>
      <c r="AT177" s="36">
        <f>7/8</f>
        <v>0.875</v>
      </c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8"/>
      <c r="BF177" s="38"/>
      <c r="BG177" s="43"/>
      <c r="BI177" s="41">
        <v>2</v>
      </c>
      <c r="BJ177" s="41">
        <v>2</v>
      </c>
      <c r="BO177" s="37">
        <f t="shared" si="10"/>
        <v>2</v>
      </c>
      <c r="BP177" s="56">
        <f t="shared" si="11"/>
        <v>2</v>
      </c>
      <c r="BQ177" s="56">
        <f t="shared" si="12"/>
        <v>0</v>
      </c>
      <c r="BR177" s="57">
        <f t="shared" si="13"/>
        <v>0</v>
      </c>
      <c r="BS177" s="38"/>
      <c r="BT177" s="38"/>
      <c r="BU177" s="26"/>
      <c r="BV177" s="26"/>
      <c r="BW177" s="39">
        <f t="shared" si="14"/>
        <v>4</v>
      </c>
      <c r="BX177" s="78">
        <v>2</v>
      </c>
      <c r="BY177" s="63">
        <v>6</v>
      </c>
      <c r="BZ177" s="7"/>
      <c r="CA177" s="8"/>
      <c r="CB177" s="7"/>
      <c r="CC177" s="7"/>
    </row>
    <row r="178" spans="1:81" ht="16" x14ac:dyDescent="0.2">
      <c r="A178" s="109" t="s">
        <v>273</v>
      </c>
      <c r="B178" s="26">
        <v>43</v>
      </c>
      <c r="C178" s="109" t="s">
        <v>121</v>
      </c>
      <c r="D178" s="38">
        <v>5</v>
      </c>
      <c r="E178" s="38">
        <v>2</v>
      </c>
      <c r="F178" s="38">
        <v>2</v>
      </c>
      <c r="G178" s="38" t="s">
        <v>51</v>
      </c>
      <c r="H178" s="38">
        <v>3</v>
      </c>
      <c r="I178" s="38" t="s">
        <v>54</v>
      </c>
      <c r="J178" s="38" t="s">
        <v>60</v>
      </c>
      <c r="K178" s="26"/>
      <c r="L178" s="38">
        <v>6</v>
      </c>
      <c r="M178" s="40"/>
      <c r="N178" s="36"/>
      <c r="O178" s="36" t="s">
        <v>38</v>
      </c>
      <c r="P178" s="36">
        <f>3/9</f>
        <v>0.33333333333333331</v>
      </c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 t="s">
        <v>39</v>
      </c>
      <c r="AF178" s="36">
        <f>9/9</f>
        <v>1</v>
      </c>
      <c r="AG178" s="36"/>
      <c r="AH178" s="36"/>
      <c r="AI178" s="36"/>
      <c r="AJ178" s="36"/>
      <c r="AK178" s="36"/>
      <c r="AL178" s="36"/>
      <c r="AM178" s="36"/>
      <c r="AN178" s="36"/>
      <c r="AO178" s="36" t="s">
        <v>39</v>
      </c>
      <c r="AP178" s="36">
        <f>9/9</f>
        <v>1</v>
      </c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8"/>
      <c r="BF178" s="38"/>
      <c r="BG178" s="43"/>
      <c r="BH178" s="41">
        <v>1</v>
      </c>
      <c r="BI178" s="41">
        <v>2</v>
      </c>
      <c r="BO178" s="37">
        <f t="shared" si="10"/>
        <v>2</v>
      </c>
      <c r="BP178" s="56">
        <f t="shared" si="11"/>
        <v>1</v>
      </c>
      <c r="BQ178" s="56">
        <f t="shared" si="12"/>
        <v>0</v>
      </c>
      <c r="BR178" s="57">
        <f t="shared" si="13"/>
        <v>0</v>
      </c>
      <c r="BS178" s="38"/>
      <c r="BT178" s="38"/>
      <c r="BU178" s="26"/>
      <c r="BV178" s="26"/>
      <c r="BW178" s="39">
        <f t="shared" si="14"/>
        <v>3</v>
      </c>
      <c r="BX178" s="78">
        <v>2</v>
      </c>
      <c r="BY178" s="63">
        <v>7</v>
      </c>
      <c r="BZ178" s="7"/>
      <c r="CA178" s="8"/>
      <c r="CB178" s="7"/>
      <c r="CC178" s="7"/>
    </row>
    <row r="179" spans="1:81" ht="16" x14ac:dyDescent="0.2">
      <c r="A179" s="109" t="s">
        <v>273</v>
      </c>
      <c r="B179" s="26">
        <v>43</v>
      </c>
      <c r="C179" s="109" t="s">
        <v>121</v>
      </c>
      <c r="D179" s="38">
        <v>7</v>
      </c>
      <c r="E179" s="38">
        <v>2</v>
      </c>
      <c r="F179" s="38">
        <v>2</v>
      </c>
      <c r="G179" s="38" t="s">
        <v>51</v>
      </c>
      <c r="H179" s="38">
        <v>4</v>
      </c>
      <c r="I179" s="38" t="s">
        <v>51</v>
      </c>
      <c r="J179" s="38" t="s">
        <v>41</v>
      </c>
      <c r="K179" s="26"/>
      <c r="L179" s="38">
        <v>5</v>
      </c>
      <c r="M179" s="40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 t="s">
        <v>38</v>
      </c>
      <c r="AB179" s="36">
        <f>11.5/10</f>
        <v>1.1499999999999999</v>
      </c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8"/>
      <c r="BF179" s="38"/>
      <c r="BG179" s="43">
        <v>1</v>
      </c>
      <c r="BO179" s="37">
        <f t="shared" si="10"/>
        <v>1</v>
      </c>
      <c r="BP179" s="56">
        <f t="shared" si="11"/>
        <v>0</v>
      </c>
      <c r="BQ179" s="56">
        <f t="shared" si="12"/>
        <v>0</v>
      </c>
      <c r="BR179" s="57">
        <f t="shared" si="13"/>
        <v>0</v>
      </c>
      <c r="BS179" s="38"/>
      <c r="BT179" s="38"/>
      <c r="BU179" s="26"/>
      <c r="BV179" s="26"/>
      <c r="BW179" s="39">
        <f t="shared" si="14"/>
        <v>1</v>
      </c>
      <c r="BX179" s="78">
        <v>1</v>
      </c>
      <c r="BY179" s="63">
        <v>10</v>
      </c>
      <c r="BZ179" s="7"/>
      <c r="CA179" s="8"/>
      <c r="CB179" s="7"/>
      <c r="CC179" s="7"/>
    </row>
    <row r="180" spans="1:81" ht="16" x14ac:dyDescent="0.2">
      <c r="A180" s="109" t="s">
        <v>273</v>
      </c>
      <c r="B180" s="26">
        <v>43</v>
      </c>
      <c r="C180" s="109" t="s">
        <v>121</v>
      </c>
      <c r="D180" s="38">
        <v>8</v>
      </c>
      <c r="E180" s="38">
        <v>2</v>
      </c>
      <c r="F180" s="38">
        <v>2</v>
      </c>
      <c r="G180" s="38" t="s">
        <v>51</v>
      </c>
      <c r="H180" s="38">
        <v>4</v>
      </c>
      <c r="I180" s="38" t="s">
        <v>51</v>
      </c>
      <c r="J180" s="38" t="s">
        <v>41</v>
      </c>
      <c r="K180" s="26"/>
      <c r="L180" s="38">
        <v>6</v>
      </c>
      <c r="M180" s="40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 t="s">
        <v>40</v>
      </c>
      <c r="AF180" s="36">
        <f>5.5/10</f>
        <v>0.55000000000000004</v>
      </c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 t="s">
        <v>38</v>
      </c>
      <c r="BD180" s="36">
        <f>8/10</f>
        <v>0.8</v>
      </c>
      <c r="BE180" s="38" t="s">
        <v>58</v>
      </c>
      <c r="BF180" s="38" t="s">
        <v>59</v>
      </c>
      <c r="BG180" s="43">
        <v>1</v>
      </c>
      <c r="BN180" s="41">
        <v>1</v>
      </c>
      <c r="BO180" s="37">
        <f t="shared" si="10"/>
        <v>1</v>
      </c>
      <c r="BP180" s="56">
        <f t="shared" si="11"/>
        <v>0</v>
      </c>
      <c r="BQ180" s="56">
        <f t="shared" si="12"/>
        <v>1</v>
      </c>
      <c r="BR180" s="57">
        <f t="shared" si="13"/>
        <v>1</v>
      </c>
      <c r="BS180" s="38"/>
      <c r="BT180" s="38"/>
      <c r="BU180" s="26"/>
      <c r="BV180" s="26">
        <v>1</v>
      </c>
      <c r="BW180" s="39">
        <f t="shared" si="14"/>
        <v>3</v>
      </c>
      <c r="BX180" s="78">
        <v>2</v>
      </c>
      <c r="BY180" s="63">
        <v>10</v>
      </c>
      <c r="BZ180" s="7"/>
      <c r="CA180" s="8"/>
      <c r="CB180" s="7"/>
      <c r="CC180" s="7"/>
    </row>
    <row r="181" spans="1:81" ht="16" x14ac:dyDescent="0.2">
      <c r="A181" s="109" t="s">
        <v>273</v>
      </c>
      <c r="B181" s="38">
        <v>44</v>
      </c>
      <c r="C181" s="111" t="s">
        <v>122</v>
      </c>
      <c r="D181" s="38">
        <v>1</v>
      </c>
      <c r="E181" s="38">
        <v>2</v>
      </c>
      <c r="F181" s="38">
        <v>2</v>
      </c>
      <c r="G181" s="38" t="s">
        <v>51</v>
      </c>
      <c r="H181" s="38">
        <v>4</v>
      </c>
      <c r="I181" s="38" t="s">
        <v>51</v>
      </c>
      <c r="J181" s="38" t="s">
        <v>42</v>
      </c>
      <c r="K181" s="26"/>
      <c r="L181" s="38">
        <v>6</v>
      </c>
      <c r="M181" s="40" t="s">
        <v>38</v>
      </c>
      <c r="N181" s="36">
        <f>9.5/10</f>
        <v>0.95</v>
      </c>
      <c r="O181" s="36" t="s">
        <v>39</v>
      </c>
      <c r="P181" s="36">
        <f>7.5/10</f>
        <v>0.75</v>
      </c>
      <c r="Q181" s="36"/>
      <c r="R181" s="36"/>
      <c r="S181" s="36"/>
      <c r="T181" s="36"/>
      <c r="U181" s="36"/>
      <c r="V181" s="36"/>
      <c r="W181" s="36" t="s">
        <v>38</v>
      </c>
      <c r="X181" s="36">
        <f>7/10</f>
        <v>0.7</v>
      </c>
      <c r="Y181" s="36"/>
      <c r="Z181" s="36"/>
      <c r="AA181" s="36"/>
      <c r="AB181" s="36"/>
      <c r="AC181" s="36"/>
      <c r="AD181" s="36"/>
      <c r="AE181" s="36"/>
      <c r="AF181" s="36"/>
      <c r="AG181" s="36" t="s">
        <v>38</v>
      </c>
      <c r="AH181" s="36">
        <f>8.5/10</f>
        <v>0.85</v>
      </c>
      <c r="AI181" s="36"/>
      <c r="AJ181" s="36"/>
      <c r="AK181" s="36" t="s">
        <v>39</v>
      </c>
      <c r="AL181" s="36">
        <f>10.5/10</f>
        <v>1.05</v>
      </c>
      <c r="AM181" s="36"/>
      <c r="AN181" s="36"/>
      <c r="AO181" s="36"/>
      <c r="AP181" s="36"/>
      <c r="AQ181" s="36"/>
      <c r="AR181" s="36"/>
      <c r="AS181" s="36"/>
      <c r="AT181" s="36"/>
      <c r="AU181" s="36" t="s">
        <v>39</v>
      </c>
      <c r="AV181" s="36">
        <f>7/10</f>
        <v>0.7</v>
      </c>
      <c r="AW181" s="36"/>
      <c r="AX181" s="36"/>
      <c r="AY181" s="36"/>
      <c r="AZ181" s="36"/>
      <c r="BA181" s="36" t="s">
        <v>38</v>
      </c>
      <c r="BB181" s="36">
        <f>5/10</f>
        <v>0.5</v>
      </c>
      <c r="BC181" s="36" t="s">
        <v>38</v>
      </c>
      <c r="BD181" s="36">
        <f>7/10</f>
        <v>0.7</v>
      </c>
      <c r="BE181" s="38"/>
      <c r="BF181" s="38"/>
      <c r="BG181" s="39">
        <v>4</v>
      </c>
      <c r="BH181" s="38">
        <v>1</v>
      </c>
      <c r="BI181" s="38">
        <v>3</v>
      </c>
      <c r="BJ181" s="38"/>
      <c r="BK181" s="38"/>
      <c r="BL181" s="38"/>
      <c r="BM181" s="38"/>
      <c r="BN181" s="38"/>
      <c r="BO181" s="37">
        <f t="shared" si="10"/>
        <v>7</v>
      </c>
      <c r="BP181" s="56">
        <f t="shared" si="11"/>
        <v>1</v>
      </c>
      <c r="BQ181" s="56">
        <f t="shared" si="12"/>
        <v>0</v>
      </c>
      <c r="BR181" s="57">
        <f t="shared" si="13"/>
        <v>0</v>
      </c>
      <c r="BS181" s="38"/>
      <c r="BT181" s="38"/>
      <c r="BU181" s="26"/>
      <c r="BV181" s="26"/>
      <c r="BW181" s="39">
        <f t="shared" si="14"/>
        <v>8</v>
      </c>
      <c r="BX181" s="78">
        <v>2</v>
      </c>
      <c r="BY181" s="63">
        <v>8</v>
      </c>
      <c r="BZ181" s="7"/>
      <c r="CA181" s="8"/>
      <c r="CB181" s="7"/>
      <c r="CC181" s="7"/>
    </row>
    <row r="182" spans="1:81" ht="16" x14ac:dyDescent="0.2">
      <c r="A182" s="109" t="s">
        <v>273</v>
      </c>
      <c r="B182" s="38">
        <v>44</v>
      </c>
      <c r="C182" s="111" t="s">
        <v>122</v>
      </c>
      <c r="D182" s="38">
        <v>4</v>
      </c>
      <c r="E182" s="38">
        <v>2</v>
      </c>
      <c r="F182" s="38">
        <v>2</v>
      </c>
      <c r="G182" s="38" t="s">
        <v>51</v>
      </c>
      <c r="H182" s="38">
        <v>4</v>
      </c>
      <c r="I182" s="38" t="s">
        <v>51</v>
      </c>
      <c r="J182" s="38" t="s">
        <v>60</v>
      </c>
      <c r="K182" s="26"/>
      <c r="L182" s="38">
        <v>6</v>
      </c>
      <c r="M182" s="40"/>
      <c r="N182" s="36"/>
      <c r="O182" s="36"/>
      <c r="P182" s="36"/>
      <c r="Q182" s="36" t="s">
        <v>38</v>
      </c>
      <c r="R182" s="36">
        <f>8.5/9</f>
        <v>0.94444444444444442</v>
      </c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 t="s">
        <v>38</v>
      </c>
      <c r="AR182" s="36">
        <f>9/9</f>
        <v>1</v>
      </c>
      <c r="AS182" s="36"/>
      <c r="AT182" s="36"/>
      <c r="AU182" s="36"/>
      <c r="AV182" s="36"/>
      <c r="AW182" s="36" t="s">
        <v>39</v>
      </c>
      <c r="AX182" s="36">
        <f>8/9</f>
        <v>0.88888888888888884</v>
      </c>
      <c r="AY182" s="36"/>
      <c r="AZ182" s="36"/>
      <c r="BA182" s="36"/>
      <c r="BB182" s="36"/>
      <c r="BC182" s="36"/>
      <c r="BD182" s="36"/>
      <c r="BE182" s="38"/>
      <c r="BF182" s="38"/>
      <c r="BG182" s="39">
        <v>2</v>
      </c>
      <c r="BH182" s="38"/>
      <c r="BI182" s="38">
        <v>1</v>
      </c>
      <c r="BJ182" s="38"/>
      <c r="BK182" s="38"/>
      <c r="BL182" s="38"/>
      <c r="BM182" s="38"/>
      <c r="BN182" s="38"/>
      <c r="BO182" s="37">
        <f t="shared" si="10"/>
        <v>3</v>
      </c>
      <c r="BP182" s="56">
        <f t="shared" si="11"/>
        <v>0</v>
      </c>
      <c r="BQ182" s="56">
        <f t="shared" si="12"/>
        <v>0</v>
      </c>
      <c r="BR182" s="57">
        <f t="shared" si="13"/>
        <v>0</v>
      </c>
      <c r="BS182" s="38"/>
      <c r="BT182" s="38"/>
      <c r="BU182" s="26"/>
      <c r="BV182" s="26"/>
      <c r="BW182" s="39">
        <f t="shared" si="14"/>
        <v>3</v>
      </c>
      <c r="BX182" s="78">
        <v>1</v>
      </c>
      <c r="BY182" s="63">
        <v>7</v>
      </c>
      <c r="BZ182" s="7"/>
      <c r="CA182" s="8"/>
      <c r="CB182" s="7"/>
      <c r="CC182" s="7"/>
    </row>
    <row r="183" spans="1:81" ht="16" x14ac:dyDescent="0.2">
      <c r="A183" s="109" t="s">
        <v>274</v>
      </c>
      <c r="B183" s="26">
        <v>38</v>
      </c>
      <c r="C183" s="109" t="s">
        <v>123</v>
      </c>
      <c r="D183" s="26">
        <v>2</v>
      </c>
      <c r="E183" s="26">
        <v>2</v>
      </c>
      <c r="F183" s="26">
        <v>2</v>
      </c>
      <c r="G183" s="26" t="s">
        <v>51</v>
      </c>
      <c r="H183" s="26">
        <v>4</v>
      </c>
      <c r="I183" s="26" t="s">
        <v>51</v>
      </c>
      <c r="J183" s="26" t="s">
        <v>41</v>
      </c>
      <c r="K183" s="26"/>
      <c r="L183" s="26">
        <v>5</v>
      </c>
      <c r="M183" s="40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 t="s">
        <v>38</v>
      </c>
      <c r="AB183" s="36">
        <f>8/8</f>
        <v>1</v>
      </c>
      <c r="AC183" s="36"/>
      <c r="AD183" s="36"/>
      <c r="AE183" s="36"/>
      <c r="AF183" s="36"/>
      <c r="AG183" s="36" t="s">
        <v>55</v>
      </c>
      <c r="AH183" s="36">
        <f>12/8</f>
        <v>1.5</v>
      </c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 t="s">
        <v>39</v>
      </c>
      <c r="BD183" s="36">
        <f>7/8</f>
        <v>0.875</v>
      </c>
      <c r="BE183" s="26"/>
      <c r="BF183" s="26"/>
      <c r="BG183" s="37">
        <v>1</v>
      </c>
      <c r="BH183" s="26"/>
      <c r="BI183" s="26">
        <v>1</v>
      </c>
      <c r="BJ183" s="26"/>
      <c r="BK183" s="26">
        <v>1</v>
      </c>
      <c r="BL183" s="26"/>
      <c r="BM183" s="26"/>
      <c r="BO183" s="37">
        <f t="shared" si="10"/>
        <v>2</v>
      </c>
      <c r="BP183" s="56">
        <f t="shared" si="11"/>
        <v>0</v>
      </c>
      <c r="BQ183" s="56">
        <f t="shared" si="12"/>
        <v>1</v>
      </c>
      <c r="BR183" s="57">
        <f t="shared" si="13"/>
        <v>0</v>
      </c>
      <c r="BS183" s="38"/>
      <c r="BT183" s="38"/>
      <c r="BU183" s="26"/>
      <c r="BV183" s="26"/>
      <c r="BW183" s="39">
        <f t="shared" si="14"/>
        <v>3</v>
      </c>
      <c r="BX183" s="78">
        <v>2</v>
      </c>
      <c r="BY183" s="63">
        <v>10</v>
      </c>
    </row>
    <row r="184" spans="1:81" x14ac:dyDescent="0.2">
      <c r="A184" s="109" t="s">
        <v>274</v>
      </c>
      <c r="B184" s="26">
        <v>38</v>
      </c>
      <c r="C184" s="109" t="s">
        <v>123</v>
      </c>
      <c r="D184" s="26">
        <v>4</v>
      </c>
      <c r="E184" s="26">
        <v>2</v>
      </c>
      <c r="F184" s="26">
        <v>2</v>
      </c>
      <c r="G184" s="26" t="s">
        <v>51</v>
      </c>
      <c r="H184" s="26">
        <v>4</v>
      </c>
      <c r="I184" s="26" t="s">
        <v>51</v>
      </c>
      <c r="J184" s="26" t="s">
        <v>60</v>
      </c>
      <c r="K184" s="26"/>
      <c r="L184" s="26">
        <v>6</v>
      </c>
      <c r="M184" s="40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26"/>
      <c r="BF184" s="26"/>
      <c r="BG184" s="37"/>
      <c r="BH184" s="26"/>
      <c r="BI184" s="26"/>
      <c r="BJ184" s="26"/>
      <c r="BK184" s="26"/>
      <c r="BL184" s="26"/>
      <c r="BM184" s="26"/>
      <c r="BO184" s="37">
        <f t="shared" si="10"/>
        <v>0</v>
      </c>
      <c r="BP184" s="56">
        <f t="shared" si="11"/>
        <v>0</v>
      </c>
      <c r="BQ184" s="56">
        <f t="shared" si="12"/>
        <v>0</v>
      </c>
      <c r="BR184" s="57">
        <f t="shared" si="13"/>
        <v>0</v>
      </c>
      <c r="BS184" s="38"/>
      <c r="BT184" s="38"/>
      <c r="BU184" s="26"/>
      <c r="BV184" s="26"/>
      <c r="BW184" s="39">
        <f t="shared" si="14"/>
        <v>0</v>
      </c>
      <c r="BX184" s="78">
        <v>0</v>
      </c>
      <c r="BY184" s="63">
        <v>7</v>
      </c>
    </row>
    <row r="185" spans="1:81" x14ac:dyDescent="0.2">
      <c r="A185" s="109" t="s">
        <v>274</v>
      </c>
      <c r="B185" s="26">
        <v>38</v>
      </c>
      <c r="C185" s="109" t="s">
        <v>123</v>
      </c>
      <c r="D185" s="26">
        <v>5</v>
      </c>
      <c r="E185" s="26">
        <v>2</v>
      </c>
      <c r="F185" s="26">
        <v>2</v>
      </c>
      <c r="G185" s="26" t="s">
        <v>51</v>
      </c>
      <c r="H185" s="26">
        <v>4</v>
      </c>
      <c r="I185" s="26" t="s">
        <v>51</v>
      </c>
      <c r="J185" s="26" t="s">
        <v>69</v>
      </c>
      <c r="K185" s="26"/>
      <c r="L185" s="26">
        <v>5</v>
      </c>
      <c r="M185" s="40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26"/>
      <c r="BF185" s="26"/>
      <c r="BG185" s="37"/>
      <c r="BH185" s="26"/>
      <c r="BI185" s="26"/>
      <c r="BJ185" s="26"/>
      <c r="BK185" s="26"/>
      <c r="BL185" s="26"/>
      <c r="BM185" s="26"/>
      <c r="BO185" s="37">
        <f t="shared" si="10"/>
        <v>0</v>
      </c>
      <c r="BP185" s="56">
        <f t="shared" si="11"/>
        <v>0</v>
      </c>
      <c r="BQ185" s="56">
        <f t="shared" si="12"/>
        <v>0</v>
      </c>
      <c r="BR185" s="57">
        <f t="shared" si="13"/>
        <v>0</v>
      </c>
      <c r="BS185" s="38"/>
      <c r="BT185" s="38"/>
      <c r="BU185" s="26"/>
      <c r="BV185" s="26"/>
      <c r="BW185" s="39">
        <f t="shared" si="14"/>
        <v>0</v>
      </c>
      <c r="BX185" s="78">
        <v>0</v>
      </c>
      <c r="BY185" s="63">
        <v>12</v>
      </c>
    </row>
    <row r="186" spans="1:81" ht="16" x14ac:dyDescent="0.2">
      <c r="A186" s="109" t="s">
        <v>274</v>
      </c>
      <c r="B186" s="26">
        <v>38</v>
      </c>
      <c r="C186" s="109" t="s">
        <v>123</v>
      </c>
      <c r="D186" s="26">
        <v>6</v>
      </c>
      <c r="E186" s="26">
        <v>2</v>
      </c>
      <c r="F186" s="26">
        <v>1</v>
      </c>
      <c r="G186" s="26" t="s">
        <v>54</v>
      </c>
      <c r="H186" s="26">
        <v>1</v>
      </c>
      <c r="I186" s="26" t="s">
        <v>54</v>
      </c>
      <c r="J186" s="26"/>
      <c r="K186" s="38" t="s">
        <v>63</v>
      </c>
      <c r="L186" s="26">
        <v>6</v>
      </c>
      <c r="M186" s="40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 t="s">
        <v>39</v>
      </c>
      <c r="AN186" s="36">
        <f>6.5/6.5</f>
        <v>1</v>
      </c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26"/>
      <c r="BF186" s="26"/>
      <c r="BG186" s="37"/>
      <c r="BH186" s="26"/>
      <c r="BI186" s="26">
        <v>1</v>
      </c>
      <c r="BJ186" s="26"/>
      <c r="BK186" s="26"/>
      <c r="BL186" s="26"/>
      <c r="BM186" s="26"/>
      <c r="BO186" s="37">
        <f t="shared" si="10"/>
        <v>1</v>
      </c>
      <c r="BP186" s="56">
        <f t="shared" si="11"/>
        <v>0</v>
      </c>
      <c r="BQ186" s="56">
        <f t="shared" si="12"/>
        <v>0</v>
      </c>
      <c r="BR186" s="57">
        <f t="shared" si="13"/>
        <v>0</v>
      </c>
      <c r="BS186" s="38"/>
      <c r="BT186" s="38"/>
      <c r="BU186" s="26"/>
      <c r="BV186" s="26"/>
      <c r="BW186" s="39">
        <f t="shared" si="14"/>
        <v>1</v>
      </c>
      <c r="BX186" s="78">
        <v>1</v>
      </c>
      <c r="BY186" s="63">
        <v>2</v>
      </c>
    </row>
    <row r="187" spans="1:81" ht="16" x14ac:dyDescent="0.2">
      <c r="A187" s="109" t="s">
        <v>274</v>
      </c>
      <c r="B187" s="26">
        <v>38</v>
      </c>
      <c r="C187" s="109" t="s">
        <v>123</v>
      </c>
      <c r="D187" s="26">
        <v>7</v>
      </c>
      <c r="E187" s="26">
        <v>2</v>
      </c>
      <c r="F187" s="26">
        <v>2</v>
      </c>
      <c r="G187" s="26" t="s">
        <v>51</v>
      </c>
      <c r="H187" s="26">
        <v>4</v>
      </c>
      <c r="I187" s="26" t="s">
        <v>51</v>
      </c>
      <c r="J187" s="26" t="s">
        <v>60</v>
      </c>
      <c r="K187" s="26"/>
      <c r="L187" s="26">
        <v>6</v>
      </c>
      <c r="M187" s="40"/>
      <c r="N187" s="36"/>
      <c r="O187" s="36"/>
      <c r="P187" s="36"/>
      <c r="Q187" s="36"/>
      <c r="R187" s="36"/>
      <c r="S187" s="36" t="s">
        <v>39</v>
      </c>
      <c r="T187" s="36">
        <f>2.5/7.5</f>
        <v>0.33333333333333331</v>
      </c>
      <c r="U187" s="36" t="s">
        <v>38</v>
      </c>
      <c r="V187" s="36">
        <f>3/7.5</f>
        <v>0.4</v>
      </c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 t="s">
        <v>38</v>
      </c>
      <c r="AR187" s="36">
        <f>9.5/7.5</f>
        <v>1.2666666666666666</v>
      </c>
      <c r="AS187" s="36"/>
      <c r="AT187" s="36"/>
      <c r="AU187" s="36"/>
      <c r="AV187" s="36"/>
      <c r="AW187" s="36"/>
      <c r="AX187" s="36"/>
      <c r="AY187" s="36" t="s">
        <v>38</v>
      </c>
      <c r="AZ187" s="36">
        <f>4/7.5</f>
        <v>0.53333333333333333</v>
      </c>
      <c r="BA187" s="36"/>
      <c r="BB187" s="36"/>
      <c r="BC187" s="36"/>
      <c r="BD187" s="36"/>
      <c r="BE187" s="26"/>
      <c r="BF187" s="26"/>
      <c r="BG187" s="37">
        <v>1</v>
      </c>
      <c r="BH187" s="26">
        <v>2</v>
      </c>
      <c r="BI187" s="26"/>
      <c r="BJ187" s="26">
        <v>1</v>
      </c>
      <c r="BK187" s="26"/>
      <c r="BL187" s="26"/>
      <c r="BM187" s="26"/>
      <c r="BO187" s="37">
        <f t="shared" si="10"/>
        <v>1</v>
      </c>
      <c r="BP187" s="56">
        <f t="shared" si="11"/>
        <v>3</v>
      </c>
      <c r="BQ187" s="56">
        <f t="shared" si="12"/>
        <v>0</v>
      </c>
      <c r="BR187" s="57">
        <f t="shared" si="13"/>
        <v>0</v>
      </c>
      <c r="BS187" s="38"/>
      <c r="BT187" s="38"/>
      <c r="BU187" s="26"/>
      <c r="BV187" s="26"/>
      <c r="BW187" s="39">
        <f t="shared" si="14"/>
        <v>4</v>
      </c>
      <c r="BX187" s="78">
        <v>2</v>
      </c>
      <c r="BY187" s="63">
        <v>7</v>
      </c>
    </row>
    <row r="188" spans="1:81" x14ac:dyDescent="0.2">
      <c r="A188" s="109" t="s">
        <v>274</v>
      </c>
      <c r="B188" s="26">
        <v>38</v>
      </c>
      <c r="C188" s="109" t="s">
        <v>123</v>
      </c>
      <c r="D188" s="26">
        <v>8</v>
      </c>
      <c r="E188" s="26">
        <v>2</v>
      </c>
      <c r="F188" s="26">
        <v>2</v>
      </c>
      <c r="G188" s="26" t="s">
        <v>51</v>
      </c>
      <c r="H188" s="26">
        <v>4</v>
      </c>
      <c r="I188" s="26" t="s">
        <v>51</v>
      </c>
      <c r="J188" s="26" t="s">
        <v>41</v>
      </c>
      <c r="K188" s="26"/>
      <c r="L188" s="26">
        <v>5</v>
      </c>
      <c r="M188" s="40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26"/>
      <c r="BF188" s="26"/>
      <c r="BG188" s="37"/>
      <c r="BH188" s="26"/>
      <c r="BI188" s="26"/>
      <c r="BJ188" s="26"/>
      <c r="BK188" s="26"/>
      <c r="BL188" s="26"/>
      <c r="BM188" s="26"/>
      <c r="BO188" s="37">
        <f t="shared" si="10"/>
        <v>0</v>
      </c>
      <c r="BP188" s="56">
        <f t="shared" si="11"/>
        <v>0</v>
      </c>
      <c r="BQ188" s="56">
        <f t="shared" si="12"/>
        <v>0</v>
      </c>
      <c r="BR188" s="57">
        <f t="shared" si="13"/>
        <v>0</v>
      </c>
      <c r="BS188" s="38"/>
      <c r="BT188" s="38"/>
      <c r="BU188" s="26"/>
      <c r="BV188" s="26"/>
      <c r="BW188" s="39">
        <f t="shared" si="14"/>
        <v>0</v>
      </c>
      <c r="BX188" s="78">
        <v>0</v>
      </c>
      <c r="BY188" s="63">
        <v>10</v>
      </c>
    </row>
    <row r="189" spans="1:81" ht="16" x14ac:dyDescent="0.2">
      <c r="A189" s="109" t="s">
        <v>274</v>
      </c>
      <c r="B189" s="26">
        <v>38</v>
      </c>
      <c r="C189" s="109" t="s">
        <v>123</v>
      </c>
      <c r="D189" s="26">
        <v>9</v>
      </c>
      <c r="E189" s="26">
        <v>2</v>
      </c>
      <c r="F189" s="26">
        <v>2</v>
      </c>
      <c r="G189" s="26" t="s">
        <v>51</v>
      </c>
      <c r="H189" s="26">
        <v>4</v>
      </c>
      <c r="I189" s="26" t="s">
        <v>51</v>
      </c>
      <c r="J189" s="26" t="s">
        <v>65</v>
      </c>
      <c r="K189" s="26"/>
      <c r="L189" s="26">
        <v>5</v>
      </c>
      <c r="M189" s="40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 t="s">
        <v>38</v>
      </c>
      <c r="AR189" s="36">
        <f>7/7.5</f>
        <v>0.93333333333333335</v>
      </c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26"/>
      <c r="BF189" s="26"/>
      <c r="BG189" s="37">
        <v>1</v>
      </c>
      <c r="BH189" s="26"/>
      <c r="BI189" s="26"/>
      <c r="BJ189" s="26"/>
      <c r="BK189" s="26"/>
      <c r="BL189" s="26"/>
      <c r="BM189" s="26"/>
      <c r="BO189" s="37">
        <f t="shared" si="10"/>
        <v>1</v>
      </c>
      <c r="BP189" s="56">
        <f t="shared" si="11"/>
        <v>0</v>
      </c>
      <c r="BQ189" s="56">
        <f t="shared" si="12"/>
        <v>0</v>
      </c>
      <c r="BR189" s="57">
        <f t="shared" si="13"/>
        <v>0</v>
      </c>
      <c r="BS189" s="38"/>
      <c r="BT189" s="38"/>
      <c r="BU189" s="26"/>
      <c r="BV189" s="26"/>
      <c r="BW189" s="39">
        <f t="shared" si="14"/>
        <v>1</v>
      </c>
      <c r="BX189" s="78">
        <v>1</v>
      </c>
      <c r="BY189" s="63">
        <v>11</v>
      </c>
    </row>
    <row r="190" spans="1:81" ht="16" x14ac:dyDescent="0.2">
      <c r="A190" s="109" t="s">
        <v>274</v>
      </c>
      <c r="B190" s="26">
        <v>38</v>
      </c>
      <c r="C190" s="109" t="s">
        <v>123</v>
      </c>
      <c r="D190" s="26">
        <v>10</v>
      </c>
      <c r="E190" s="26">
        <v>2</v>
      </c>
      <c r="F190" s="26">
        <v>2</v>
      </c>
      <c r="G190" s="26" t="s">
        <v>51</v>
      </c>
      <c r="H190" s="26">
        <v>4</v>
      </c>
      <c r="I190" s="26" t="s">
        <v>51</v>
      </c>
      <c r="J190" s="26" t="s">
        <v>60</v>
      </c>
      <c r="K190" s="26"/>
      <c r="L190" s="26">
        <v>6</v>
      </c>
      <c r="M190" s="40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 t="s">
        <v>39</v>
      </c>
      <c r="Z190" s="36">
        <f>6.5/7</f>
        <v>0.9285714285714286</v>
      </c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26"/>
      <c r="BF190" s="26"/>
      <c r="BG190" s="39"/>
      <c r="BH190" s="38"/>
      <c r="BI190" s="38">
        <v>1</v>
      </c>
      <c r="BJ190" s="38"/>
      <c r="BK190" s="38"/>
      <c r="BL190" s="38"/>
      <c r="BM190" s="38"/>
      <c r="BO190" s="37">
        <f t="shared" si="10"/>
        <v>1</v>
      </c>
      <c r="BP190" s="56">
        <f t="shared" si="11"/>
        <v>0</v>
      </c>
      <c r="BQ190" s="56">
        <f t="shared" si="12"/>
        <v>0</v>
      </c>
      <c r="BR190" s="57">
        <f t="shared" si="13"/>
        <v>0</v>
      </c>
      <c r="BS190" s="38"/>
      <c r="BT190" s="38"/>
      <c r="BU190" s="26"/>
      <c r="BV190" s="26"/>
      <c r="BW190" s="39">
        <f t="shared" si="14"/>
        <v>1</v>
      </c>
      <c r="BX190" s="78">
        <v>1</v>
      </c>
      <c r="BY190" s="63">
        <v>7</v>
      </c>
    </row>
    <row r="191" spans="1:81" ht="16" x14ac:dyDescent="0.2">
      <c r="A191" s="109" t="s">
        <v>274</v>
      </c>
      <c r="B191" s="26">
        <v>38</v>
      </c>
      <c r="C191" s="109" t="s">
        <v>123</v>
      </c>
      <c r="D191" s="26">
        <v>11</v>
      </c>
      <c r="E191" s="26">
        <v>2</v>
      </c>
      <c r="F191" s="26">
        <v>2</v>
      </c>
      <c r="G191" s="26" t="s">
        <v>51</v>
      </c>
      <c r="H191" s="26">
        <v>4</v>
      </c>
      <c r="I191" s="26" t="s">
        <v>51</v>
      </c>
      <c r="J191" s="26"/>
      <c r="K191" s="38" t="s">
        <v>63</v>
      </c>
      <c r="L191" s="26">
        <v>6</v>
      </c>
      <c r="M191" s="40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 t="s">
        <v>57</v>
      </c>
      <c r="AV191" s="36">
        <f>7/7</f>
        <v>1</v>
      </c>
      <c r="AW191" s="36"/>
      <c r="AX191" s="36"/>
      <c r="AY191" s="36"/>
      <c r="AZ191" s="36"/>
      <c r="BA191" s="36"/>
      <c r="BB191" s="36"/>
      <c r="BC191" s="36"/>
      <c r="BD191" s="36"/>
      <c r="BE191" s="26"/>
      <c r="BF191" s="26"/>
      <c r="BG191" s="39"/>
      <c r="BH191" s="38"/>
      <c r="BI191" s="38"/>
      <c r="BJ191" s="38"/>
      <c r="BK191" s="38"/>
      <c r="BL191" s="38"/>
      <c r="BM191" s="38">
        <v>1</v>
      </c>
      <c r="BO191" s="37">
        <f t="shared" si="10"/>
        <v>0</v>
      </c>
      <c r="BP191" s="56">
        <f t="shared" si="11"/>
        <v>0</v>
      </c>
      <c r="BQ191" s="56">
        <f t="shared" si="12"/>
        <v>1</v>
      </c>
      <c r="BR191" s="57">
        <f t="shared" si="13"/>
        <v>0</v>
      </c>
      <c r="BS191" s="38"/>
      <c r="BT191" s="38"/>
      <c r="BU191" s="26"/>
      <c r="BV191" s="26"/>
      <c r="BW191" s="39">
        <f t="shared" si="14"/>
        <v>1</v>
      </c>
      <c r="BX191" s="78">
        <v>4</v>
      </c>
      <c r="BY191" s="63">
        <v>2</v>
      </c>
    </row>
    <row r="192" spans="1:81" ht="16" x14ac:dyDescent="0.2">
      <c r="A192" s="109" t="s">
        <v>274</v>
      </c>
      <c r="B192" s="26">
        <v>38</v>
      </c>
      <c r="C192" s="109" t="s">
        <v>123</v>
      </c>
      <c r="D192" s="26">
        <v>12</v>
      </c>
      <c r="E192" s="26">
        <v>2</v>
      </c>
      <c r="F192" s="26">
        <v>4</v>
      </c>
      <c r="G192" s="26" t="s">
        <v>50</v>
      </c>
      <c r="H192" s="26">
        <v>4</v>
      </c>
      <c r="I192" s="26" t="s">
        <v>54</v>
      </c>
      <c r="J192" s="26"/>
      <c r="K192" s="26" t="s">
        <v>47</v>
      </c>
      <c r="L192" s="26">
        <v>6</v>
      </c>
      <c r="M192" s="40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 t="s">
        <v>38</v>
      </c>
      <c r="BD192" s="36">
        <f>7/7</f>
        <v>1</v>
      </c>
      <c r="BE192" s="26"/>
      <c r="BF192" s="26"/>
      <c r="BG192" s="37">
        <v>1</v>
      </c>
      <c r="BH192" s="26"/>
      <c r="BI192" s="26"/>
      <c r="BJ192" s="26"/>
      <c r="BK192" s="26"/>
      <c r="BL192" s="26"/>
      <c r="BM192" s="26"/>
      <c r="BN192" s="26"/>
      <c r="BO192" s="37">
        <f t="shared" si="10"/>
        <v>1</v>
      </c>
      <c r="BP192" s="56">
        <f t="shared" si="11"/>
        <v>0</v>
      </c>
      <c r="BQ192" s="56">
        <f t="shared" si="12"/>
        <v>0</v>
      </c>
      <c r="BR192" s="57">
        <f t="shared" si="13"/>
        <v>0</v>
      </c>
      <c r="BS192" s="38"/>
      <c r="BT192" s="38"/>
      <c r="BU192" s="26"/>
      <c r="BV192" s="26"/>
      <c r="BW192" s="39">
        <f t="shared" si="14"/>
        <v>1</v>
      </c>
      <c r="BX192" s="78">
        <v>1</v>
      </c>
      <c r="BY192" s="63">
        <v>3</v>
      </c>
      <c r="BZ192" s="7"/>
      <c r="CA192" s="8"/>
      <c r="CB192" s="7"/>
      <c r="CC192" s="7"/>
    </row>
    <row r="193" spans="1:81" x14ac:dyDescent="0.2">
      <c r="A193" s="109" t="s">
        <v>274</v>
      </c>
      <c r="B193" s="26">
        <v>38</v>
      </c>
      <c r="C193" s="109" t="s">
        <v>123</v>
      </c>
      <c r="D193" s="26">
        <v>13</v>
      </c>
      <c r="E193" s="26">
        <v>2</v>
      </c>
      <c r="F193" s="26">
        <v>2</v>
      </c>
      <c r="G193" s="26" t="s">
        <v>51</v>
      </c>
      <c r="H193" s="26">
        <v>4</v>
      </c>
      <c r="I193" s="26" t="s">
        <v>51</v>
      </c>
      <c r="J193" s="26" t="s">
        <v>69</v>
      </c>
      <c r="K193" s="26"/>
      <c r="L193" s="26">
        <v>5</v>
      </c>
      <c r="M193" s="40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26"/>
      <c r="BF193" s="26"/>
      <c r="BG193" s="37"/>
      <c r="BH193" s="26"/>
      <c r="BI193" s="26"/>
      <c r="BJ193" s="26"/>
      <c r="BK193" s="26"/>
      <c r="BL193" s="26"/>
      <c r="BM193" s="26"/>
      <c r="BN193" s="26"/>
      <c r="BO193" s="37">
        <f t="shared" si="10"/>
        <v>0</v>
      </c>
      <c r="BP193" s="56">
        <f t="shared" si="11"/>
        <v>0</v>
      </c>
      <c r="BQ193" s="56">
        <f t="shared" si="12"/>
        <v>0</v>
      </c>
      <c r="BR193" s="57">
        <f t="shared" si="13"/>
        <v>0</v>
      </c>
      <c r="BS193" s="38"/>
      <c r="BT193" s="38"/>
      <c r="BU193" s="26"/>
      <c r="BV193" s="26"/>
      <c r="BW193" s="39">
        <f t="shared" si="14"/>
        <v>0</v>
      </c>
      <c r="BX193" s="78">
        <v>0</v>
      </c>
      <c r="BY193" s="63">
        <v>12</v>
      </c>
      <c r="BZ193" s="7"/>
      <c r="CA193" s="8"/>
      <c r="CB193" s="7"/>
      <c r="CC193" s="7"/>
    </row>
    <row r="194" spans="1:81" ht="16" x14ac:dyDescent="0.2">
      <c r="A194" s="111" t="s">
        <v>275</v>
      </c>
      <c r="B194" s="26">
        <v>39</v>
      </c>
      <c r="C194" s="109" t="s">
        <v>124</v>
      </c>
      <c r="D194" s="26">
        <v>1</v>
      </c>
      <c r="E194" s="26">
        <v>2</v>
      </c>
      <c r="F194" s="26">
        <v>2</v>
      </c>
      <c r="G194" s="26" t="s">
        <v>51</v>
      </c>
      <c r="H194" s="26">
        <v>4</v>
      </c>
      <c r="I194" s="26" t="s">
        <v>51</v>
      </c>
      <c r="J194" s="26" t="s">
        <v>42</v>
      </c>
      <c r="K194" s="26"/>
      <c r="L194" s="26">
        <v>5</v>
      </c>
      <c r="M194" s="40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 t="s">
        <v>38</v>
      </c>
      <c r="AX194" s="36">
        <f>12.5/16</f>
        <v>0.78125</v>
      </c>
      <c r="AY194" s="36"/>
      <c r="AZ194" s="36"/>
      <c r="BA194" s="36"/>
      <c r="BB194" s="36"/>
      <c r="BC194" s="36"/>
      <c r="BD194" s="36"/>
      <c r="BE194" s="26"/>
      <c r="BF194" s="26"/>
      <c r="BG194" s="39">
        <v>1</v>
      </c>
      <c r="BH194" s="38"/>
      <c r="BI194" s="38"/>
      <c r="BJ194" s="38"/>
      <c r="BK194" s="38"/>
      <c r="BL194" s="38"/>
      <c r="BM194" s="38"/>
      <c r="BN194" s="38"/>
      <c r="BO194" s="37">
        <f t="shared" ref="BO194:BO257" si="15">BG194+BI194+BU194</f>
        <v>1</v>
      </c>
      <c r="BP194" s="56">
        <f t="shared" ref="BP194:BP257" si="16">BH194+BJ194</f>
        <v>0</v>
      </c>
      <c r="BQ194" s="56">
        <f t="shared" ref="BQ194:BQ257" si="17">BK194+BM194+BV194+BS194</f>
        <v>0</v>
      </c>
      <c r="BR194" s="57">
        <f t="shared" ref="BR194:BR257" si="18">BL194+BN194+BT194</f>
        <v>0</v>
      </c>
      <c r="BS194" s="38"/>
      <c r="BT194" s="38"/>
      <c r="BU194" s="26"/>
      <c r="BV194" s="26"/>
      <c r="BW194" s="39">
        <f t="shared" ref="BW194:BW257" si="19">SUM(BO194:BR194)</f>
        <v>1</v>
      </c>
      <c r="BX194" s="78">
        <v>1</v>
      </c>
      <c r="BY194" s="63">
        <v>8</v>
      </c>
      <c r="BZ194" s="7"/>
      <c r="CA194" s="8"/>
      <c r="CB194" s="17"/>
      <c r="CC194" s="17"/>
    </row>
    <row r="195" spans="1:81" ht="16" x14ac:dyDescent="0.2">
      <c r="A195" s="111" t="s">
        <v>275</v>
      </c>
      <c r="B195" s="26">
        <v>39</v>
      </c>
      <c r="C195" s="109" t="s">
        <v>124</v>
      </c>
      <c r="D195" s="26">
        <v>2</v>
      </c>
      <c r="E195" s="26">
        <v>2</v>
      </c>
      <c r="F195" s="26">
        <v>2</v>
      </c>
      <c r="G195" s="26" t="s">
        <v>51</v>
      </c>
      <c r="H195" s="26">
        <v>4</v>
      </c>
      <c r="I195" s="26" t="s">
        <v>51</v>
      </c>
      <c r="J195" s="26"/>
      <c r="K195" s="26" t="s">
        <v>47</v>
      </c>
      <c r="L195" s="26">
        <v>6</v>
      </c>
      <c r="M195" s="40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 t="s">
        <v>48</v>
      </c>
      <c r="AN195" s="36">
        <f>4/8.5</f>
        <v>0.47058823529411764</v>
      </c>
      <c r="AO195" s="36" t="s">
        <v>38</v>
      </c>
      <c r="AP195" s="36">
        <f>2.5/8.5</f>
        <v>0.29411764705882354</v>
      </c>
      <c r="AQ195" s="36" t="s">
        <v>39</v>
      </c>
      <c r="AR195" s="36">
        <f>7.5/8.5</f>
        <v>0.88235294117647056</v>
      </c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26"/>
      <c r="BF195" s="26"/>
      <c r="BG195" s="39"/>
      <c r="BH195" s="38"/>
      <c r="BI195" s="38">
        <v>1</v>
      </c>
      <c r="BJ195" s="38"/>
      <c r="BK195" s="38"/>
      <c r="BL195" s="38">
        <v>1</v>
      </c>
      <c r="BM195" s="38"/>
      <c r="BN195" s="38"/>
      <c r="BO195" s="37">
        <f t="shared" si="15"/>
        <v>1</v>
      </c>
      <c r="BP195" s="56">
        <f t="shared" si="16"/>
        <v>0</v>
      </c>
      <c r="BQ195" s="56">
        <f t="shared" si="17"/>
        <v>0</v>
      </c>
      <c r="BR195" s="57">
        <f t="shared" si="18"/>
        <v>1</v>
      </c>
      <c r="BS195" s="38"/>
      <c r="BT195" s="38"/>
      <c r="BU195" s="26"/>
      <c r="BV195" s="26"/>
      <c r="BW195" s="39">
        <f t="shared" si="19"/>
        <v>2</v>
      </c>
      <c r="BX195" s="78">
        <v>2</v>
      </c>
      <c r="BY195" s="63">
        <v>3</v>
      </c>
      <c r="BZ195" s="7"/>
      <c r="CA195" s="8"/>
      <c r="CB195" s="17"/>
      <c r="CC195" s="17"/>
    </row>
    <row r="196" spans="1:81" ht="16" x14ac:dyDescent="0.2">
      <c r="A196" s="111" t="s">
        <v>275</v>
      </c>
      <c r="B196" s="26">
        <v>39</v>
      </c>
      <c r="C196" s="109" t="s">
        <v>124</v>
      </c>
      <c r="D196" s="26">
        <v>3</v>
      </c>
      <c r="E196" s="26">
        <v>2</v>
      </c>
      <c r="F196" s="26">
        <v>2</v>
      </c>
      <c r="G196" s="26" t="s">
        <v>51</v>
      </c>
      <c r="H196" s="26">
        <v>4</v>
      </c>
      <c r="I196" s="26" t="s">
        <v>51</v>
      </c>
      <c r="J196" s="26" t="s">
        <v>42</v>
      </c>
      <c r="K196" s="26"/>
      <c r="L196" s="26">
        <v>5</v>
      </c>
      <c r="M196" s="40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 t="s">
        <v>38</v>
      </c>
      <c r="Z196" s="36">
        <f>6.5/7</f>
        <v>0.9285714285714286</v>
      </c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 t="s">
        <v>39</v>
      </c>
      <c r="AP196" s="36">
        <f>7.5/7</f>
        <v>1.0714285714285714</v>
      </c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26"/>
      <c r="BF196" s="26"/>
      <c r="BG196" s="39">
        <v>1</v>
      </c>
      <c r="BH196" s="38"/>
      <c r="BI196" s="38">
        <v>1</v>
      </c>
      <c r="BJ196" s="38"/>
      <c r="BK196" s="38"/>
      <c r="BL196" s="38"/>
      <c r="BM196" s="38"/>
      <c r="BN196" s="38"/>
      <c r="BO196" s="37">
        <f t="shared" si="15"/>
        <v>2</v>
      </c>
      <c r="BP196" s="56">
        <f t="shared" si="16"/>
        <v>0</v>
      </c>
      <c r="BQ196" s="56">
        <f t="shared" si="17"/>
        <v>0</v>
      </c>
      <c r="BR196" s="57">
        <f t="shared" si="18"/>
        <v>0</v>
      </c>
      <c r="BS196" s="38"/>
      <c r="BT196" s="38"/>
      <c r="BU196" s="26"/>
      <c r="BV196" s="26"/>
      <c r="BW196" s="39">
        <f t="shared" si="19"/>
        <v>2</v>
      </c>
      <c r="BX196" s="78">
        <v>1</v>
      </c>
      <c r="BY196" s="63">
        <v>8</v>
      </c>
      <c r="BZ196" s="7"/>
      <c r="CA196" s="8"/>
      <c r="CB196" s="17"/>
      <c r="CC196" s="17"/>
    </row>
    <row r="197" spans="1:81" ht="16" x14ac:dyDescent="0.2">
      <c r="A197" s="111" t="s">
        <v>275</v>
      </c>
      <c r="B197" s="26">
        <v>39</v>
      </c>
      <c r="C197" s="109" t="s">
        <v>124</v>
      </c>
      <c r="D197" s="26">
        <v>4</v>
      </c>
      <c r="E197" s="26">
        <v>2</v>
      </c>
      <c r="F197" s="26">
        <v>2</v>
      </c>
      <c r="G197" s="26" t="s">
        <v>51</v>
      </c>
      <c r="H197" s="26">
        <v>4</v>
      </c>
      <c r="I197" s="26" t="s">
        <v>51</v>
      </c>
      <c r="J197" s="26" t="s">
        <v>41</v>
      </c>
      <c r="K197" s="26"/>
      <c r="L197" s="26">
        <v>5</v>
      </c>
      <c r="M197" s="40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 t="s">
        <v>39</v>
      </c>
      <c r="AN197" s="36">
        <f>7/8.5</f>
        <v>0.82352941176470584</v>
      </c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 t="s">
        <v>38</v>
      </c>
      <c r="BB197" s="36">
        <f>6.5/8.5</f>
        <v>0.76470588235294112</v>
      </c>
      <c r="BC197" s="36" t="s">
        <v>38</v>
      </c>
      <c r="BD197" s="36">
        <f>6.5/8.5</f>
        <v>0.76470588235294112</v>
      </c>
      <c r="BE197" s="26"/>
      <c r="BF197" s="26"/>
      <c r="BG197" s="39">
        <v>2</v>
      </c>
      <c r="BH197" s="38"/>
      <c r="BI197" s="38">
        <v>1</v>
      </c>
      <c r="BJ197" s="38"/>
      <c r="BK197" s="38"/>
      <c r="BL197" s="38"/>
      <c r="BM197" s="38"/>
      <c r="BN197" s="38"/>
      <c r="BO197" s="37">
        <f t="shared" si="15"/>
        <v>3</v>
      </c>
      <c r="BP197" s="56">
        <f t="shared" si="16"/>
        <v>0</v>
      </c>
      <c r="BQ197" s="56">
        <f t="shared" si="17"/>
        <v>0</v>
      </c>
      <c r="BR197" s="57">
        <f t="shared" si="18"/>
        <v>0</v>
      </c>
      <c r="BS197" s="38"/>
      <c r="BT197" s="38"/>
      <c r="BU197" s="26"/>
      <c r="BV197" s="26"/>
      <c r="BW197" s="39">
        <f t="shared" si="19"/>
        <v>3</v>
      </c>
      <c r="BX197" s="78">
        <v>1</v>
      </c>
      <c r="BY197" s="63">
        <v>10</v>
      </c>
      <c r="BZ197" s="7"/>
      <c r="CA197" s="8"/>
      <c r="CB197" s="17"/>
      <c r="CC197" s="17"/>
    </row>
    <row r="198" spans="1:81" ht="16" x14ac:dyDescent="0.2">
      <c r="A198" s="111" t="s">
        <v>275</v>
      </c>
      <c r="B198" s="26">
        <v>39</v>
      </c>
      <c r="C198" s="109" t="s">
        <v>124</v>
      </c>
      <c r="D198" s="26">
        <v>5</v>
      </c>
      <c r="E198" s="26">
        <v>2</v>
      </c>
      <c r="F198" s="26">
        <v>2</v>
      </c>
      <c r="G198" s="26" t="s">
        <v>51</v>
      </c>
      <c r="H198" s="26">
        <v>4</v>
      </c>
      <c r="I198" s="26" t="s">
        <v>51</v>
      </c>
      <c r="J198" s="26"/>
      <c r="K198" s="26" t="s">
        <v>47</v>
      </c>
      <c r="L198" s="26">
        <v>7</v>
      </c>
      <c r="M198" s="40"/>
      <c r="N198" s="36"/>
      <c r="O198" s="36"/>
      <c r="P198" s="36"/>
      <c r="Q198" s="36"/>
      <c r="R198" s="36"/>
      <c r="S198" s="36" t="s">
        <v>39</v>
      </c>
      <c r="T198" s="36">
        <f>6.5/7.5</f>
        <v>0.8666666666666667</v>
      </c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26"/>
      <c r="BF198" s="26"/>
      <c r="BG198" s="39"/>
      <c r="BH198" s="38"/>
      <c r="BI198" s="38">
        <v>1</v>
      </c>
      <c r="BJ198" s="38"/>
      <c r="BK198" s="38"/>
      <c r="BL198" s="38"/>
      <c r="BM198" s="38"/>
      <c r="BN198" s="38"/>
      <c r="BO198" s="37">
        <f t="shared" si="15"/>
        <v>1</v>
      </c>
      <c r="BP198" s="56">
        <f t="shared" si="16"/>
        <v>0</v>
      </c>
      <c r="BQ198" s="56">
        <f t="shared" si="17"/>
        <v>0</v>
      </c>
      <c r="BR198" s="57">
        <f t="shared" si="18"/>
        <v>0</v>
      </c>
      <c r="BS198" s="38"/>
      <c r="BT198" s="38"/>
      <c r="BU198" s="26"/>
      <c r="BV198" s="26"/>
      <c r="BW198" s="39">
        <f t="shared" si="19"/>
        <v>1</v>
      </c>
      <c r="BX198" s="78">
        <v>1</v>
      </c>
      <c r="BY198" s="63">
        <v>3</v>
      </c>
      <c r="BZ198" s="7"/>
      <c r="CA198" s="8"/>
      <c r="CB198" s="17"/>
      <c r="CC198" s="17"/>
    </row>
    <row r="199" spans="1:81" ht="16" x14ac:dyDescent="0.2">
      <c r="A199" s="111" t="s">
        <v>275</v>
      </c>
      <c r="B199" s="26">
        <v>39</v>
      </c>
      <c r="C199" s="109" t="s">
        <v>124</v>
      </c>
      <c r="D199" s="26">
        <v>6</v>
      </c>
      <c r="E199" s="26">
        <v>2</v>
      </c>
      <c r="F199" s="26">
        <v>2</v>
      </c>
      <c r="G199" s="26" t="s">
        <v>51</v>
      </c>
      <c r="H199" s="26">
        <v>4</v>
      </c>
      <c r="I199" s="26" t="s">
        <v>51</v>
      </c>
      <c r="J199" s="26"/>
      <c r="K199" s="26" t="s">
        <v>47</v>
      </c>
      <c r="L199" s="26">
        <v>7</v>
      </c>
      <c r="M199" s="40"/>
      <c r="N199" s="36"/>
      <c r="O199" s="36" t="s">
        <v>38</v>
      </c>
      <c r="P199" s="36">
        <f>15/8</f>
        <v>1.875</v>
      </c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 t="s">
        <v>38</v>
      </c>
      <c r="AT199" s="36">
        <f>16/8</f>
        <v>2</v>
      </c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26"/>
      <c r="BF199" s="26"/>
      <c r="BG199" s="39">
        <v>2</v>
      </c>
      <c r="BH199" s="38"/>
      <c r="BI199" s="38"/>
      <c r="BJ199" s="38"/>
      <c r="BK199" s="38"/>
      <c r="BL199" s="38"/>
      <c r="BM199" s="38"/>
      <c r="BN199" s="38"/>
      <c r="BO199" s="37">
        <f t="shared" si="15"/>
        <v>2</v>
      </c>
      <c r="BP199" s="56">
        <f t="shared" si="16"/>
        <v>0</v>
      </c>
      <c r="BQ199" s="56">
        <f t="shared" si="17"/>
        <v>0</v>
      </c>
      <c r="BR199" s="57">
        <f t="shared" si="18"/>
        <v>0</v>
      </c>
      <c r="BS199" s="38"/>
      <c r="BT199" s="38"/>
      <c r="BU199" s="26"/>
      <c r="BV199" s="26"/>
      <c r="BW199" s="39">
        <f t="shared" si="19"/>
        <v>2</v>
      </c>
      <c r="BX199" s="78">
        <v>1</v>
      </c>
      <c r="BY199" s="63">
        <v>3</v>
      </c>
      <c r="BZ199" s="17"/>
      <c r="CA199" s="8"/>
      <c r="CB199" s="17"/>
      <c r="CC199" s="17"/>
    </row>
    <row r="200" spans="1:81" ht="16" x14ac:dyDescent="0.2">
      <c r="A200" s="111" t="s">
        <v>275</v>
      </c>
      <c r="B200" s="26">
        <v>39</v>
      </c>
      <c r="C200" s="109" t="s">
        <v>124</v>
      </c>
      <c r="D200" s="26">
        <v>7</v>
      </c>
      <c r="E200" s="26">
        <v>2</v>
      </c>
      <c r="F200" s="26">
        <v>1</v>
      </c>
      <c r="G200" s="26" t="s">
        <v>54</v>
      </c>
      <c r="H200" s="26">
        <v>2</v>
      </c>
      <c r="I200" s="26" t="s">
        <v>51</v>
      </c>
      <c r="J200" s="26"/>
      <c r="K200" s="26" t="s">
        <v>47</v>
      </c>
      <c r="L200" s="26">
        <v>7</v>
      </c>
      <c r="M200" s="40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 t="s">
        <v>39</v>
      </c>
      <c r="BD200" s="36">
        <f>7.5/8</f>
        <v>0.9375</v>
      </c>
      <c r="BE200" s="26"/>
      <c r="BF200" s="26"/>
      <c r="BG200" s="39"/>
      <c r="BH200" s="38"/>
      <c r="BI200" s="38">
        <v>1</v>
      </c>
      <c r="BJ200" s="38"/>
      <c r="BK200" s="38"/>
      <c r="BL200" s="38"/>
      <c r="BM200" s="38"/>
      <c r="BN200" s="38"/>
      <c r="BO200" s="37">
        <f t="shared" si="15"/>
        <v>1</v>
      </c>
      <c r="BP200" s="56">
        <f t="shared" si="16"/>
        <v>0</v>
      </c>
      <c r="BQ200" s="56">
        <f t="shared" si="17"/>
        <v>0</v>
      </c>
      <c r="BR200" s="57">
        <f t="shared" si="18"/>
        <v>0</v>
      </c>
      <c r="BS200" s="38"/>
      <c r="BT200" s="38"/>
      <c r="BU200" s="26"/>
      <c r="BV200" s="26"/>
      <c r="BW200" s="39">
        <f t="shared" si="19"/>
        <v>1</v>
      </c>
      <c r="BX200" s="78">
        <v>1</v>
      </c>
      <c r="BY200" s="63">
        <v>3</v>
      </c>
      <c r="BZ200" s="17"/>
      <c r="CA200" s="8"/>
      <c r="CB200" s="17"/>
      <c r="CC200" s="17"/>
    </row>
    <row r="201" spans="1:81" ht="16" x14ac:dyDescent="0.2">
      <c r="A201" s="109" t="s">
        <v>275</v>
      </c>
      <c r="B201" s="26">
        <v>39</v>
      </c>
      <c r="C201" s="109" t="s">
        <v>124</v>
      </c>
      <c r="D201" s="26">
        <v>9</v>
      </c>
      <c r="E201" s="26">
        <v>2</v>
      </c>
      <c r="F201" s="26">
        <v>3</v>
      </c>
      <c r="G201" s="26" t="s">
        <v>50</v>
      </c>
      <c r="H201" s="26"/>
      <c r="I201" s="26"/>
      <c r="J201" s="26"/>
      <c r="K201" s="26" t="s">
        <v>49</v>
      </c>
      <c r="L201" s="26">
        <v>7</v>
      </c>
      <c r="M201" s="40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 t="s">
        <v>38</v>
      </c>
      <c r="AV201" s="36">
        <f>1.5/7.5</f>
        <v>0.2</v>
      </c>
      <c r="AW201" s="36"/>
      <c r="AX201" s="36"/>
      <c r="AY201" s="36"/>
      <c r="AZ201" s="36"/>
      <c r="BA201" s="36"/>
      <c r="BB201" s="36"/>
      <c r="BC201" s="36"/>
      <c r="BD201" s="36"/>
      <c r="BE201" s="26"/>
      <c r="BF201" s="26"/>
      <c r="BG201" s="37"/>
      <c r="BH201" s="26"/>
      <c r="BI201" s="26"/>
      <c r="BJ201" s="26"/>
      <c r="BK201" s="26"/>
      <c r="BL201" s="26"/>
      <c r="BM201" s="26"/>
      <c r="BN201" s="26"/>
      <c r="BO201" s="37">
        <f t="shared" si="15"/>
        <v>0</v>
      </c>
      <c r="BP201" s="56">
        <f t="shared" si="16"/>
        <v>0</v>
      </c>
      <c r="BQ201" s="56">
        <f t="shared" si="17"/>
        <v>0</v>
      </c>
      <c r="BR201" s="57">
        <f t="shared" si="18"/>
        <v>0</v>
      </c>
      <c r="BS201" s="38"/>
      <c r="BT201" s="38"/>
      <c r="BU201" s="26"/>
      <c r="BV201" s="26"/>
      <c r="BW201" s="39">
        <f t="shared" si="19"/>
        <v>0</v>
      </c>
      <c r="BX201" s="78">
        <v>0</v>
      </c>
      <c r="BY201" s="63">
        <v>1</v>
      </c>
      <c r="BZ201" s="7"/>
      <c r="CA201" s="8"/>
      <c r="CB201" s="7"/>
      <c r="CC201" s="7"/>
    </row>
    <row r="202" spans="1:81" ht="16" x14ac:dyDescent="0.2">
      <c r="A202" s="109" t="s">
        <v>276</v>
      </c>
      <c r="B202" s="26">
        <v>36</v>
      </c>
      <c r="C202" s="109" t="s">
        <v>125</v>
      </c>
      <c r="D202" s="26">
        <v>3</v>
      </c>
      <c r="E202" s="26">
        <v>2</v>
      </c>
      <c r="F202" s="26"/>
      <c r="G202" s="26"/>
      <c r="H202" s="26"/>
      <c r="I202" s="26"/>
      <c r="J202" s="26" t="s">
        <v>42</v>
      </c>
      <c r="K202" s="26"/>
      <c r="L202" s="26">
        <v>6</v>
      </c>
      <c r="M202" s="40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 t="s">
        <v>39</v>
      </c>
      <c r="AB202" s="36">
        <f>16/16</f>
        <v>1</v>
      </c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26"/>
      <c r="BF202" s="26"/>
      <c r="BG202" s="37"/>
      <c r="BH202" s="26"/>
      <c r="BI202" s="26">
        <v>1</v>
      </c>
      <c r="BJ202" s="26"/>
      <c r="BK202" s="26"/>
      <c r="BL202" s="26"/>
      <c r="BM202" s="26"/>
      <c r="BN202" s="26"/>
      <c r="BO202" s="37">
        <f t="shared" si="15"/>
        <v>1</v>
      </c>
      <c r="BP202" s="56">
        <f t="shared" si="16"/>
        <v>0</v>
      </c>
      <c r="BQ202" s="56">
        <f t="shared" si="17"/>
        <v>0</v>
      </c>
      <c r="BR202" s="57">
        <f t="shared" si="18"/>
        <v>0</v>
      </c>
      <c r="BS202" s="38"/>
      <c r="BT202" s="38"/>
      <c r="BU202" s="26"/>
      <c r="BV202" s="26"/>
      <c r="BW202" s="39">
        <f t="shared" si="19"/>
        <v>1</v>
      </c>
      <c r="BX202" s="78">
        <v>1</v>
      </c>
      <c r="BY202" s="63">
        <v>8</v>
      </c>
      <c r="BZ202" s="7"/>
      <c r="CA202" s="8"/>
      <c r="CB202" s="7"/>
      <c r="CC202" s="7"/>
    </row>
    <row r="203" spans="1:81" ht="16" x14ac:dyDescent="0.2">
      <c r="A203" s="109" t="s">
        <v>276</v>
      </c>
      <c r="B203" s="26">
        <v>36</v>
      </c>
      <c r="C203" s="109" t="s">
        <v>125</v>
      </c>
      <c r="D203" s="26">
        <v>5</v>
      </c>
      <c r="E203" s="26">
        <v>2</v>
      </c>
      <c r="F203" s="26"/>
      <c r="G203" s="26"/>
      <c r="H203" s="26"/>
      <c r="I203" s="26"/>
      <c r="J203" s="26" t="s">
        <v>41</v>
      </c>
      <c r="K203" s="26"/>
      <c r="L203" s="26">
        <v>5</v>
      </c>
      <c r="M203" s="40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 t="s">
        <v>39</v>
      </c>
      <c r="AR203" s="36">
        <v>1</v>
      </c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26"/>
      <c r="BF203" s="26"/>
      <c r="BG203" s="37"/>
      <c r="BH203" s="26"/>
      <c r="BI203" s="26">
        <v>1</v>
      </c>
      <c r="BJ203" s="26"/>
      <c r="BK203" s="26"/>
      <c r="BL203" s="26"/>
      <c r="BM203" s="26"/>
      <c r="BN203" s="26"/>
      <c r="BO203" s="37">
        <f t="shared" si="15"/>
        <v>1</v>
      </c>
      <c r="BP203" s="56">
        <f t="shared" si="16"/>
        <v>0</v>
      </c>
      <c r="BQ203" s="56">
        <f t="shared" si="17"/>
        <v>0</v>
      </c>
      <c r="BR203" s="57">
        <f t="shared" si="18"/>
        <v>0</v>
      </c>
      <c r="BS203" s="38"/>
      <c r="BT203" s="38"/>
      <c r="BU203" s="26"/>
      <c r="BV203" s="26"/>
      <c r="BW203" s="39">
        <f t="shared" si="19"/>
        <v>1</v>
      </c>
      <c r="BX203" s="78">
        <v>1</v>
      </c>
      <c r="BY203" s="63">
        <v>10</v>
      </c>
      <c r="BZ203" s="7"/>
      <c r="CA203" s="8"/>
      <c r="CB203" s="7"/>
      <c r="CC203" s="7"/>
    </row>
    <row r="204" spans="1:81" ht="16" x14ac:dyDescent="0.2">
      <c r="A204" s="109" t="s">
        <v>276</v>
      </c>
      <c r="B204" s="26">
        <v>36</v>
      </c>
      <c r="C204" s="109" t="s">
        <v>125</v>
      </c>
      <c r="D204" s="26">
        <v>6</v>
      </c>
      <c r="E204" s="26">
        <v>2</v>
      </c>
      <c r="F204" s="26"/>
      <c r="G204" s="26"/>
      <c r="H204" s="26"/>
      <c r="I204" s="26"/>
      <c r="J204" s="26" t="s">
        <v>41</v>
      </c>
      <c r="K204" s="26"/>
      <c r="L204" s="26">
        <v>5</v>
      </c>
      <c r="M204" s="40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 t="s">
        <v>39</v>
      </c>
      <c r="BB204" s="36">
        <f>15.5/16</f>
        <v>0.96875</v>
      </c>
      <c r="BC204" s="36"/>
      <c r="BD204" s="36"/>
      <c r="BE204" s="26"/>
      <c r="BF204" s="26"/>
      <c r="BG204" s="37"/>
      <c r="BH204" s="26"/>
      <c r="BI204" s="26">
        <v>1</v>
      </c>
      <c r="BJ204" s="26"/>
      <c r="BK204" s="26"/>
      <c r="BL204" s="26"/>
      <c r="BM204" s="26"/>
      <c r="BN204" s="26"/>
      <c r="BO204" s="37">
        <f t="shared" si="15"/>
        <v>1</v>
      </c>
      <c r="BP204" s="56">
        <f t="shared" si="16"/>
        <v>0</v>
      </c>
      <c r="BQ204" s="56">
        <f t="shared" si="17"/>
        <v>0</v>
      </c>
      <c r="BR204" s="57">
        <f t="shared" si="18"/>
        <v>0</v>
      </c>
      <c r="BS204" s="38"/>
      <c r="BT204" s="38"/>
      <c r="BU204" s="26"/>
      <c r="BV204" s="26"/>
      <c r="BW204" s="39">
        <f t="shared" si="19"/>
        <v>1</v>
      </c>
      <c r="BX204" s="78">
        <v>1</v>
      </c>
      <c r="BY204" s="63">
        <v>10</v>
      </c>
      <c r="BZ204" s="7"/>
      <c r="CA204" s="8"/>
      <c r="CB204" s="7"/>
      <c r="CC204" s="7"/>
    </row>
    <row r="205" spans="1:81" ht="16" x14ac:dyDescent="0.2">
      <c r="A205" s="111" t="s">
        <v>276</v>
      </c>
      <c r="B205" s="26">
        <v>36</v>
      </c>
      <c r="C205" s="109" t="s">
        <v>125</v>
      </c>
      <c r="D205" s="26">
        <v>10</v>
      </c>
      <c r="E205" s="26">
        <v>2</v>
      </c>
      <c r="F205" s="26"/>
      <c r="G205" s="26"/>
      <c r="H205" s="26"/>
      <c r="I205" s="26"/>
      <c r="J205" s="26" t="s">
        <v>41</v>
      </c>
      <c r="K205" s="26"/>
      <c r="L205" s="26">
        <v>5</v>
      </c>
      <c r="M205" s="40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 t="s">
        <v>39</v>
      </c>
      <c r="AR205" s="36">
        <f>15.5/16</f>
        <v>0.96875</v>
      </c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26"/>
      <c r="BF205" s="26"/>
      <c r="BG205" s="39"/>
      <c r="BH205" s="38"/>
      <c r="BI205" s="38">
        <v>1</v>
      </c>
      <c r="BJ205" s="38"/>
      <c r="BK205" s="38"/>
      <c r="BL205" s="38"/>
      <c r="BM205" s="38"/>
      <c r="BN205" s="38"/>
      <c r="BO205" s="37">
        <f t="shared" si="15"/>
        <v>1</v>
      </c>
      <c r="BP205" s="56">
        <f t="shared" si="16"/>
        <v>0</v>
      </c>
      <c r="BQ205" s="56">
        <f t="shared" si="17"/>
        <v>0</v>
      </c>
      <c r="BR205" s="57">
        <f t="shared" si="18"/>
        <v>0</v>
      </c>
      <c r="BS205" s="38"/>
      <c r="BT205" s="38"/>
      <c r="BU205" s="26"/>
      <c r="BV205" s="26"/>
      <c r="BW205" s="39">
        <f t="shared" si="19"/>
        <v>1</v>
      </c>
      <c r="BX205" s="78">
        <v>1</v>
      </c>
      <c r="BY205" s="63">
        <v>10</v>
      </c>
      <c r="BZ205" s="7"/>
      <c r="CA205" s="8"/>
      <c r="CB205" s="17"/>
      <c r="CC205" s="17"/>
    </row>
    <row r="206" spans="1:81" ht="16" x14ac:dyDescent="0.2">
      <c r="A206" s="111" t="s">
        <v>276</v>
      </c>
      <c r="B206" s="26">
        <v>36</v>
      </c>
      <c r="C206" s="109" t="s">
        <v>125</v>
      </c>
      <c r="D206" s="26">
        <v>11</v>
      </c>
      <c r="E206" s="26">
        <v>2</v>
      </c>
      <c r="F206" s="26"/>
      <c r="G206" s="26"/>
      <c r="H206" s="26"/>
      <c r="I206" s="26"/>
      <c r="J206" s="26" t="s">
        <v>42</v>
      </c>
      <c r="K206" s="26"/>
      <c r="L206" s="26">
        <v>6</v>
      </c>
      <c r="M206" s="40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 t="s">
        <v>48</v>
      </c>
      <c r="AD206" s="36">
        <f>10/16</f>
        <v>0.625</v>
      </c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 t="s">
        <v>39</v>
      </c>
      <c r="AP206" s="36">
        <f>16/16</f>
        <v>1</v>
      </c>
      <c r="AQ206" s="36" t="s">
        <v>38</v>
      </c>
      <c r="AR206" s="36">
        <f>13/16</f>
        <v>0.8125</v>
      </c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26"/>
      <c r="BF206" s="26"/>
      <c r="BG206" s="39">
        <v>1</v>
      </c>
      <c r="BH206" s="38"/>
      <c r="BI206" s="38">
        <v>1</v>
      </c>
      <c r="BJ206" s="38"/>
      <c r="BK206" s="38"/>
      <c r="BL206" s="38">
        <v>1</v>
      </c>
      <c r="BM206" s="38"/>
      <c r="BN206" s="38"/>
      <c r="BO206" s="37">
        <f t="shared" si="15"/>
        <v>2</v>
      </c>
      <c r="BP206" s="56">
        <f t="shared" si="16"/>
        <v>0</v>
      </c>
      <c r="BQ206" s="56">
        <f t="shared" si="17"/>
        <v>0</v>
      </c>
      <c r="BR206" s="57">
        <f t="shared" si="18"/>
        <v>1</v>
      </c>
      <c r="BS206" s="38"/>
      <c r="BT206" s="38"/>
      <c r="BU206" s="26"/>
      <c r="BV206" s="26"/>
      <c r="BW206" s="39">
        <f t="shared" si="19"/>
        <v>3</v>
      </c>
      <c r="BX206" s="78">
        <v>2</v>
      </c>
      <c r="BY206" s="63">
        <v>8</v>
      </c>
      <c r="BZ206" s="7"/>
      <c r="CA206" s="8"/>
      <c r="CB206" s="17"/>
      <c r="CC206" s="17"/>
    </row>
    <row r="207" spans="1:81" ht="16" x14ac:dyDescent="0.2">
      <c r="A207" s="111" t="s">
        <v>276</v>
      </c>
      <c r="B207" s="26">
        <v>36</v>
      </c>
      <c r="C207" s="109" t="s">
        <v>125</v>
      </c>
      <c r="D207" s="26">
        <v>12</v>
      </c>
      <c r="E207" s="26">
        <v>2</v>
      </c>
      <c r="F207" s="26"/>
      <c r="G207" s="26"/>
      <c r="H207" s="26"/>
      <c r="I207" s="26"/>
      <c r="J207" s="26" t="s">
        <v>42</v>
      </c>
      <c r="K207" s="26"/>
      <c r="L207" s="26">
        <v>6</v>
      </c>
      <c r="M207" s="40"/>
      <c r="N207" s="36"/>
      <c r="O207" s="36"/>
      <c r="P207" s="36"/>
      <c r="Q207" s="36"/>
      <c r="R207" s="36"/>
      <c r="S207" s="36"/>
      <c r="T207" s="36"/>
      <c r="U207" s="36"/>
      <c r="V207" s="36"/>
      <c r="W207" s="36" t="s">
        <v>38</v>
      </c>
      <c r="X207" s="36">
        <f>4/16</f>
        <v>0.25</v>
      </c>
      <c r="Y207" s="36"/>
      <c r="Z207" s="36"/>
      <c r="AA207" s="36"/>
      <c r="AB207" s="36"/>
      <c r="AC207" s="36" t="s">
        <v>38</v>
      </c>
      <c r="AD207" s="36">
        <f>4/16</f>
        <v>0.25</v>
      </c>
      <c r="AE207" s="36"/>
      <c r="AF207" s="36"/>
      <c r="AG207" s="36"/>
      <c r="AH207" s="36"/>
      <c r="AI207" s="36"/>
      <c r="AJ207" s="36"/>
      <c r="AK207" s="36" t="s">
        <v>39</v>
      </c>
      <c r="AL207" s="36">
        <f>5.5/16</f>
        <v>0.34375</v>
      </c>
      <c r="AM207" s="36" t="s">
        <v>40</v>
      </c>
      <c r="AN207" s="36">
        <f>7.5/16</f>
        <v>0.46875</v>
      </c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26"/>
      <c r="BF207" s="26"/>
      <c r="BG207" s="39"/>
      <c r="BH207" s="38"/>
      <c r="BI207" s="38"/>
      <c r="BJ207" s="38">
        <v>1</v>
      </c>
      <c r="BK207" s="38"/>
      <c r="BL207" s="38"/>
      <c r="BM207" s="38"/>
      <c r="BN207" s="38">
        <v>1</v>
      </c>
      <c r="BO207" s="37">
        <f t="shared" si="15"/>
        <v>0</v>
      </c>
      <c r="BP207" s="56">
        <f t="shared" si="16"/>
        <v>1</v>
      </c>
      <c r="BQ207" s="56">
        <f t="shared" si="17"/>
        <v>0</v>
      </c>
      <c r="BR207" s="57">
        <f t="shared" si="18"/>
        <v>1</v>
      </c>
      <c r="BS207" s="38"/>
      <c r="BT207" s="38"/>
      <c r="BU207" s="26"/>
      <c r="BV207" s="26"/>
      <c r="BW207" s="39">
        <f t="shared" si="19"/>
        <v>2</v>
      </c>
      <c r="BX207" s="78">
        <v>4</v>
      </c>
      <c r="BY207" s="63">
        <v>8</v>
      </c>
      <c r="BZ207" s="7"/>
      <c r="CA207" s="8"/>
      <c r="CB207" s="17"/>
      <c r="CC207" s="17"/>
    </row>
    <row r="208" spans="1:81" ht="16" x14ac:dyDescent="0.2">
      <c r="A208" s="111" t="s">
        <v>276</v>
      </c>
      <c r="B208" s="26">
        <v>36</v>
      </c>
      <c r="C208" s="109" t="s">
        <v>125</v>
      </c>
      <c r="D208" s="26">
        <v>13</v>
      </c>
      <c r="E208" s="26">
        <v>2</v>
      </c>
      <c r="F208" s="26"/>
      <c r="G208" s="26"/>
      <c r="H208" s="26"/>
      <c r="I208" s="26"/>
      <c r="J208" s="26" t="s">
        <v>42</v>
      </c>
      <c r="K208" s="26"/>
      <c r="L208" s="26">
        <v>6</v>
      </c>
      <c r="M208" s="40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 t="s">
        <v>39</v>
      </c>
      <c r="AR208" s="36">
        <f>15/16</f>
        <v>0.9375</v>
      </c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26"/>
      <c r="BF208" s="26"/>
      <c r="BG208" s="39"/>
      <c r="BH208" s="38"/>
      <c r="BI208" s="38">
        <v>1</v>
      </c>
      <c r="BJ208" s="38"/>
      <c r="BK208" s="38"/>
      <c r="BL208" s="38"/>
      <c r="BM208" s="38"/>
      <c r="BN208" s="38"/>
      <c r="BO208" s="37">
        <f t="shared" si="15"/>
        <v>1</v>
      </c>
      <c r="BP208" s="56">
        <f t="shared" si="16"/>
        <v>0</v>
      </c>
      <c r="BQ208" s="56">
        <f t="shared" si="17"/>
        <v>0</v>
      </c>
      <c r="BR208" s="57">
        <f t="shared" si="18"/>
        <v>0</v>
      </c>
      <c r="BS208" s="38"/>
      <c r="BT208" s="38"/>
      <c r="BU208" s="26"/>
      <c r="BV208" s="26"/>
      <c r="BW208" s="39">
        <f t="shared" si="19"/>
        <v>1</v>
      </c>
      <c r="BX208" s="78">
        <v>1</v>
      </c>
      <c r="BY208" s="63">
        <v>8</v>
      </c>
      <c r="BZ208" s="7"/>
      <c r="CA208" s="8"/>
      <c r="CB208" s="17"/>
      <c r="CC208" s="17"/>
    </row>
    <row r="209" spans="1:81" x14ac:dyDescent="0.2">
      <c r="A209" s="111" t="s">
        <v>276</v>
      </c>
      <c r="B209" s="26">
        <v>36</v>
      </c>
      <c r="C209" s="109" t="s">
        <v>125</v>
      </c>
      <c r="D209" s="26">
        <v>15</v>
      </c>
      <c r="E209" s="26">
        <v>2</v>
      </c>
      <c r="F209" s="26"/>
      <c r="G209" s="26"/>
      <c r="H209" s="26"/>
      <c r="I209" s="26"/>
      <c r="J209" s="26" t="s">
        <v>41</v>
      </c>
      <c r="K209" s="26"/>
      <c r="L209" s="26">
        <v>5</v>
      </c>
      <c r="M209" s="40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26"/>
      <c r="BF209" s="26"/>
      <c r="BG209" s="39"/>
      <c r="BH209" s="38"/>
      <c r="BI209" s="38"/>
      <c r="BJ209" s="38"/>
      <c r="BK209" s="38"/>
      <c r="BL209" s="38"/>
      <c r="BM209" s="38"/>
      <c r="BN209" s="38"/>
      <c r="BO209" s="37">
        <f t="shared" si="15"/>
        <v>0</v>
      </c>
      <c r="BP209" s="56">
        <f t="shared" si="16"/>
        <v>0</v>
      </c>
      <c r="BQ209" s="56">
        <f t="shared" si="17"/>
        <v>0</v>
      </c>
      <c r="BR209" s="57">
        <f t="shared" si="18"/>
        <v>0</v>
      </c>
      <c r="BS209" s="38"/>
      <c r="BT209" s="38"/>
      <c r="BU209" s="26"/>
      <c r="BV209" s="26"/>
      <c r="BW209" s="39">
        <f t="shared" si="19"/>
        <v>0</v>
      </c>
      <c r="BX209" s="78">
        <v>0</v>
      </c>
      <c r="BY209" s="63">
        <v>10</v>
      </c>
      <c r="BZ209" s="7"/>
      <c r="CA209" s="8"/>
      <c r="CB209" s="17"/>
      <c r="CC209" s="17"/>
    </row>
    <row r="210" spans="1:81" x14ac:dyDescent="0.2">
      <c r="A210" s="109" t="s">
        <v>277</v>
      </c>
      <c r="B210" s="45">
        <v>34</v>
      </c>
      <c r="C210" s="109" t="s">
        <v>126</v>
      </c>
      <c r="D210" s="38">
        <v>3</v>
      </c>
      <c r="E210" s="38">
        <v>2</v>
      </c>
      <c r="F210" s="38">
        <v>2</v>
      </c>
      <c r="G210" s="38" t="s">
        <v>51</v>
      </c>
      <c r="H210" s="38">
        <v>3</v>
      </c>
      <c r="I210" s="38" t="s">
        <v>54</v>
      </c>
      <c r="J210" s="38"/>
      <c r="K210" s="38" t="s">
        <v>63</v>
      </c>
      <c r="L210" s="38">
        <v>6</v>
      </c>
      <c r="M210" s="40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8"/>
      <c r="BF210" s="38"/>
      <c r="BG210" s="39"/>
      <c r="BH210" s="38"/>
      <c r="BI210" s="38"/>
      <c r="BJ210" s="38"/>
      <c r="BK210" s="38"/>
      <c r="BL210" s="38"/>
      <c r="BM210" s="38"/>
      <c r="BN210" s="38"/>
      <c r="BO210" s="37">
        <f t="shared" si="15"/>
        <v>0</v>
      </c>
      <c r="BP210" s="56">
        <f t="shared" si="16"/>
        <v>0</v>
      </c>
      <c r="BQ210" s="56">
        <f t="shared" si="17"/>
        <v>0</v>
      </c>
      <c r="BR210" s="57">
        <f t="shared" si="18"/>
        <v>0</v>
      </c>
      <c r="BS210" s="38"/>
      <c r="BT210" s="38"/>
      <c r="BU210" s="26"/>
      <c r="BV210" s="26"/>
      <c r="BW210" s="39">
        <f t="shared" si="19"/>
        <v>0</v>
      </c>
      <c r="BX210" s="78">
        <v>0</v>
      </c>
      <c r="BY210" s="63">
        <v>2</v>
      </c>
      <c r="BZ210" s="7"/>
      <c r="CA210" s="8"/>
      <c r="CB210" s="7"/>
      <c r="CC210" s="7"/>
    </row>
    <row r="211" spans="1:81" ht="16" x14ac:dyDescent="0.2">
      <c r="A211" s="109" t="s">
        <v>277</v>
      </c>
      <c r="B211" s="45">
        <v>34</v>
      </c>
      <c r="C211" s="109" t="s">
        <v>126</v>
      </c>
      <c r="D211" s="38">
        <v>4</v>
      </c>
      <c r="E211" s="38">
        <v>2</v>
      </c>
      <c r="F211" s="38">
        <v>2</v>
      </c>
      <c r="G211" s="38" t="s">
        <v>51</v>
      </c>
      <c r="H211" s="38">
        <v>4</v>
      </c>
      <c r="I211" s="38" t="s">
        <v>51</v>
      </c>
      <c r="J211" s="38" t="s">
        <v>37</v>
      </c>
      <c r="K211" s="38"/>
      <c r="L211" s="38">
        <v>6</v>
      </c>
      <c r="M211" s="40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 t="s">
        <v>40</v>
      </c>
      <c r="BD211" s="36">
        <f>8/16</f>
        <v>0.5</v>
      </c>
      <c r="BE211" s="38"/>
      <c r="BF211" s="38"/>
      <c r="BG211" s="39"/>
      <c r="BH211" s="38"/>
      <c r="BI211" s="38"/>
      <c r="BJ211" s="38"/>
      <c r="BK211" s="38"/>
      <c r="BL211" s="38"/>
      <c r="BM211" s="38"/>
      <c r="BN211" s="38">
        <v>1</v>
      </c>
      <c r="BO211" s="37">
        <f t="shared" si="15"/>
        <v>0</v>
      </c>
      <c r="BP211" s="56">
        <f t="shared" si="16"/>
        <v>0</v>
      </c>
      <c r="BQ211" s="56">
        <f t="shared" si="17"/>
        <v>0</v>
      </c>
      <c r="BR211" s="57">
        <f t="shared" si="18"/>
        <v>1</v>
      </c>
      <c r="BS211" s="38"/>
      <c r="BT211" s="38"/>
      <c r="BU211" s="26"/>
      <c r="BV211" s="26"/>
      <c r="BW211" s="39">
        <f t="shared" si="19"/>
        <v>1</v>
      </c>
      <c r="BX211" s="78">
        <v>4</v>
      </c>
      <c r="BY211" s="63">
        <v>9</v>
      </c>
      <c r="BZ211" s="7"/>
      <c r="CA211" s="8"/>
      <c r="CB211" s="7"/>
      <c r="CC211" s="7"/>
    </row>
    <row r="212" spans="1:81" x14ac:dyDescent="0.2">
      <c r="A212" s="109" t="s">
        <v>277</v>
      </c>
      <c r="B212" s="45">
        <v>34</v>
      </c>
      <c r="C212" s="109" t="s">
        <v>127</v>
      </c>
      <c r="D212" s="26">
        <v>1</v>
      </c>
      <c r="E212" s="26">
        <v>2</v>
      </c>
      <c r="F212" s="26">
        <v>4</v>
      </c>
      <c r="G212" s="26" t="s">
        <v>50</v>
      </c>
      <c r="H212" s="26">
        <v>6</v>
      </c>
      <c r="I212" s="26" t="s">
        <v>51</v>
      </c>
      <c r="J212" s="26"/>
      <c r="K212" s="26" t="s">
        <v>47</v>
      </c>
      <c r="L212" s="26">
        <v>6</v>
      </c>
      <c r="M212" s="40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26"/>
      <c r="BF212" s="26"/>
      <c r="BG212" s="37"/>
      <c r="BH212" s="26"/>
      <c r="BI212" s="26"/>
      <c r="BJ212" s="26"/>
      <c r="BK212" s="26"/>
      <c r="BL212" s="26"/>
      <c r="BM212" s="26"/>
      <c r="BN212" s="26"/>
      <c r="BO212" s="37">
        <f t="shared" si="15"/>
        <v>0</v>
      </c>
      <c r="BP212" s="56">
        <f t="shared" si="16"/>
        <v>0</v>
      </c>
      <c r="BQ212" s="56">
        <f t="shared" si="17"/>
        <v>0</v>
      </c>
      <c r="BR212" s="57">
        <f t="shared" si="18"/>
        <v>0</v>
      </c>
      <c r="BS212" s="38"/>
      <c r="BT212" s="38"/>
      <c r="BU212" s="26"/>
      <c r="BV212" s="26"/>
      <c r="BW212" s="39">
        <f t="shared" si="19"/>
        <v>0</v>
      </c>
      <c r="BX212" s="78">
        <v>0</v>
      </c>
      <c r="BY212" s="63">
        <v>3</v>
      </c>
      <c r="CB212" s="7"/>
      <c r="CC212" s="7"/>
    </row>
    <row r="213" spans="1:81" x14ac:dyDescent="0.2">
      <c r="A213" s="109" t="s">
        <v>277</v>
      </c>
      <c r="B213" s="45">
        <v>34</v>
      </c>
      <c r="C213" s="109" t="s">
        <v>127</v>
      </c>
      <c r="D213" s="26">
        <v>2</v>
      </c>
      <c r="E213" s="26">
        <v>2</v>
      </c>
      <c r="F213" s="26">
        <v>2</v>
      </c>
      <c r="G213" s="26" t="s">
        <v>51</v>
      </c>
      <c r="H213" s="26">
        <v>4</v>
      </c>
      <c r="I213" s="26" t="s">
        <v>51</v>
      </c>
      <c r="J213" s="26" t="s">
        <v>42</v>
      </c>
      <c r="K213" s="26"/>
      <c r="L213" s="26">
        <v>5</v>
      </c>
      <c r="M213" s="40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26"/>
      <c r="BF213" s="26"/>
      <c r="BG213" s="37"/>
      <c r="BH213" s="26"/>
      <c r="BI213" s="26"/>
      <c r="BJ213" s="26"/>
      <c r="BK213" s="26"/>
      <c r="BL213" s="26"/>
      <c r="BM213" s="26"/>
      <c r="BO213" s="37">
        <f t="shared" si="15"/>
        <v>0</v>
      </c>
      <c r="BP213" s="56">
        <f t="shared" si="16"/>
        <v>0</v>
      </c>
      <c r="BQ213" s="56">
        <f t="shared" si="17"/>
        <v>0</v>
      </c>
      <c r="BR213" s="57">
        <f t="shared" si="18"/>
        <v>0</v>
      </c>
      <c r="BS213" s="38"/>
      <c r="BT213" s="38"/>
      <c r="BU213" s="26"/>
      <c r="BV213" s="26"/>
      <c r="BW213" s="39">
        <f t="shared" si="19"/>
        <v>0</v>
      </c>
      <c r="BX213" s="78">
        <v>0</v>
      </c>
      <c r="BY213" s="63">
        <v>8</v>
      </c>
    </row>
    <row r="214" spans="1:81" x14ac:dyDescent="0.2">
      <c r="A214" s="109" t="s">
        <v>277</v>
      </c>
      <c r="B214" s="45">
        <v>34</v>
      </c>
      <c r="C214" s="109" t="s">
        <v>127</v>
      </c>
      <c r="D214" s="26">
        <v>3</v>
      </c>
      <c r="E214" s="26">
        <v>2</v>
      </c>
      <c r="F214" s="26" t="s">
        <v>53</v>
      </c>
      <c r="G214" s="26" t="s">
        <v>50</v>
      </c>
      <c r="H214" s="26"/>
      <c r="I214" s="26"/>
      <c r="J214" s="26"/>
      <c r="K214" s="38" t="s">
        <v>63</v>
      </c>
      <c r="L214" s="26">
        <v>6</v>
      </c>
      <c r="M214" s="40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26"/>
      <c r="BF214" s="26"/>
      <c r="BG214" s="37"/>
      <c r="BH214" s="26"/>
      <c r="BI214" s="26"/>
      <c r="BJ214" s="26"/>
      <c r="BK214" s="26"/>
      <c r="BL214" s="26"/>
      <c r="BM214" s="26"/>
      <c r="BN214" s="26"/>
      <c r="BO214" s="37">
        <f t="shared" si="15"/>
        <v>0</v>
      </c>
      <c r="BP214" s="56">
        <f t="shared" si="16"/>
        <v>0</v>
      </c>
      <c r="BQ214" s="56">
        <f t="shared" si="17"/>
        <v>0</v>
      </c>
      <c r="BR214" s="57">
        <f t="shared" si="18"/>
        <v>0</v>
      </c>
      <c r="BS214" s="38"/>
      <c r="BT214" s="38"/>
      <c r="BU214" s="26"/>
      <c r="BV214" s="26"/>
      <c r="BW214" s="39">
        <f t="shared" si="19"/>
        <v>0</v>
      </c>
      <c r="BX214" s="78">
        <v>0</v>
      </c>
      <c r="BY214" s="63">
        <v>2</v>
      </c>
      <c r="BZ214" s="7"/>
      <c r="CA214" s="8"/>
      <c r="CB214" s="7"/>
      <c r="CC214" s="7"/>
    </row>
    <row r="215" spans="1:81" x14ac:dyDescent="0.2">
      <c r="A215" s="109" t="s">
        <v>277</v>
      </c>
      <c r="B215" s="45">
        <v>34</v>
      </c>
      <c r="C215" s="109" t="s">
        <v>127</v>
      </c>
      <c r="D215" s="26">
        <v>4</v>
      </c>
      <c r="E215" s="26">
        <v>2</v>
      </c>
      <c r="F215" s="26">
        <v>4</v>
      </c>
      <c r="G215" s="26" t="s">
        <v>50</v>
      </c>
      <c r="H215" s="26">
        <v>7</v>
      </c>
      <c r="I215" s="26"/>
      <c r="J215" s="26" t="s">
        <v>37</v>
      </c>
      <c r="K215" s="26"/>
      <c r="L215" s="26">
        <v>6</v>
      </c>
      <c r="M215" s="40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26"/>
      <c r="BF215" s="26"/>
      <c r="BG215" s="37"/>
      <c r="BH215" s="26"/>
      <c r="BI215" s="26"/>
      <c r="BJ215" s="26"/>
      <c r="BK215" s="26"/>
      <c r="BL215" s="26"/>
      <c r="BM215" s="26"/>
      <c r="BN215" s="26"/>
      <c r="BO215" s="37">
        <f t="shared" si="15"/>
        <v>0</v>
      </c>
      <c r="BP215" s="56">
        <f t="shared" si="16"/>
        <v>0</v>
      </c>
      <c r="BQ215" s="56">
        <f t="shared" si="17"/>
        <v>0</v>
      </c>
      <c r="BR215" s="57">
        <f t="shared" si="18"/>
        <v>0</v>
      </c>
      <c r="BS215" s="38"/>
      <c r="BT215" s="38"/>
      <c r="BU215" s="26"/>
      <c r="BV215" s="26"/>
      <c r="BW215" s="39">
        <f t="shared" si="19"/>
        <v>0</v>
      </c>
      <c r="BX215" s="78">
        <v>0</v>
      </c>
      <c r="BY215" s="63">
        <v>9</v>
      </c>
      <c r="BZ215" s="7"/>
      <c r="CA215" s="8"/>
      <c r="CB215" s="7"/>
      <c r="CC215" s="7"/>
    </row>
    <row r="216" spans="1:81" ht="16" x14ac:dyDescent="0.2">
      <c r="A216" s="109" t="s">
        <v>277</v>
      </c>
      <c r="B216" s="45">
        <v>34</v>
      </c>
      <c r="C216" s="109" t="s">
        <v>127</v>
      </c>
      <c r="D216" s="26">
        <v>7</v>
      </c>
      <c r="E216" s="26">
        <v>2</v>
      </c>
      <c r="F216" s="26">
        <v>2</v>
      </c>
      <c r="G216" s="26" t="s">
        <v>51</v>
      </c>
      <c r="H216" s="26">
        <v>5</v>
      </c>
      <c r="I216" s="26" t="s">
        <v>50</v>
      </c>
      <c r="J216" s="26"/>
      <c r="K216" s="38" t="s">
        <v>63</v>
      </c>
      <c r="L216" s="26">
        <v>6</v>
      </c>
      <c r="M216" s="40"/>
      <c r="N216" s="36"/>
      <c r="O216" s="36"/>
      <c r="P216" s="36"/>
      <c r="Q216" s="36"/>
      <c r="R216" s="36"/>
      <c r="S216" s="36"/>
      <c r="T216" s="36"/>
      <c r="U216" s="36"/>
      <c r="V216" s="36"/>
      <c r="W216" s="36" t="s">
        <v>38</v>
      </c>
      <c r="X216" s="36">
        <f>9/16</f>
        <v>0.5625</v>
      </c>
      <c r="Y216" s="36"/>
      <c r="Z216" s="36"/>
      <c r="AA216" s="36" t="s">
        <v>38</v>
      </c>
      <c r="AB216" s="36">
        <f>4/16</f>
        <v>0.25</v>
      </c>
      <c r="AC216" s="36"/>
      <c r="AD216" s="36"/>
      <c r="AE216" s="36" t="s">
        <v>38</v>
      </c>
      <c r="AF216" s="36">
        <f>4.5/16</f>
        <v>0.28125</v>
      </c>
      <c r="AG216" s="36" t="s">
        <v>39</v>
      </c>
      <c r="AH216" s="36">
        <f>17/16</f>
        <v>1.0625</v>
      </c>
      <c r="AI216" s="36"/>
      <c r="AJ216" s="36"/>
      <c r="AK216" s="36"/>
      <c r="AL216" s="36"/>
      <c r="AM216" s="36" t="s">
        <v>38</v>
      </c>
      <c r="AN216" s="36">
        <f>5/16</f>
        <v>0.3125</v>
      </c>
      <c r="AO216" s="36"/>
      <c r="AP216" s="36"/>
      <c r="AQ216" s="36" t="s">
        <v>38</v>
      </c>
      <c r="AR216" s="36">
        <f>5/16</f>
        <v>0.3125</v>
      </c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26"/>
      <c r="BF216" s="26"/>
      <c r="BG216" s="37"/>
      <c r="BH216" s="26">
        <v>3</v>
      </c>
      <c r="BI216" s="26">
        <v>1</v>
      </c>
      <c r="BJ216" s="26"/>
      <c r="BK216" s="26"/>
      <c r="BL216" s="26"/>
      <c r="BM216" s="26"/>
      <c r="BO216" s="37">
        <f t="shared" si="15"/>
        <v>1</v>
      </c>
      <c r="BP216" s="56">
        <f t="shared" si="16"/>
        <v>3</v>
      </c>
      <c r="BQ216" s="56">
        <f t="shared" si="17"/>
        <v>0</v>
      </c>
      <c r="BR216" s="57">
        <f t="shared" si="18"/>
        <v>0</v>
      </c>
      <c r="BS216" s="38"/>
      <c r="BT216" s="38"/>
      <c r="BU216" s="26"/>
      <c r="BV216" s="26"/>
      <c r="BW216" s="39">
        <f t="shared" si="19"/>
        <v>4</v>
      </c>
      <c r="BX216" s="78">
        <v>2</v>
      </c>
      <c r="BY216" s="63">
        <v>2</v>
      </c>
    </row>
    <row r="217" spans="1:81" x14ac:dyDescent="0.2">
      <c r="A217" s="109" t="s">
        <v>277</v>
      </c>
      <c r="B217" s="45">
        <v>34</v>
      </c>
      <c r="C217" s="109" t="s">
        <v>127</v>
      </c>
      <c r="D217" s="26">
        <v>8</v>
      </c>
      <c r="E217" s="26">
        <v>2</v>
      </c>
      <c r="F217" s="26">
        <v>2</v>
      </c>
      <c r="G217" s="26" t="s">
        <v>51</v>
      </c>
      <c r="H217" s="26">
        <v>4</v>
      </c>
      <c r="I217" s="26" t="s">
        <v>51</v>
      </c>
      <c r="J217" s="26" t="s">
        <v>65</v>
      </c>
      <c r="K217" s="26"/>
      <c r="L217" s="26">
        <v>5</v>
      </c>
      <c r="M217" s="40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26"/>
      <c r="BF217" s="26"/>
      <c r="BG217" s="37"/>
      <c r="BH217" s="26"/>
      <c r="BI217" s="26"/>
      <c r="BJ217" s="26"/>
      <c r="BK217" s="26"/>
      <c r="BL217" s="26"/>
      <c r="BM217" s="26"/>
      <c r="BO217" s="37">
        <f t="shared" si="15"/>
        <v>0</v>
      </c>
      <c r="BP217" s="56">
        <f t="shared" si="16"/>
        <v>0</v>
      </c>
      <c r="BQ217" s="56">
        <f t="shared" si="17"/>
        <v>0</v>
      </c>
      <c r="BR217" s="57">
        <f t="shared" si="18"/>
        <v>0</v>
      </c>
      <c r="BS217" s="38"/>
      <c r="BT217" s="38"/>
      <c r="BU217" s="26"/>
      <c r="BV217" s="26"/>
      <c r="BW217" s="39">
        <f t="shared" si="19"/>
        <v>0</v>
      </c>
      <c r="BX217" s="78">
        <v>0</v>
      </c>
      <c r="BY217" s="63">
        <v>11</v>
      </c>
    </row>
    <row r="218" spans="1:81" ht="16" x14ac:dyDescent="0.2">
      <c r="A218" s="109" t="s">
        <v>277</v>
      </c>
      <c r="B218" s="45">
        <v>34</v>
      </c>
      <c r="C218" s="109" t="s">
        <v>127</v>
      </c>
      <c r="D218" s="26">
        <v>11</v>
      </c>
      <c r="E218" s="26">
        <v>2</v>
      </c>
      <c r="F218" s="26">
        <v>2</v>
      </c>
      <c r="G218" s="26" t="s">
        <v>51</v>
      </c>
      <c r="H218" s="26">
        <v>4</v>
      </c>
      <c r="I218" s="26" t="s">
        <v>51</v>
      </c>
      <c r="J218" s="26" t="s">
        <v>42</v>
      </c>
      <c r="K218" s="26"/>
      <c r="L218" s="26">
        <v>6</v>
      </c>
      <c r="M218" s="40"/>
      <c r="N218" s="36"/>
      <c r="O218" s="36" t="s">
        <v>48</v>
      </c>
      <c r="P218" s="36">
        <f>7/16</f>
        <v>0.4375</v>
      </c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26"/>
      <c r="BF218" s="26"/>
      <c r="BG218" s="37"/>
      <c r="BH218" s="26"/>
      <c r="BI218" s="26"/>
      <c r="BJ218" s="26"/>
      <c r="BK218" s="26"/>
      <c r="BL218" s="26">
        <v>1</v>
      </c>
      <c r="BM218" s="26"/>
      <c r="BO218" s="37">
        <f t="shared" si="15"/>
        <v>0</v>
      </c>
      <c r="BP218" s="56">
        <f t="shared" si="16"/>
        <v>0</v>
      </c>
      <c r="BQ218" s="56">
        <f t="shared" si="17"/>
        <v>0</v>
      </c>
      <c r="BR218" s="57">
        <f t="shared" si="18"/>
        <v>1</v>
      </c>
      <c r="BS218" s="38"/>
      <c r="BT218" s="38"/>
      <c r="BU218" s="26"/>
      <c r="BV218" s="26"/>
      <c r="BW218" s="39">
        <f t="shared" si="19"/>
        <v>1</v>
      </c>
      <c r="BX218" s="78">
        <v>4</v>
      </c>
      <c r="BY218" s="63">
        <v>8</v>
      </c>
    </row>
    <row r="219" spans="1:81" ht="16" x14ac:dyDescent="0.2">
      <c r="A219" s="109" t="s">
        <v>278</v>
      </c>
      <c r="B219" s="26">
        <v>40</v>
      </c>
      <c r="C219" s="109" t="s">
        <v>128</v>
      </c>
      <c r="D219" s="26">
        <v>1</v>
      </c>
      <c r="E219" s="26">
        <v>2</v>
      </c>
      <c r="F219" s="26">
        <v>1</v>
      </c>
      <c r="G219" s="26" t="s">
        <v>54</v>
      </c>
      <c r="H219" s="26">
        <v>1</v>
      </c>
      <c r="I219" s="26" t="s">
        <v>54</v>
      </c>
      <c r="J219" s="26"/>
      <c r="K219" s="26">
        <v>1</v>
      </c>
      <c r="L219" s="26">
        <v>5</v>
      </c>
      <c r="M219" s="40"/>
      <c r="N219" s="36"/>
      <c r="O219" s="36"/>
      <c r="P219" s="36"/>
      <c r="Q219" s="36"/>
      <c r="R219" s="36"/>
      <c r="S219" s="36" t="s">
        <v>38</v>
      </c>
      <c r="T219" s="36">
        <f>5/7</f>
        <v>0.7142857142857143</v>
      </c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 t="s">
        <v>39</v>
      </c>
      <c r="AT219" s="36">
        <f>3/7</f>
        <v>0.42857142857142855</v>
      </c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26"/>
      <c r="BF219" s="26"/>
      <c r="BG219" s="37">
        <v>1</v>
      </c>
      <c r="BH219" s="26"/>
      <c r="BI219" s="26"/>
      <c r="BJ219" s="26">
        <v>1</v>
      </c>
      <c r="BK219" s="26"/>
      <c r="BL219" s="26"/>
      <c r="BM219" s="26"/>
      <c r="BO219" s="37">
        <f t="shared" si="15"/>
        <v>1</v>
      </c>
      <c r="BP219" s="56">
        <f t="shared" si="16"/>
        <v>1</v>
      </c>
      <c r="BQ219" s="56">
        <f t="shared" si="17"/>
        <v>0</v>
      </c>
      <c r="BR219" s="57">
        <f t="shared" si="18"/>
        <v>0</v>
      </c>
      <c r="BS219" s="38"/>
      <c r="BT219" s="38"/>
      <c r="BU219" s="26"/>
      <c r="BV219" s="26"/>
      <c r="BW219" s="39">
        <f t="shared" si="19"/>
        <v>2</v>
      </c>
      <c r="BX219" s="78">
        <v>2</v>
      </c>
      <c r="BY219" s="63">
        <v>1</v>
      </c>
    </row>
    <row r="220" spans="1:81" ht="16" x14ac:dyDescent="0.2">
      <c r="A220" s="109" t="s">
        <v>278</v>
      </c>
      <c r="B220" s="26">
        <v>40</v>
      </c>
      <c r="C220" s="109" t="s">
        <v>128</v>
      </c>
      <c r="D220" s="26">
        <v>2</v>
      </c>
      <c r="E220" s="26">
        <v>2</v>
      </c>
      <c r="F220" s="26">
        <v>2</v>
      </c>
      <c r="G220" s="26" t="s">
        <v>51</v>
      </c>
      <c r="H220" s="26">
        <v>4</v>
      </c>
      <c r="I220" s="26" t="s">
        <v>51</v>
      </c>
      <c r="J220" s="26" t="s">
        <v>41</v>
      </c>
      <c r="K220" s="26"/>
      <c r="L220" s="26">
        <v>5</v>
      </c>
      <c r="M220" s="40"/>
      <c r="N220" s="36"/>
      <c r="O220" s="36"/>
      <c r="P220" s="36"/>
      <c r="Q220" s="36"/>
      <c r="R220" s="36"/>
      <c r="S220" s="36"/>
      <c r="T220" s="36"/>
      <c r="U220" s="36" t="s">
        <v>39</v>
      </c>
      <c r="V220" s="36">
        <f>6.5/7</f>
        <v>0.9285714285714286</v>
      </c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 t="s">
        <v>39</v>
      </c>
      <c r="AH220" s="36">
        <f>6.5/7</f>
        <v>0.9285714285714286</v>
      </c>
      <c r="AI220" s="36"/>
      <c r="AJ220" s="36"/>
      <c r="AK220" s="36"/>
      <c r="AL220" s="36"/>
      <c r="AM220" s="36" t="s">
        <v>39</v>
      </c>
      <c r="AN220" s="36">
        <f>6.5/7</f>
        <v>0.9285714285714286</v>
      </c>
      <c r="AO220" s="36"/>
      <c r="AP220" s="36"/>
      <c r="AQ220" s="36" t="s">
        <v>39</v>
      </c>
      <c r="AR220" s="36">
        <f>6/7</f>
        <v>0.8571428571428571</v>
      </c>
      <c r="AS220" s="36"/>
      <c r="AT220" s="36"/>
      <c r="AU220" s="36"/>
      <c r="AV220" s="36"/>
      <c r="AW220" s="36"/>
      <c r="AX220" s="36"/>
      <c r="AY220" s="36" t="s">
        <v>39</v>
      </c>
      <c r="AZ220" s="36">
        <f>6/7</f>
        <v>0.8571428571428571</v>
      </c>
      <c r="BA220" s="36"/>
      <c r="BB220" s="36"/>
      <c r="BC220" s="36" t="s">
        <v>38</v>
      </c>
      <c r="BD220" s="36">
        <f>5.5/7</f>
        <v>0.7857142857142857</v>
      </c>
      <c r="BE220" s="26"/>
      <c r="BF220" s="26"/>
      <c r="BG220" s="37">
        <v>1</v>
      </c>
      <c r="BH220" s="26"/>
      <c r="BI220" s="26">
        <v>5</v>
      </c>
      <c r="BJ220" s="26"/>
      <c r="BK220" s="26"/>
      <c r="BL220" s="26"/>
      <c r="BM220" s="26"/>
      <c r="BO220" s="37">
        <f t="shared" si="15"/>
        <v>6</v>
      </c>
      <c r="BP220" s="56">
        <f t="shared" si="16"/>
        <v>0</v>
      </c>
      <c r="BQ220" s="56">
        <f t="shared" si="17"/>
        <v>0</v>
      </c>
      <c r="BR220" s="57">
        <f t="shared" si="18"/>
        <v>0</v>
      </c>
      <c r="BS220" s="38"/>
      <c r="BT220" s="38"/>
      <c r="BU220" s="26"/>
      <c r="BV220" s="26"/>
      <c r="BW220" s="39">
        <f t="shared" si="19"/>
        <v>6</v>
      </c>
      <c r="BX220" s="78">
        <v>1</v>
      </c>
      <c r="BY220" s="63">
        <v>10</v>
      </c>
    </row>
    <row r="221" spans="1:81" ht="16" x14ac:dyDescent="0.2">
      <c r="A221" s="109" t="s">
        <v>278</v>
      </c>
      <c r="B221" s="26">
        <v>40</v>
      </c>
      <c r="C221" s="109" t="s">
        <v>128</v>
      </c>
      <c r="D221" s="26">
        <v>3</v>
      </c>
      <c r="E221" s="26">
        <v>2</v>
      </c>
      <c r="F221" s="26">
        <v>4</v>
      </c>
      <c r="G221" s="26" t="s">
        <v>56</v>
      </c>
      <c r="H221" s="26">
        <v>7</v>
      </c>
      <c r="I221" s="26" t="s">
        <v>54</v>
      </c>
      <c r="J221" s="26"/>
      <c r="K221" s="26">
        <v>7</v>
      </c>
      <c r="L221" s="26">
        <v>5</v>
      </c>
      <c r="M221" s="40"/>
      <c r="N221" s="36"/>
      <c r="O221" s="36" t="s">
        <v>38</v>
      </c>
      <c r="P221" s="36">
        <f>4/8</f>
        <v>0.5</v>
      </c>
      <c r="Q221" s="36" t="s">
        <v>39</v>
      </c>
      <c r="R221" s="36">
        <f>3.5/8</f>
        <v>0.4375</v>
      </c>
      <c r="S221" s="36"/>
      <c r="T221" s="36"/>
      <c r="U221" s="36"/>
      <c r="V221" s="36"/>
      <c r="W221" s="36"/>
      <c r="X221" s="36"/>
      <c r="Y221" s="36"/>
      <c r="Z221" s="36"/>
      <c r="AA221" s="36" t="s">
        <v>38</v>
      </c>
      <c r="AB221" s="36">
        <f>4.5/8</f>
        <v>0.5625</v>
      </c>
      <c r="AC221" s="36" t="s">
        <v>38</v>
      </c>
      <c r="AD221" s="36">
        <f>2.5/8</f>
        <v>0.3125</v>
      </c>
      <c r="AE221" s="36"/>
      <c r="AF221" s="36"/>
      <c r="AG221" s="36"/>
      <c r="AH221" s="36"/>
      <c r="AI221" s="36"/>
      <c r="AJ221" s="36"/>
      <c r="AK221" s="36" t="s">
        <v>39</v>
      </c>
      <c r="AL221" s="36">
        <f>4.5/8</f>
        <v>0.5625</v>
      </c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 t="s">
        <v>39</v>
      </c>
      <c r="BD221" s="36">
        <f>3/8</f>
        <v>0.375</v>
      </c>
      <c r="BE221" s="26" t="s">
        <v>39</v>
      </c>
      <c r="BF221" s="26" t="s">
        <v>46</v>
      </c>
      <c r="BG221" s="37"/>
      <c r="BH221" s="26">
        <v>3</v>
      </c>
      <c r="BI221" s="26"/>
      <c r="BJ221" s="26">
        <v>3</v>
      </c>
      <c r="BK221" s="26"/>
      <c r="BL221" s="26"/>
      <c r="BM221" s="26"/>
      <c r="BO221" s="37">
        <f t="shared" si="15"/>
        <v>1</v>
      </c>
      <c r="BP221" s="56">
        <f t="shared" si="16"/>
        <v>6</v>
      </c>
      <c r="BQ221" s="56">
        <f t="shared" si="17"/>
        <v>0</v>
      </c>
      <c r="BR221" s="57">
        <f t="shared" si="18"/>
        <v>0</v>
      </c>
      <c r="BS221" s="38"/>
      <c r="BT221" s="38"/>
      <c r="BU221" s="26">
        <v>1</v>
      </c>
      <c r="BV221" s="26"/>
      <c r="BW221" s="39">
        <f t="shared" si="19"/>
        <v>7</v>
      </c>
      <c r="BX221" s="78">
        <v>2</v>
      </c>
      <c r="BY221" s="63">
        <v>1</v>
      </c>
    </row>
    <row r="222" spans="1:81" x14ac:dyDescent="0.2">
      <c r="A222" s="109" t="s">
        <v>279</v>
      </c>
      <c r="B222" s="26">
        <v>43</v>
      </c>
      <c r="C222" s="109" t="s">
        <v>129</v>
      </c>
      <c r="D222" s="26">
        <v>1</v>
      </c>
      <c r="E222" s="26">
        <v>2</v>
      </c>
      <c r="F222" s="26">
        <v>2</v>
      </c>
      <c r="G222" s="26" t="s">
        <v>51</v>
      </c>
      <c r="H222" s="26">
        <v>4</v>
      </c>
      <c r="I222" s="26" t="s">
        <v>51</v>
      </c>
      <c r="J222" s="26" t="s">
        <v>69</v>
      </c>
      <c r="K222" s="26"/>
      <c r="L222" s="26">
        <v>5</v>
      </c>
      <c r="M222" s="40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26"/>
      <c r="BF222" s="26"/>
      <c r="BG222" s="37"/>
      <c r="BH222" s="26"/>
      <c r="BI222" s="26"/>
      <c r="BJ222" s="26"/>
      <c r="BK222" s="26"/>
      <c r="BL222" s="26"/>
      <c r="BM222" s="26"/>
      <c r="BN222" s="26"/>
      <c r="BO222" s="37">
        <f t="shared" si="15"/>
        <v>0</v>
      </c>
      <c r="BP222" s="56">
        <f t="shared" si="16"/>
        <v>0</v>
      </c>
      <c r="BQ222" s="56">
        <f t="shared" si="17"/>
        <v>0</v>
      </c>
      <c r="BR222" s="57">
        <f t="shared" si="18"/>
        <v>0</v>
      </c>
      <c r="BS222" s="38"/>
      <c r="BT222" s="38"/>
      <c r="BU222" s="26"/>
      <c r="BV222" s="26"/>
      <c r="BW222" s="39">
        <f t="shared" si="19"/>
        <v>0</v>
      </c>
      <c r="BX222" s="78">
        <v>0</v>
      </c>
      <c r="BY222" s="63">
        <v>12</v>
      </c>
      <c r="BZ222" s="7"/>
      <c r="CA222" s="8"/>
      <c r="CB222" s="7"/>
      <c r="CC222" s="7"/>
    </row>
    <row r="223" spans="1:81" ht="16" x14ac:dyDescent="0.2">
      <c r="A223" s="111" t="s">
        <v>279</v>
      </c>
      <c r="B223" s="26">
        <v>43</v>
      </c>
      <c r="C223" s="109" t="s">
        <v>129</v>
      </c>
      <c r="D223" s="26">
        <v>2</v>
      </c>
      <c r="E223" s="26">
        <v>2</v>
      </c>
      <c r="F223" s="26" t="s">
        <v>53</v>
      </c>
      <c r="G223" s="26" t="s">
        <v>50</v>
      </c>
      <c r="H223" s="26"/>
      <c r="I223" s="26"/>
      <c r="J223" s="26"/>
      <c r="K223" s="26">
        <v>12</v>
      </c>
      <c r="L223" s="26">
        <v>6</v>
      </c>
      <c r="M223" s="40"/>
      <c r="N223" s="36"/>
      <c r="O223" s="36"/>
      <c r="P223" s="36"/>
      <c r="Q223" s="36"/>
      <c r="R223" s="36"/>
      <c r="S223" s="36"/>
      <c r="T223" s="36"/>
      <c r="U223" s="36"/>
      <c r="V223" s="36"/>
      <c r="W223" s="36" t="s">
        <v>39</v>
      </c>
      <c r="X223" s="36">
        <f>7/8</f>
        <v>0.875</v>
      </c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 t="s">
        <v>39</v>
      </c>
      <c r="AN223" s="36">
        <f>7/8</f>
        <v>0.875</v>
      </c>
      <c r="AO223" s="36" t="s">
        <v>38</v>
      </c>
      <c r="AP223" s="36">
        <f>14.5/8</f>
        <v>1.8125</v>
      </c>
      <c r="AQ223" s="36"/>
      <c r="AR223" s="36"/>
      <c r="AS223" s="36"/>
      <c r="AT223" s="36"/>
      <c r="AU223" s="36"/>
      <c r="AV223" s="36"/>
      <c r="AW223" s="36" t="s">
        <v>38</v>
      </c>
      <c r="AX223" s="36">
        <f>8/8</f>
        <v>1</v>
      </c>
      <c r="AY223" s="36"/>
      <c r="AZ223" s="36"/>
      <c r="BA223" s="36"/>
      <c r="BB223" s="36"/>
      <c r="BC223" s="36"/>
      <c r="BD223" s="36"/>
      <c r="BE223" s="26"/>
      <c r="BF223" s="26"/>
      <c r="BG223" s="39">
        <v>2</v>
      </c>
      <c r="BH223" s="38"/>
      <c r="BI223" s="38">
        <v>2</v>
      </c>
      <c r="BJ223" s="38"/>
      <c r="BK223" s="38"/>
      <c r="BL223" s="38"/>
      <c r="BM223" s="38"/>
      <c r="BN223" s="38"/>
      <c r="BO223" s="37">
        <f t="shared" si="15"/>
        <v>4</v>
      </c>
      <c r="BP223" s="56">
        <f t="shared" si="16"/>
        <v>0</v>
      </c>
      <c r="BQ223" s="56">
        <f t="shared" si="17"/>
        <v>0</v>
      </c>
      <c r="BR223" s="57">
        <f t="shared" si="18"/>
        <v>0</v>
      </c>
      <c r="BS223" s="38"/>
      <c r="BT223" s="38"/>
      <c r="BU223" s="26"/>
      <c r="BV223" s="26"/>
      <c r="BW223" s="39">
        <f t="shared" si="19"/>
        <v>4</v>
      </c>
      <c r="BX223" s="78">
        <v>1</v>
      </c>
      <c r="BY223" s="63">
        <v>2</v>
      </c>
      <c r="BZ223" s="7"/>
      <c r="CA223" s="8"/>
      <c r="CB223" s="17"/>
      <c r="CC223" s="17"/>
    </row>
    <row r="224" spans="1:81" ht="16" x14ac:dyDescent="0.2">
      <c r="A224" s="111" t="s">
        <v>279</v>
      </c>
      <c r="B224" s="26">
        <v>43</v>
      </c>
      <c r="C224" s="109" t="s">
        <v>129</v>
      </c>
      <c r="D224" s="26">
        <v>3</v>
      </c>
      <c r="E224" s="26">
        <v>2</v>
      </c>
      <c r="F224" s="26">
        <v>2</v>
      </c>
      <c r="G224" s="26" t="s">
        <v>51</v>
      </c>
      <c r="H224" s="26">
        <v>5</v>
      </c>
      <c r="I224" s="26" t="s">
        <v>56</v>
      </c>
      <c r="J224" s="26"/>
      <c r="K224" s="26" t="s">
        <v>47</v>
      </c>
      <c r="L224" s="26">
        <v>7</v>
      </c>
      <c r="M224" s="40"/>
      <c r="N224" s="36"/>
      <c r="O224" s="36"/>
      <c r="P224" s="36"/>
      <c r="Q224" s="36" t="s">
        <v>57</v>
      </c>
      <c r="R224" s="36">
        <f>6/8</f>
        <v>0.75</v>
      </c>
      <c r="S224" s="36" t="s">
        <v>39</v>
      </c>
      <c r="T224" s="36">
        <f>6/8</f>
        <v>0.75</v>
      </c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 t="s">
        <v>39</v>
      </c>
      <c r="AJ224" s="36">
        <f>6.5/8</f>
        <v>0.8125</v>
      </c>
      <c r="AK224" s="36" t="s">
        <v>39</v>
      </c>
      <c r="AL224" s="36">
        <f>7.5/8</f>
        <v>0.9375</v>
      </c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26"/>
      <c r="BF224" s="26"/>
      <c r="BG224" s="39"/>
      <c r="BH224" s="38"/>
      <c r="BI224" s="38">
        <v>3</v>
      </c>
      <c r="BJ224" s="38"/>
      <c r="BK224" s="38"/>
      <c r="BL224" s="38"/>
      <c r="BM224" s="38">
        <v>1</v>
      </c>
      <c r="BN224" s="38"/>
      <c r="BO224" s="37">
        <f t="shared" si="15"/>
        <v>3</v>
      </c>
      <c r="BP224" s="56">
        <f t="shared" si="16"/>
        <v>0</v>
      </c>
      <c r="BQ224" s="56">
        <f t="shared" si="17"/>
        <v>1</v>
      </c>
      <c r="BR224" s="57">
        <f t="shared" si="18"/>
        <v>0</v>
      </c>
      <c r="BS224" s="38"/>
      <c r="BT224" s="38"/>
      <c r="BU224" s="26"/>
      <c r="BV224" s="26"/>
      <c r="BW224" s="39">
        <f t="shared" si="19"/>
        <v>4</v>
      </c>
      <c r="BX224" s="78">
        <v>2</v>
      </c>
      <c r="BY224" s="63">
        <v>3</v>
      </c>
      <c r="BZ224" s="7"/>
      <c r="CA224" s="8"/>
      <c r="CB224" s="17"/>
      <c r="CC224" s="17"/>
    </row>
    <row r="225" spans="1:81" ht="16" x14ac:dyDescent="0.2">
      <c r="A225" s="109" t="s">
        <v>279</v>
      </c>
      <c r="B225" s="26">
        <v>43</v>
      </c>
      <c r="C225" s="109" t="s">
        <v>129</v>
      </c>
      <c r="D225" s="26">
        <v>4</v>
      </c>
      <c r="E225" s="26">
        <v>2</v>
      </c>
      <c r="F225" s="26">
        <v>2</v>
      </c>
      <c r="G225" s="26" t="s">
        <v>51</v>
      </c>
      <c r="H225" s="26">
        <v>4</v>
      </c>
      <c r="I225" s="26" t="s">
        <v>51</v>
      </c>
      <c r="J225" s="26"/>
      <c r="K225" s="38" t="s">
        <v>63</v>
      </c>
      <c r="L225" s="26">
        <v>7</v>
      </c>
      <c r="M225" s="40"/>
      <c r="N225" s="36"/>
      <c r="O225" s="36" t="s">
        <v>39</v>
      </c>
      <c r="P225" s="36">
        <f>7.5/8</f>
        <v>0.9375</v>
      </c>
      <c r="Q225" s="36"/>
      <c r="R225" s="36"/>
      <c r="S225" s="36" t="s">
        <v>38</v>
      </c>
      <c r="T225" s="36">
        <f>7/8</f>
        <v>0.875</v>
      </c>
      <c r="U225" s="36" t="s">
        <v>39</v>
      </c>
      <c r="V225" s="36">
        <f>6.5/8</f>
        <v>0.8125</v>
      </c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 t="s">
        <v>39</v>
      </c>
      <c r="AV225" s="36">
        <f>7.5/8</f>
        <v>0.9375</v>
      </c>
      <c r="AW225" s="36" t="s">
        <v>39</v>
      </c>
      <c r="AX225" s="36">
        <f>7/8</f>
        <v>0.875</v>
      </c>
      <c r="AY225" s="36"/>
      <c r="AZ225" s="36"/>
      <c r="BA225" s="36"/>
      <c r="BB225" s="36"/>
      <c r="BC225" s="36"/>
      <c r="BD225" s="36"/>
      <c r="BE225" s="26"/>
      <c r="BF225" s="26"/>
      <c r="BG225" s="37">
        <v>1</v>
      </c>
      <c r="BH225" s="26"/>
      <c r="BI225" s="26">
        <v>4</v>
      </c>
      <c r="BJ225" s="26"/>
      <c r="BK225" s="26"/>
      <c r="BL225" s="26"/>
      <c r="BM225" s="26"/>
      <c r="BN225" s="26"/>
      <c r="BO225" s="37">
        <f t="shared" si="15"/>
        <v>5</v>
      </c>
      <c r="BP225" s="56">
        <f t="shared" si="16"/>
        <v>0</v>
      </c>
      <c r="BQ225" s="56">
        <f t="shared" si="17"/>
        <v>0</v>
      </c>
      <c r="BR225" s="57">
        <f t="shared" si="18"/>
        <v>0</v>
      </c>
      <c r="BS225" s="38"/>
      <c r="BT225" s="38"/>
      <c r="BU225" s="26"/>
      <c r="BV225" s="26"/>
      <c r="BW225" s="39">
        <f t="shared" si="19"/>
        <v>5</v>
      </c>
      <c r="BX225" s="78">
        <v>1</v>
      </c>
      <c r="BY225" s="63">
        <v>2</v>
      </c>
      <c r="CB225" s="7"/>
      <c r="CC225" s="7"/>
    </row>
    <row r="226" spans="1:81" ht="16" x14ac:dyDescent="0.2">
      <c r="A226" s="109" t="s">
        <v>279</v>
      </c>
      <c r="B226" s="26">
        <v>43</v>
      </c>
      <c r="C226" s="109" t="s">
        <v>129</v>
      </c>
      <c r="D226" s="26">
        <v>5</v>
      </c>
      <c r="E226" s="26">
        <v>2</v>
      </c>
      <c r="F226" s="26">
        <v>2</v>
      </c>
      <c r="G226" s="26" t="s">
        <v>51</v>
      </c>
      <c r="H226" s="26">
        <v>5</v>
      </c>
      <c r="I226" s="26" t="s">
        <v>56</v>
      </c>
      <c r="J226" s="26" t="s">
        <v>42</v>
      </c>
      <c r="K226" s="26"/>
      <c r="L226" s="26">
        <v>6</v>
      </c>
      <c r="M226" s="40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 t="s">
        <v>39</v>
      </c>
      <c r="BB226" s="36">
        <f>7.5/8</f>
        <v>0.9375</v>
      </c>
      <c r="BC226" s="36"/>
      <c r="BD226" s="36"/>
      <c r="BE226" s="26"/>
      <c r="BF226" s="26"/>
      <c r="BG226" s="37"/>
      <c r="BH226" s="26"/>
      <c r="BI226" s="26">
        <v>1</v>
      </c>
      <c r="BJ226" s="26"/>
      <c r="BK226" s="26"/>
      <c r="BL226" s="26"/>
      <c r="BM226" s="26"/>
      <c r="BN226" s="26"/>
      <c r="BO226" s="37">
        <f t="shared" si="15"/>
        <v>1</v>
      </c>
      <c r="BP226" s="56">
        <f t="shared" si="16"/>
        <v>0</v>
      </c>
      <c r="BQ226" s="56">
        <f t="shared" si="17"/>
        <v>0</v>
      </c>
      <c r="BR226" s="57">
        <f t="shared" si="18"/>
        <v>0</v>
      </c>
      <c r="BS226" s="38"/>
      <c r="BT226" s="38"/>
      <c r="BU226" s="26"/>
      <c r="BV226" s="26"/>
      <c r="BW226" s="39">
        <f t="shared" si="19"/>
        <v>1</v>
      </c>
      <c r="BX226" s="78">
        <v>1</v>
      </c>
      <c r="BY226" s="63">
        <v>8</v>
      </c>
      <c r="BZ226" s="7"/>
      <c r="CA226" s="8"/>
      <c r="CB226" s="7"/>
      <c r="CC226" s="7"/>
    </row>
    <row r="227" spans="1:81" ht="16" x14ac:dyDescent="0.2">
      <c r="A227" s="109" t="s">
        <v>280</v>
      </c>
      <c r="B227" s="42">
        <v>40</v>
      </c>
      <c r="C227" s="110" t="s">
        <v>130</v>
      </c>
      <c r="D227" s="42">
        <v>1</v>
      </c>
      <c r="E227" s="42">
        <v>2</v>
      </c>
      <c r="F227" s="36"/>
      <c r="G227" s="36"/>
      <c r="H227" s="36"/>
      <c r="I227" s="36"/>
      <c r="K227" s="42" t="s">
        <v>49</v>
      </c>
      <c r="L227" s="42">
        <v>6</v>
      </c>
      <c r="M227" s="40" t="s">
        <v>40</v>
      </c>
      <c r="N227" s="36">
        <f>3.5/9</f>
        <v>0.3888888888888889</v>
      </c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 t="s">
        <v>39</v>
      </c>
      <c r="AH227" s="36">
        <f>3/9</f>
        <v>0.33333333333333331</v>
      </c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 t="s">
        <v>39</v>
      </c>
      <c r="AT227" s="36">
        <f>2.5/9</f>
        <v>0.27777777777777779</v>
      </c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7"/>
      <c r="BH227" s="26"/>
      <c r="BI227" s="26"/>
      <c r="BJ227" s="26">
        <v>1</v>
      </c>
      <c r="BK227" s="26"/>
      <c r="BL227" s="26"/>
      <c r="BM227" s="26"/>
      <c r="BN227" s="26">
        <v>1</v>
      </c>
      <c r="BO227" s="37">
        <f t="shared" si="15"/>
        <v>0</v>
      </c>
      <c r="BP227" s="56">
        <f t="shared" si="16"/>
        <v>1</v>
      </c>
      <c r="BQ227" s="56">
        <f t="shared" si="17"/>
        <v>0</v>
      </c>
      <c r="BR227" s="57">
        <f t="shared" si="18"/>
        <v>1</v>
      </c>
      <c r="BS227" s="38"/>
      <c r="BT227" s="38"/>
      <c r="BU227" s="26"/>
      <c r="BV227" s="26"/>
      <c r="BW227" s="39">
        <f t="shared" si="19"/>
        <v>2</v>
      </c>
      <c r="BX227" s="78">
        <v>4</v>
      </c>
      <c r="BY227" s="63">
        <v>1</v>
      </c>
      <c r="BZ227" s="7"/>
      <c r="CA227" s="8"/>
      <c r="CB227" s="7"/>
      <c r="CC227" s="7"/>
    </row>
    <row r="228" spans="1:81" ht="16" x14ac:dyDescent="0.2">
      <c r="A228" s="111" t="s">
        <v>280</v>
      </c>
      <c r="B228" s="42">
        <v>40</v>
      </c>
      <c r="C228" s="110" t="s">
        <v>130</v>
      </c>
      <c r="D228" s="42">
        <v>2</v>
      </c>
      <c r="E228" s="42">
        <v>2</v>
      </c>
      <c r="F228" s="36"/>
      <c r="G228" s="36"/>
      <c r="H228" s="36"/>
      <c r="I228" s="36"/>
      <c r="K228" s="42" t="s">
        <v>49</v>
      </c>
      <c r="L228" s="42">
        <v>6</v>
      </c>
      <c r="M228" s="40"/>
      <c r="N228" s="36"/>
      <c r="O228" s="36" t="s">
        <v>39</v>
      </c>
      <c r="P228" s="36">
        <f>8.5/9</f>
        <v>0.94444444444444442</v>
      </c>
      <c r="Q228" s="36"/>
      <c r="R228" s="36"/>
      <c r="S228" s="36"/>
      <c r="T228" s="36"/>
      <c r="U228" s="36"/>
      <c r="V228" s="36"/>
      <c r="W228" s="36" t="s">
        <v>38</v>
      </c>
      <c r="X228" s="36">
        <f>8.5/9</f>
        <v>0.94444444444444442</v>
      </c>
      <c r="Y228" s="36"/>
      <c r="Z228" s="36"/>
      <c r="AA228" s="36"/>
      <c r="AB228" s="36"/>
      <c r="AC228" s="36" t="s">
        <v>38</v>
      </c>
      <c r="AD228" s="36">
        <f>10/9</f>
        <v>1.1111111111111112</v>
      </c>
      <c r="AE228" s="36" t="s">
        <v>39</v>
      </c>
      <c r="AF228" s="36">
        <v>1</v>
      </c>
      <c r="AG228" s="36"/>
      <c r="AH228" s="36"/>
      <c r="AI228" s="36"/>
      <c r="AJ228" s="36"/>
      <c r="AK228" s="36"/>
      <c r="AL228" s="36"/>
      <c r="AM228" s="36"/>
      <c r="AN228" s="36"/>
      <c r="AO228" s="36" t="s">
        <v>38</v>
      </c>
      <c r="AP228" s="36">
        <f>10/9</f>
        <v>1.1111111111111112</v>
      </c>
      <c r="AQ228" s="36" t="s">
        <v>39</v>
      </c>
      <c r="AR228" s="36">
        <f>7.5/9</f>
        <v>0.83333333333333337</v>
      </c>
      <c r="AS228" s="36" t="s">
        <v>39</v>
      </c>
      <c r="AT228" s="36">
        <f>7.5/9</f>
        <v>0.83333333333333337</v>
      </c>
      <c r="AU228" s="36"/>
      <c r="AV228" s="36"/>
      <c r="AW228" s="36" t="s">
        <v>39</v>
      </c>
      <c r="AX228" s="36">
        <f>6.5/9</f>
        <v>0.72222222222222221</v>
      </c>
      <c r="AY228" s="36"/>
      <c r="AZ228" s="36"/>
      <c r="BA228" s="36"/>
      <c r="BB228" s="36"/>
      <c r="BC228" s="36" t="s">
        <v>38</v>
      </c>
      <c r="BD228" s="36">
        <f>2.5/9</f>
        <v>0.27777777777777779</v>
      </c>
      <c r="BE228" s="36"/>
      <c r="BF228" s="36"/>
      <c r="BG228" s="39">
        <v>3</v>
      </c>
      <c r="BH228" s="38"/>
      <c r="BI228" s="38">
        <v>5</v>
      </c>
      <c r="BJ228" s="38"/>
      <c r="BK228" s="38"/>
      <c r="BL228" s="38"/>
      <c r="BM228" s="38"/>
      <c r="BN228" s="38"/>
      <c r="BO228" s="37">
        <f t="shared" si="15"/>
        <v>8</v>
      </c>
      <c r="BP228" s="56">
        <f t="shared" si="16"/>
        <v>0</v>
      </c>
      <c r="BQ228" s="56">
        <f t="shared" si="17"/>
        <v>0</v>
      </c>
      <c r="BR228" s="57">
        <f t="shared" si="18"/>
        <v>0</v>
      </c>
      <c r="BS228" s="38"/>
      <c r="BT228" s="38"/>
      <c r="BU228" s="26"/>
      <c r="BV228" s="26"/>
      <c r="BW228" s="39">
        <f t="shared" si="19"/>
        <v>8</v>
      </c>
      <c r="BX228" s="78">
        <v>1</v>
      </c>
      <c r="BY228" s="63">
        <v>1</v>
      </c>
      <c r="BZ228" s="7"/>
      <c r="CA228" s="8"/>
      <c r="CB228" s="17"/>
      <c r="CC228" s="17"/>
    </row>
    <row r="229" spans="1:81" ht="16" x14ac:dyDescent="0.2">
      <c r="A229" s="111" t="s">
        <v>280</v>
      </c>
      <c r="B229" s="42">
        <v>40</v>
      </c>
      <c r="C229" s="110" t="s">
        <v>130</v>
      </c>
      <c r="D229" s="42">
        <v>4</v>
      </c>
      <c r="E229" s="42">
        <v>2</v>
      </c>
      <c r="F229" s="36"/>
      <c r="G229" s="36"/>
      <c r="H229" s="36"/>
      <c r="I229" s="36"/>
      <c r="J229" s="42" t="s">
        <v>44</v>
      </c>
      <c r="K229" s="42"/>
      <c r="L229" s="42">
        <v>6</v>
      </c>
      <c r="M229" s="40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 t="s">
        <v>39</v>
      </c>
      <c r="AR229" s="36">
        <f>8/9</f>
        <v>0.88888888888888884</v>
      </c>
      <c r="AS229" s="36"/>
      <c r="AT229" s="36"/>
      <c r="AU229" s="36"/>
      <c r="AV229" s="36"/>
      <c r="AW229" s="36" t="s">
        <v>39</v>
      </c>
      <c r="AX229" s="36">
        <f>3/9</f>
        <v>0.33333333333333331</v>
      </c>
      <c r="AY229" s="36"/>
      <c r="AZ229" s="36"/>
      <c r="BA229" s="36"/>
      <c r="BB229" s="36"/>
      <c r="BC229" s="36" t="s">
        <v>38</v>
      </c>
      <c r="BD229" s="36">
        <f>8/9</f>
        <v>0.88888888888888884</v>
      </c>
      <c r="BE229" s="36"/>
      <c r="BF229" s="36"/>
      <c r="BG229" s="39">
        <v>1</v>
      </c>
      <c r="BH229" s="38"/>
      <c r="BI229" s="38">
        <v>1</v>
      </c>
      <c r="BJ229" s="38">
        <v>1</v>
      </c>
      <c r="BK229" s="38"/>
      <c r="BL229" s="38"/>
      <c r="BM229" s="38"/>
      <c r="BN229" s="38"/>
      <c r="BO229" s="37">
        <f t="shared" si="15"/>
        <v>2</v>
      </c>
      <c r="BP229" s="56">
        <f t="shared" si="16"/>
        <v>1</v>
      </c>
      <c r="BQ229" s="56">
        <f t="shared" si="17"/>
        <v>0</v>
      </c>
      <c r="BR229" s="57">
        <f t="shared" si="18"/>
        <v>0</v>
      </c>
      <c r="BS229" s="38"/>
      <c r="BT229" s="38"/>
      <c r="BU229" s="26"/>
      <c r="BV229" s="26"/>
      <c r="BW229" s="39">
        <f t="shared" si="19"/>
        <v>3</v>
      </c>
      <c r="BX229" s="78">
        <v>2</v>
      </c>
      <c r="BY229" s="63">
        <v>4</v>
      </c>
      <c r="BZ229" s="7"/>
      <c r="CA229" s="8"/>
      <c r="CB229" s="17"/>
      <c r="CC229" s="17"/>
    </row>
    <row r="230" spans="1:81" ht="16" x14ac:dyDescent="0.2">
      <c r="A230" s="111" t="s">
        <v>280</v>
      </c>
      <c r="B230" s="42">
        <v>40</v>
      </c>
      <c r="C230" s="110" t="s">
        <v>130</v>
      </c>
      <c r="D230" s="42">
        <v>5</v>
      </c>
      <c r="E230" s="42">
        <v>2</v>
      </c>
      <c r="F230" s="36"/>
      <c r="G230" s="36"/>
      <c r="H230" s="36"/>
      <c r="I230" s="36"/>
      <c r="J230" s="42" t="s">
        <v>41</v>
      </c>
      <c r="K230" s="42"/>
      <c r="L230" s="42">
        <v>5</v>
      </c>
      <c r="M230" s="40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 t="s">
        <v>39</v>
      </c>
      <c r="BB230" s="36">
        <f>10/9</f>
        <v>1.1111111111111112</v>
      </c>
      <c r="BC230" s="36" t="s">
        <v>38</v>
      </c>
      <c r="BD230" s="36">
        <f>8/9</f>
        <v>0.88888888888888884</v>
      </c>
      <c r="BE230" s="36"/>
      <c r="BF230" s="36"/>
      <c r="BG230" s="39">
        <v>1</v>
      </c>
      <c r="BH230" s="38"/>
      <c r="BI230" s="38">
        <v>1</v>
      </c>
      <c r="BJ230" s="38"/>
      <c r="BK230" s="38"/>
      <c r="BL230" s="38"/>
      <c r="BM230" s="38"/>
      <c r="BN230" s="38"/>
      <c r="BO230" s="37">
        <f t="shared" si="15"/>
        <v>2</v>
      </c>
      <c r="BP230" s="56">
        <f t="shared" si="16"/>
        <v>0</v>
      </c>
      <c r="BQ230" s="56">
        <f t="shared" si="17"/>
        <v>0</v>
      </c>
      <c r="BR230" s="57">
        <f t="shared" si="18"/>
        <v>0</v>
      </c>
      <c r="BS230" s="38"/>
      <c r="BT230" s="38"/>
      <c r="BU230" s="26"/>
      <c r="BV230" s="26"/>
      <c r="BW230" s="39">
        <f t="shared" si="19"/>
        <v>2</v>
      </c>
      <c r="BX230" s="78">
        <v>1</v>
      </c>
      <c r="BY230" s="63">
        <v>10</v>
      </c>
      <c r="BZ230" s="7"/>
      <c r="CA230" s="8"/>
      <c r="CB230" s="17"/>
      <c r="CC230" s="17"/>
    </row>
    <row r="231" spans="1:81" x14ac:dyDescent="0.2">
      <c r="A231" s="111" t="s">
        <v>281</v>
      </c>
      <c r="B231" s="26">
        <v>38</v>
      </c>
      <c r="C231" s="109" t="s">
        <v>131</v>
      </c>
      <c r="D231" s="26">
        <v>1</v>
      </c>
      <c r="E231" s="26">
        <v>2</v>
      </c>
      <c r="F231" s="26">
        <v>2</v>
      </c>
      <c r="G231" s="26" t="s">
        <v>51</v>
      </c>
      <c r="H231" s="26">
        <v>4</v>
      </c>
      <c r="I231" s="26" t="s">
        <v>51</v>
      </c>
      <c r="J231" s="26" t="s">
        <v>41</v>
      </c>
      <c r="K231" s="26"/>
      <c r="L231" s="26">
        <v>5</v>
      </c>
      <c r="M231" s="40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26"/>
      <c r="BF231" s="26"/>
      <c r="BG231" s="39"/>
      <c r="BH231" s="38"/>
      <c r="BI231" s="38"/>
      <c r="BJ231" s="38"/>
      <c r="BK231" s="38"/>
      <c r="BL231" s="38"/>
      <c r="BM231" s="38"/>
      <c r="BN231" s="38"/>
      <c r="BO231" s="37">
        <f t="shared" si="15"/>
        <v>0</v>
      </c>
      <c r="BP231" s="56">
        <f t="shared" si="16"/>
        <v>0</v>
      </c>
      <c r="BQ231" s="56">
        <f t="shared" si="17"/>
        <v>0</v>
      </c>
      <c r="BR231" s="57">
        <f t="shared" si="18"/>
        <v>0</v>
      </c>
      <c r="BS231" s="38"/>
      <c r="BT231" s="38"/>
      <c r="BU231" s="26"/>
      <c r="BV231" s="26"/>
      <c r="BW231" s="39">
        <f t="shared" si="19"/>
        <v>0</v>
      </c>
      <c r="BX231" s="78">
        <v>0</v>
      </c>
      <c r="BY231" s="63">
        <v>10</v>
      </c>
      <c r="BZ231" s="7"/>
      <c r="CA231" s="8"/>
      <c r="CB231" s="17"/>
      <c r="CC231" s="17"/>
    </row>
    <row r="232" spans="1:81" ht="16" x14ac:dyDescent="0.2">
      <c r="A232" s="111" t="s">
        <v>281</v>
      </c>
      <c r="B232" s="26">
        <v>38</v>
      </c>
      <c r="C232" s="109" t="s">
        <v>131</v>
      </c>
      <c r="D232" s="26">
        <v>2</v>
      </c>
      <c r="E232" s="26">
        <v>2</v>
      </c>
      <c r="F232" s="26">
        <v>3</v>
      </c>
      <c r="G232" s="26" t="s">
        <v>50</v>
      </c>
      <c r="H232" s="26">
        <v>5</v>
      </c>
      <c r="I232" s="26" t="s">
        <v>51</v>
      </c>
      <c r="J232" s="26" t="s">
        <v>41</v>
      </c>
      <c r="K232" s="26"/>
      <c r="L232" s="26">
        <v>5</v>
      </c>
      <c r="M232" s="40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 t="s">
        <v>38</v>
      </c>
      <c r="AB232" s="36">
        <f>18/16</f>
        <v>1.125</v>
      </c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 t="s">
        <v>38</v>
      </c>
      <c r="AR232" s="36">
        <f>16/16</f>
        <v>1</v>
      </c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26"/>
      <c r="BF232" s="26"/>
      <c r="BG232" s="39">
        <v>2</v>
      </c>
      <c r="BH232" s="38"/>
      <c r="BI232" s="38"/>
      <c r="BJ232" s="38"/>
      <c r="BK232" s="38"/>
      <c r="BL232" s="38"/>
      <c r="BM232" s="38"/>
      <c r="BN232" s="38"/>
      <c r="BO232" s="37">
        <f t="shared" si="15"/>
        <v>2</v>
      </c>
      <c r="BP232" s="56">
        <f t="shared" si="16"/>
        <v>0</v>
      </c>
      <c r="BQ232" s="56">
        <f t="shared" si="17"/>
        <v>0</v>
      </c>
      <c r="BR232" s="57">
        <f t="shared" si="18"/>
        <v>0</v>
      </c>
      <c r="BS232" s="38"/>
      <c r="BT232" s="38"/>
      <c r="BU232" s="26"/>
      <c r="BV232" s="26"/>
      <c r="BW232" s="39">
        <f t="shared" si="19"/>
        <v>2</v>
      </c>
      <c r="BX232" s="78">
        <v>1</v>
      </c>
      <c r="BY232" s="63">
        <v>10</v>
      </c>
      <c r="BZ232" s="7"/>
      <c r="CA232" s="8"/>
      <c r="CB232" s="17"/>
      <c r="CC232" s="17"/>
    </row>
    <row r="233" spans="1:81" ht="16" x14ac:dyDescent="0.2">
      <c r="A233" s="111" t="s">
        <v>281</v>
      </c>
      <c r="B233" s="26">
        <v>38</v>
      </c>
      <c r="C233" s="109" t="s">
        <v>131</v>
      </c>
      <c r="D233" s="26">
        <v>3</v>
      </c>
      <c r="E233" s="26">
        <v>2</v>
      </c>
      <c r="F233" s="26">
        <v>2</v>
      </c>
      <c r="G233" s="26" t="s">
        <v>51</v>
      </c>
      <c r="H233" s="26">
        <v>4</v>
      </c>
      <c r="I233" s="26" t="s">
        <v>51</v>
      </c>
      <c r="J233" s="26"/>
      <c r="K233" s="26">
        <v>3</v>
      </c>
      <c r="L233" s="26">
        <v>6</v>
      </c>
      <c r="M233" s="40"/>
      <c r="N233" s="36"/>
      <c r="O233" s="36"/>
      <c r="P233" s="36"/>
      <c r="Q233" s="36" t="s">
        <v>39</v>
      </c>
      <c r="R233" s="36">
        <f>7/16</f>
        <v>0.4375</v>
      </c>
      <c r="S233" s="36" t="s">
        <v>38</v>
      </c>
      <c r="T233" s="36">
        <f>7/16</f>
        <v>0.4375</v>
      </c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 t="s">
        <v>39</v>
      </c>
      <c r="AH233" s="36">
        <f>8.5/16</f>
        <v>0.53125</v>
      </c>
      <c r="AI233" s="36" t="s">
        <v>39</v>
      </c>
      <c r="AJ233" s="36">
        <f>6/16</f>
        <v>0.375</v>
      </c>
      <c r="AK233" s="36"/>
      <c r="AL233" s="36"/>
      <c r="AM233" s="36"/>
      <c r="AN233" s="36"/>
      <c r="AO233" s="36" t="s">
        <v>38</v>
      </c>
      <c r="AP233" s="36">
        <f>5/16</f>
        <v>0.3125</v>
      </c>
      <c r="AQ233" s="36" t="s">
        <v>40</v>
      </c>
      <c r="AR233" s="36">
        <f>8/16</f>
        <v>0.5</v>
      </c>
      <c r="AS233" s="36"/>
      <c r="AT233" s="36"/>
      <c r="AU233" s="36" t="s">
        <v>38</v>
      </c>
      <c r="AV233" s="36">
        <f>8/16</f>
        <v>0.5</v>
      </c>
      <c r="AW233" s="36"/>
      <c r="AX233" s="36"/>
      <c r="AY233" s="36"/>
      <c r="AZ233" s="36"/>
      <c r="BA233" s="36"/>
      <c r="BB233" s="36"/>
      <c r="BC233" s="36"/>
      <c r="BD233" s="36"/>
      <c r="BE233" s="26"/>
      <c r="BF233" s="26"/>
      <c r="BG233" s="39"/>
      <c r="BH233" s="38">
        <v>3</v>
      </c>
      <c r="BI233" s="38"/>
      <c r="BJ233" s="38">
        <v>3</v>
      </c>
      <c r="BK233" s="38"/>
      <c r="BL233" s="38"/>
      <c r="BM233" s="38"/>
      <c r="BN233" s="38">
        <v>1</v>
      </c>
      <c r="BO233" s="37">
        <f t="shared" si="15"/>
        <v>0</v>
      </c>
      <c r="BP233" s="56">
        <f t="shared" si="16"/>
        <v>6</v>
      </c>
      <c r="BQ233" s="56">
        <f t="shared" si="17"/>
        <v>0</v>
      </c>
      <c r="BR233" s="57">
        <f t="shared" si="18"/>
        <v>1</v>
      </c>
      <c r="BS233" s="38"/>
      <c r="BT233" s="38"/>
      <c r="BU233" s="26"/>
      <c r="BV233" s="26"/>
      <c r="BW233" s="39">
        <f t="shared" si="19"/>
        <v>7</v>
      </c>
      <c r="BX233" s="78">
        <v>4</v>
      </c>
      <c r="BY233" s="63">
        <v>1</v>
      </c>
      <c r="BZ233" s="7"/>
      <c r="CA233" s="8"/>
      <c r="CB233" s="17"/>
      <c r="CC233" s="17"/>
    </row>
    <row r="234" spans="1:81" ht="16" x14ac:dyDescent="0.2">
      <c r="A234" s="111" t="s">
        <v>281</v>
      </c>
      <c r="B234" s="26">
        <v>38</v>
      </c>
      <c r="C234" s="109" t="s">
        <v>131</v>
      </c>
      <c r="D234" s="26">
        <v>4</v>
      </c>
      <c r="E234" s="26">
        <v>2</v>
      </c>
      <c r="F234" s="26">
        <v>2</v>
      </c>
      <c r="G234" s="26" t="s">
        <v>51</v>
      </c>
      <c r="H234" s="26">
        <v>4</v>
      </c>
      <c r="I234" s="26" t="s">
        <v>51</v>
      </c>
      <c r="J234" s="26" t="s">
        <v>69</v>
      </c>
      <c r="K234" s="26"/>
      <c r="L234" s="26">
        <v>5</v>
      </c>
      <c r="M234" s="40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 t="s">
        <v>38</v>
      </c>
      <c r="BD234" s="36">
        <f>15/16</f>
        <v>0.9375</v>
      </c>
      <c r="BE234" s="26"/>
      <c r="BF234" s="26"/>
      <c r="BG234" s="39">
        <v>1</v>
      </c>
      <c r="BH234" s="38"/>
      <c r="BI234" s="38"/>
      <c r="BJ234" s="38"/>
      <c r="BK234" s="38"/>
      <c r="BL234" s="38"/>
      <c r="BM234" s="38"/>
      <c r="BN234" s="38"/>
      <c r="BO234" s="37">
        <f t="shared" si="15"/>
        <v>1</v>
      </c>
      <c r="BP234" s="56">
        <f t="shared" si="16"/>
        <v>0</v>
      </c>
      <c r="BQ234" s="56">
        <f t="shared" si="17"/>
        <v>0</v>
      </c>
      <c r="BR234" s="57">
        <f t="shared" si="18"/>
        <v>0</v>
      </c>
      <c r="BS234" s="38"/>
      <c r="BT234" s="38"/>
      <c r="BU234" s="26"/>
      <c r="BV234" s="26"/>
      <c r="BW234" s="39">
        <f t="shared" si="19"/>
        <v>1</v>
      </c>
      <c r="BX234" s="78">
        <v>1</v>
      </c>
      <c r="BY234" s="63">
        <v>12</v>
      </c>
      <c r="BZ234" s="7"/>
      <c r="CA234" s="8"/>
      <c r="CB234" s="17"/>
      <c r="CC234" s="17"/>
    </row>
    <row r="235" spans="1:81" x14ac:dyDescent="0.2">
      <c r="A235" s="111" t="s">
        <v>281</v>
      </c>
      <c r="B235" s="26">
        <v>38</v>
      </c>
      <c r="C235" s="109" t="s">
        <v>131</v>
      </c>
      <c r="D235" s="26">
        <v>5</v>
      </c>
      <c r="E235" s="26">
        <v>2</v>
      </c>
      <c r="F235" s="26">
        <v>2</v>
      </c>
      <c r="G235" s="26" t="s">
        <v>51</v>
      </c>
      <c r="H235" s="26">
        <v>4</v>
      </c>
      <c r="I235" s="26" t="s">
        <v>51</v>
      </c>
      <c r="J235" s="26" t="s">
        <v>69</v>
      </c>
      <c r="K235" s="26"/>
      <c r="L235" s="26">
        <v>5</v>
      </c>
      <c r="M235" s="40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26"/>
      <c r="BF235" s="26"/>
      <c r="BG235" s="39"/>
      <c r="BH235" s="38"/>
      <c r="BI235" s="38"/>
      <c r="BJ235" s="38"/>
      <c r="BK235" s="38"/>
      <c r="BL235" s="38"/>
      <c r="BM235" s="38"/>
      <c r="BN235" s="38"/>
      <c r="BO235" s="37">
        <f t="shared" si="15"/>
        <v>0</v>
      </c>
      <c r="BP235" s="56">
        <f t="shared" si="16"/>
        <v>0</v>
      </c>
      <c r="BQ235" s="56">
        <f t="shared" si="17"/>
        <v>0</v>
      </c>
      <c r="BR235" s="57">
        <f t="shared" si="18"/>
        <v>0</v>
      </c>
      <c r="BS235" s="38"/>
      <c r="BT235" s="38"/>
      <c r="BU235" s="26"/>
      <c r="BV235" s="26"/>
      <c r="BW235" s="39">
        <f t="shared" si="19"/>
        <v>0</v>
      </c>
      <c r="BX235" s="78">
        <v>0</v>
      </c>
      <c r="BY235" s="63">
        <v>12</v>
      </c>
      <c r="BZ235" s="7"/>
      <c r="CA235" s="8"/>
      <c r="CB235" s="17"/>
      <c r="CC235" s="17"/>
    </row>
    <row r="236" spans="1:81" ht="16" x14ac:dyDescent="0.2">
      <c r="A236" s="111" t="s">
        <v>281</v>
      </c>
      <c r="B236" s="26">
        <v>38</v>
      </c>
      <c r="C236" s="109" t="s">
        <v>131</v>
      </c>
      <c r="D236" s="26">
        <v>6</v>
      </c>
      <c r="E236" s="26">
        <v>2</v>
      </c>
      <c r="F236" s="26">
        <v>4</v>
      </c>
      <c r="G236" s="26" t="s">
        <v>56</v>
      </c>
      <c r="H236" s="26">
        <v>8</v>
      </c>
      <c r="I236" s="26" t="s">
        <v>51</v>
      </c>
      <c r="J236" s="26"/>
      <c r="K236" s="26" t="s">
        <v>47</v>
      </c>
      <c r="L236" s="26">
        <v>6</v>
      </c>
      <c r="M236" s="40"/>
      <c r="N236" s="36"/>
      <c r="O236" s="36"/>
      <c r="P236" s="36"/>
      <c r="Q236" s="36" t="s">
        <v>38</v>
      </c>
      <c r="R236" s="36">
        <f>10.5/16</f>
        <v>0.65625</v>
      </c>
      <c r="S236" s="36"/>
      <c r="T236" s="36"/>
      <c r="U236" s="36" t="s">
        <v>39</v>
      </c>
      <c r="V236" s="36">
        <f>7/16</f>
        <v>0.4375</v>
      </c>
      <c r="W236" s="36"/>
      <c r="X236" s="36"/>
      <c r="Y236" s="36"/>
      <c r="Z236" s="36"/>
      <c r="AA236" s="36" t="s">
        <v>39</v>
      </c>
      <c r="AB236" s="36">
        <f>13/16</f>
        <v>0.8125</v>
      </c>
      <c r="AC236" s="36"/>
      <c r="AD236" s="36"/>
      <c r="AE236" s="36" t="s">
        <v>39</v>
      </c>
      <c r="AF236" s="36">
        <f>16/16</f>
        <v>1</v>
      </c>
      <c r="AG236" s="36"/>
      <c r="AH236" s="36"/>
      <c r="AI236" s="36"/>
      <c r="AJ236" s="36"/>
      <c r="AK236" s="36" t="s">
        <v>39</v>
      </c>
      <c r="AL236" s="36">
        <f>10/16</f>
        <v>0.625</v>
      </c>
      <c r="AM236" s="36" t="s">
        <v>43</v>
      </c>
      <c r="AN236" s="36">
        <f>7/16</f>
        <v>0.4375</v>
      </c>
      <c r="AO236" s="36" t="s">
        <v>38</v>
      </c>
      <c r="AP236" s="36">
        <f>8/16</f>
        <v>0.5</v>
      </c>
      <c r="AQ236" s="36" t="s">
        <v>38</v>
      </c>
      <c r="AR236" s="36">
        <f>9.5/16</f>
        <v>0.59375</v>
      </c>
      <c r="AS236" s="36"/>
      <c r="AT236" s="36"/>
      <c r="AU236" s="36"/>
      <c r="AV236" s="36"/>
      <c r="AW236" s="36" t="s">
        <v>39</v>
      </c>
      <c r="AX236" s="36">
        <f>5/16</f>
        <v>0.3125</v>
      </c>
      <c r="AY236" s="36" t="s">
        <v>39</v>
      </c>
      <c r="AZ236" s="36">
        <f>6/16</f>
        <v>0.375</v>
      </c>
      <c r="BA236" s="36" t="s">
        <v>39</v>
      </c>
      <c r="BB236" s="36">
        <f>6/16</f>
        <v>0.375</v>
      </c>
      <c r="BC236" s="36"/>
      <c r="BD236" s="36"/>
      <c r="BE236" s="26"/>
      <c r="BF236" s="26"/>
      <c r="BG236" s="39"/>
      <c r="BH236" s="38">
        <v>3</v>
      </c>
      <c r="BI236" s="38">
        <v>2</v>
      </c>
      <c r="BJ236" s="38">
        <v>5</v>
      </c>
      <c r="BK236" s="38"/>
      <c r="BL236" s="38"/>
      <c r="BM236" s="38"/>
      <c r="BN236" s="38"/>
      <c r="BO236" s="37">
        <f t="shared" si="15"/>
        <v>2</v>
      </c>
      <c r="BP236" s="56">
        <f t="shared" si="16"/>
        <v>8</v>
      </c>
      <c r="BQ236" s="56">
        <f t="shared" si="17"/>
        <v>1</v>
      </c>
      <c r="BR236" s="57">
        <f t="shared" si="18"/>
        <v>0</v>
      </c>
      <c r="BS236" s="38">
        <v>1</v>
      </c>
      <c r="BT236" s="38"/>
      <c r="BU236" s="26"/>
      <c r="BV236" s="26"/>
      <c r="BW236" s="39">
        <f t="shared" si="19"/>
        <v>11</v>
      </c>
      <c r="BX236" s="78">
        <v>2</v>
      </c>
      <c r="BY236" s="63">
        <v>3</v>
      </c>
      <c r="BZ236" s="7"/>
      <c r="CA236" s="8"/>
      <c r="CB236" s="17"/>
      <c r="CC236" s="17"/>
    </row>
    <row r="237" spans="1:81" ht="16" x14ac:dyDescent="0.2">
      <c r="A237" s="111" t="s">
        <v>281</v>
      </c>
      <c r="B237" s="26">
        <v>38</v>
      </c>
      <c r="C237" s="109" t="s">
        <v>131</v>
      </c>
      <c r="D237" s="26">
        <v>7</v>
      </c>
      <c r="E237" s="26">
        <v>2</v>
      </c>
      <c r="F237" s="26">
        <v>4</v>
      </c>
      <c r="G237" s="26" t="s">
        <v>50</v>
      </c>
      <c r="H237" s="26"/>
      <c r="I237" s="26"/>
      <c r="J237" s="26" t="s">
        <v>45</v>
      </c>
      <c r="K237" s="26"/>
      <c r="L237" s="26">
        <v>6</v>
      </c>
      <c r="M237" s="40"/>
      <c r="N237" s="36"/>
      <c r="O237" s="36"/>
      <c r="P237" s="36"/>
      <c r="Q237" s="36"/>
      <c r="R237" s="36"/>
      <c r="S237" s="36"/>
      <c r="T237" s="36"/>
      <c r="U237" s="36" t="s">
        <v>39</v>
      </c>
      <c r="V237" s="36">
        <v>0.69</v>
      </c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 t="s">
        <v>39</v>
      </c>
      <c r="AH237" s="36">
        <v>1</v>
      </c>
      <c r="AI237" s="36"/>
      <c r="AJ237" s="36"/>
      <c r="AK237" s="36"/>
      <c r="AL237" s="36"/>
      <c r="AM237" s="36"/>
      <c r="AN237" s="36"/>
      <c r="AO237" s="36" t="s">
        <v>39</v>
      </c>
      <c r="AP237" s="36">
        <v>0.81</v>
      </c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26"/>
      <c r="BF237" s="26"/>
      <c r="BG237" s="39"/>
      <c r="BH237" s="38"/>
      <c r="BI237" s="38">
        <v>2</v>
      </c>
      <c r="BJ237" s="38">
        <v>1</v>
      </c>
      <c r="BK237" s="38"/>
      <c r="BL237" s="38"/>
      <c r="BM237" s="38"/>
      <c r="BN237" s="38"/>
      <c r="BO237" s="37">
        <f t="shared" si="15"/>
        <v>2</v>
      </c>
      <c r="BP237" s="56">
        <f t="shared" si="16"/>
        <v>1</v>
      </c>
      <c r="BQ237" s="56">
        <f t="shared" si="17"/>
        <v>0</v>
      </c>
      <c r="BR237" s="57">
        <f t="shared" si="18"/>
        <v>0</v>
      </c>
      <c r="BS237" s="38"/>
      <c r="BT237" s="38"/>
      <c r="BU237" s="26"/>
      <c r="BV237" s="26"/>
      <c r="BW237" s="39">
        <f t="shared" si="19"/>
        <v>3</v>
      </c>
      <c r="BX237" s="78">
        <v>2</v>
      </c>
      <c r="BY237" s="63">
        <v>5</v>
      </c>
      <c r="BZ237" s="7"/>
      <c r="CA237" s="8"/>
      <c r="CB237" s="17"/>
      <c r="CC237" s="17"/>
    </row>
    <row r="238" spans="1:81" ht="16" x14ac:dyDescent="0.2">
      <c r="A238" s="111" t="s">
        <v>281</v>
      </c>
      <c r="B238" s="26">
        <v>38</v>
      </c>
      <c r="C238" s="109" t="s">
        <v>131</v>
      </c>
      <c r="D238" s="26">
        <v>8</v>
      </c>
      <c r="E238" s="26">
        <v>2</v>
      </c>
      <c r="F238" s="26">
        <v>3</v>
      </c>
      <c r="G238" s="26" t="s">
        <v>56</v>
      </c>
      <c r="H238" s="26">
        <v>7</v>
      </c>
      <c r="I238" s="26" t="s">
        <v>56</v>
      </c>
      <c r="J238" s="26"/>
      <c r="K238" s="26">
        <v>12</v>
      </c>
      <c r="L238" s="26">
        <v>6</v>
      </c>
      <c r="M238" s="40" t="s">
        <v>39</v>
      </c>
      <c r="N238" s="36">
        <f>6/16</f>
        <v>0.375</v>
      </c>
      <c r="O238" s="36" t="s">
        <v>39</v>
      </c>
      <c r="P238" s="36">
        <f>6/16</f>
        <v>0.375</v>
      </c>
      <c r="Q238" s="36" t="s">
        <v>38</v>
      </c>
      <c r="R238" s="36">
        <f>10.5/16</f>
        <v>0.65625</v>
      </c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 t="s">
        <v>38</v>
      </c>
      <c r="AH238" s="36">
        <f>11/16</f>
        <v>0.6875</v>
      </c>
      <c r="AI238" s="36"/>
      <c r="AJ238" s="36"/>
      <c r="AK238" s="36"/>
      <c r="AL238" s="36"/>
      <c r="AM238" s="36"/>
      <c r="AN238" s="36"/>
      <c r="AO238" s="36" t="s">
        <v>48</v>
      </c>
      <c r="AP238" s="36">
        <f>7.5/16</f>
        <v>0.46875</v>
      </c>
      <c r="AQ238" s="36" t="s">
        <v>38</v>
      </c>
      <c r="AR238" s="36">
        <f>7.5/16</f>
        <v>0.46875</v>
      </c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 t="s">
        <v>38</v>
      </c>
      <c r="BD238" s="36">
        <f>21/16</f>
        <v>1.3125</v>
      </c>
      <c r="BE238" s="26"/>
      <c r="BF238" s="26"/>
      <c r="BG238" s="39">
        <v>1</v>
      </c>
      <c r="BH238" s="38">
        <v>3</v>
      </c>
      <c r="BI238" s="38"/>
      <c r="BJ238" s="38">
        <v>2</v>
      </c>
      <c r="BK238" s="38"/>
      <c r="BL238" s="38">
        <v>1</v>
      </c>
      <c r="BM238" s="38"/>
      <c r="BN238" s="38"/>
      <c r="BO238" s="37">
        <f t="shared" si="15"/>
        <v>1</v>
      </c>
      <c r="BP238" s="56">
        <f t="shared" si="16"/>
        <v>5</v>
      </c>
      <c r="BQ238" s="56">
        <f t="shared" si="17"/>
        <v>0</v>
      </c>
      <c r="BR238" s="57">
        <f t="shared" si="18"/>
        <v>1</v>
      </c>
      <c r="BS238" s="38"/>
      <c r="BT238" s="38"/>
      <c r="BU238" s="26"/>
      <c r="BV238" s="26"/>
      <c r="BW238" s="39">
        <f t="shared" si="19"/>
        <v>7</v>
      </c>
      <c r="BX238" s="78">
        <v>2</v>
      </c>
      <c r="BY238" s="64">
        <v>2</v>
      </c>
      <c r="BZ238" s="17"/>
      <c r="CA238" s="20"/>
      <c r="CB238" s="17"/>
      <c r="CC238" s="17"/>
    </row>
    <row r="239" spans="1:81" x14ac:dyDescent="0.2">
      <c r="A239" s="111" t="s">
        <v>282</v>
      </c>
      <c r="B239" s="26">
        <v>38</v>
      </c>
      <c r="C239" s="109" t="s">
        <v>132</v>
      </c>
      <c r="D239" s="26">
        <v>1</v>
      </c>
      <c r="E239" s="26">
        <v>2</v>
      </c>
      <c r="F239" s="26" t="s">
        <v>53</v>
      </c>
      <c r="G239" s="26" t="s">
        <v>50</v>
      </c>
      <c r="H239" s="26"/>
      <c r="I239" s="26"/>
      <c r="J239" s="26"/>
      <c r="K239" s="26">
        <v>12</v>
      </c>
      <c r="L239" s="26">
        <v>6</v>
      </c>
      <c r="M239" s="40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26"/>
      <c r="BF239" s="26"/>
      <c r="BG239" s="39"/>
      <c r="BH239" s="38"/>
      <c r="BI239" s="38"/>
      <c r="BJ239" s="38"/>
      <c r="BK239" s="38"/>
      <c r="BL239" s="38"/>
      <c r="BM239" s="38"/>
      <c r="BN239" s="38"/>
      <c r="BO239" s="37">
        <f t="shared" si="15"/>
        <v>0</v>
      </c>
      <c r="BP239" s="56">
        <f t="shared" si="16"/>
        <v>0</v>
      </c>
      <c r="BQ239" s="56">
        <f t="shared" si="17"/>
        <v>0</v>
      </c>
      <c r="BR239" s="57">
        <f t="shared" si="18"/>
        <v>0</v>
      </c>
      <c r="BS239" s="38"/>
      <c r="BT239" s="38"/>
      <c r="BU239" s="26"/>
      <c r="BV239" s="26"/>
      <c r="BW239" s="39">
        <f t="shared" si="19"/>
        <v>0</v>
      </c>
      <c r="BX239" s="78">
        <v>0</v>
      </c>
      <c r="BY239" s="63">
        <v>2</v>
      </c>
      <c r="BZ239" s="7"/>
      <c r="CA239" s="8"/>
      <c r="CB239" s="17"/>
      <c r="CC239" s="17"/>
    </row>
    <row r="240" spans="1:81" x14ac:dyDescent="0.2">
      <c r="A240" s="111" t="s">
        <v>282</v>
      </c>
      <c r="B240" s="26">
        <v>38</v>
      </c>
      <c r="C240" s="109" t="s">
        <v>132</v>
      </c>
      <c r="D240" s="26">
        <v>2</v>
      </c>
      <c r="E240" s="26">
        <v>2</v>
      </c>
      <c r="F240" s="26" t="s">
        <v>53</v>
      </c>
      <c r="G240" s="26" t="s">
        <v>50</v>
      </c>
      <c r="H240" s="26"/>
      <c r="I240" s="26"/>
      <c r="J240" s="26"/>
      <c r="K240" s="26">
        <v>5</v>
      </c>
      <c r="L240" s="26">
        <v>6</v>
      </c>
      <c r="M240" s="40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26"/>
      <c r="BF240" s="26"/>
      <c r="BG240" s="39"/>
      <c r="BH240" s="38"/>
      <c r="BI240" s="38"/>
      <c r="BJ240" s="38"/>
      <c r="BK240" s="38"/>
      <c r="BL240" s="38"/>
      <c r="BM240" s="38"/>
      <c r="BN240" s="38"/>
      <c r="BO240" s="37">
        <f t="shared" si="15"/>
        <v>0</v>
      </c>
      <c r="BP240" s="56">
        <f t="shared" si="16"/>
        <v>0</v>
      </c>
      <c r="BQ240" s="56">
        <f t="shared" si="17"/>
        <v>0</v>
      </c>
      <c r="BR240" s="57">
        <f t="shared" si="18"/>
        <v>0</v>
      </c>
      <c r="BS240" s="38"/>
      <c r="BT240" s="38"/>
      <c r="BU240" s="26"/>
      <c r="BV240" s="26"/>
      <c r="BW240" s="39">
        <f t="shared" si="19"/>
        <v>0</v>
      </c>
      <c r="BX240" s="78">
        <v>0</v>
      </c>
      <c r="BY240" s="63">
        <v>1</v>
      </c>
      <c r="BZ240" s="7"/>
      <c r="CA240" s="8"/>
      <c r="CB240" s="17"/>
      <c r="CC240" s="17"/>
    </row>
    <row r="241" spans="1:81" ht="16" x14ac:dyDescent="0.2">
      <c r="A241" s="111" t="s">
        <v>282</v>
      </c>
      <c r="B241" s="26">
        <v>38</v>
      </c>
      <c r="C241" s="109" t="s">
        <v>132</v>
      </c>
      <c r="D241" s="26">
        <v>5</v>
      </c>
      <c r="E241" s="26">
        <v>2</v>
      </c>
      <c r="F241" s="26">
        <v>3</v>
      </c>
      <c r="G241" s="26" t="s">
        <v>50</v>
      </c>
      <c r="H241" s="26" t="s">
        <v>74</v>
      </c>
      <c r="I241" s="26" t="s">
        <v>50</v>
      </c>
      <c r="J241" s="26"/>
      <c r="K241" s="26">
        <v>4</v>
      </c>
      <c r="L241" s="26">
        <v>6</v>
      </c>
      <c r="M241" s="40"/>
      <c r="N241" s="36"/>
      <c r="O241" s="36"/>
      <c r="P241" s="36"/>
      <c r="Q241" s="36"/>
      <c r="R241" s="36"/>
      <c r="S241" s="36"/>
      <c r="T241" s="36"/>
      <c r="U241" s="36"/>
      <c r="V241" s="36"/>
      <c r="W241" s="36" t="s">
        <v>48</v>
      </c>
      <c r="X241" s="36">
        <f>4/7</f>
        <v>0.5714285714285714</v>
      </c>
      <c r="Y241" s="36" t="s">
        <v>70</v>
      </c>
      <c r="Z241" s="36">
        <f>2.5/7</f>
        <v>0.35714285714285715</v>
      </c>
      <c r="AA241" s="36"/>
      <c r="AB241" s="36"/>
      <c r="AC241" s="36" t="s">
        <v>38</v>
      </c>
      <c r="AD241" s="36">
        <f>6/7</f>
        <v>0.8571428571428571</v>
      </c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 t="s">
        <v>38</v>
      </c>
      <c r="BD241" s="36">
        <f>5.5/7</f>
        <v>0.7857142857142857</v>
      </c>
      <c r="BE241" s="26"/>
      <c r="BF241" s="26"/>
      <c r="BG241" s="39">
        <v>2</v>
      </c>
      <c r="BH241" s="38"/>
      <c r="BI241" s="38"/>
      <c r="BJ241" s="38"/>
      <c r="BK241" s="38"/>
      <c r="BL241" s="38">
        <v>1</v>
      </c>
      <c r="BM241" s="38"/>
      <c r="BN241" s="38"/>
      <c r="BO241" s="37">
        <f t="shared" si="15"/>
        <v>2</v>
      </c>
      <c r="BP241" s="56">
        <f t="shared" si="16"/>
        <v>0</v>
      </c>
      <c r="BQ241" s="56">
        <f t="shared" si="17"/>
        <v>1</v>
      </c>
      <c r="BR241" s="57">
        <f t="shared" si="18"/>
        <v>1</v>
      </c>
      <c r="BS241" s="38">
        <v>1</v>
      </c>
      <c r="BT241" s="38"/>
      <c r="BU241" s="26"/>
      <c r="BV241" s="26"/>
      <c r="BW241" s="39">
        <f t="shared" si="19"/>
        <v>4</v>
      </c>
      <c r="BX241" s="78">
        <v>2</v>
      </c>
      <c r="BY241" s="63">
        <v>1</v>
      </c>
      <c r="BZ241" s="7"/>
      <c r="CA241" s="8"/>
      <c r="CB241" s="17"/>
      <c r="CC241" s="17"/>
    </row>
    <row r="242" spans="1:81" ht="16" x14ac:dyDescent="0.2">
      <c r="A242" s="109" t="s">
        <v>282</v>
      </c>
      <c r="B242" s="26">
        <v>38</v>
      </c>
      <c r="C242" s="109" t="s">
        <v>132</v>
      </c>
      <c r="D242" s="26">
        <v>7</v>
      </c>
      <c r="E242" s="26">
        <v>2</v>
      </c>
      <c r="F242" s="26">
        <v>2</v>
      </c>
      <c r="G242" s="26" t="s">
        <v>51</v>
      </c>
      <c r="H242" s="26">
        <v>6</v>
      </c>
      <c r="I242" s="26" t="s">
        <v>50</v>
      </c>
      <c r="J242" s="26"/>
      <c r="K242" s="26">
        <v>6</v>
      </c>
      <c r="L242" s="26">
        <v>6</v>
      </c>
      <c r="M242" s="40"/>
      <c r="N242" s="36"/>
      <c r="O242" s="36" t="s">
        <v>38</v>
      </c>
      <c r="P242" s="36">
        <f>2/7</f>
        <v>0.2857142857142857</v>
      </c>
      <c r="Q242" s="36" t="s">
        <v>38</v>
      </c>
      <c r="R242" s="36">
        <f>2.5/7</f>
        <v>0.35714285714285715</v>
      </c>
      <c r="S242" s="36"/>
      <c r="T242" s="36"/>
      <c r="U242" s="36"/>
      <c r="V242" s="36"/>
      <c r="W242" s="36" t="s">
        <v>38</v>
      </c>
      <c r="X242" s="36">
        <f>3/7</f>
        <v>0.42857142857142855</v>
      </c>
      <c r="Y242" s="36"/>
      <c r="Z242" s="36"/>
      <c r="AA242" s="36" t="s">
        <v>39</v>
      </c>
      <c r="AB242" s="36">
        <f>2.5/7</f>
        <v>0.35714285714285715</v>
      </c>
      <c r="AC242" s="36"/>
      <c r="AD242" s="36"/>
      <c r="AE242" s="36" t="s">
        <v>38</v>
      </c>
      <c r="AF242" s="36">
        <f>2.5/7</f>
        <v>0.35714285714285715</v>
      </c>
      <c r="AG242" s="36"/>
      <c r="AH242" s="36"/>
      <c r="AI242" s="36"/>
      <c r="AJ242" s="36"/>
      <c r="AK242" s="36"/>
      <c r="AL242" s="36"/>
      <c r="AM242" s="36"/>
      <c r="AN242" s="36"/>
      <c r="AO242" s="36" t="s">
        <v>39</v>
      </c>
      <c r="AP242" s="36">
        <f>7/7</f>
        <v>1</v>
      </c>
      <c r="AQ242" s="36" t="s">
        <v>38</v>
      </c>
      <c r="AR242" s="36">
        <f>3/7</f>
        <v>0.42857142857142855</v>
      </c>
      <c r="AS242" s="36"/>
      <c r="AT242" s="36"/>
      <c r="AU242" s="36"/>
      <c r="AV242" s="36"/>
      <c r="AW242" s="36" t="s">
        <v>38</v>
      </c>
      <c r="AX242" s="36">
        <f>2/7</f>
        <v>0.2857142857142857</v>
      </c>
      <c r="AY242" s="36" t="s">
        <v>39</v>
      </c>
      <c r="AZ242" s="36">
        <f>6/7</f>
        <v>0.8571428571428571</v>
      </c>
      <c r="BA242" s="36"/>
      <c r="BB242" s="36"/>
      <c r="BC242" s="36" t="s">
        <v>38</v>
      </c>
      <c r="BD242" s="36">
        <f>6/7</f>
        <v>0.8571428571428571</v>
      </c>
      <c r="BE242" s="26"/>
      <c r="BF242" s="26"/>
      <c r="BG242" s="37">
        <v>1</v>
      </c>
      <c r="BH242" s="26">
        <v>4</v>
      </c>
      <c r="BI242" s="26">
        <v>2</v>
      </c>
      <c r="BJ242" s="26">
        <v>1</v>
      </c>
      <c r="BK242" s="26"/>
      <c r="BL242" s="26"/>
      <c r="BM242" s="26"/>
      <c r="BN242" s="26"/>
      <c r="BO242" s="37">
        <f t="shared" si="15"/>
        <v>3</v>
      </c>
      <c r="BP242" s="56">
        <f t="shared" si="16"/>
        <v>5</v>
      </c>
      <c r="BQ242" s="56">
        <f t="shared" si="17"/>
        <v>0</v>
      </c>
      <c r="BR242" s="57">
        <f t="shared" si="18"/>
        <v>0</v>
      </c>
      <c r="BS242" s="38"/>
      <c r="BT242" s="38"/>
      <c r="BU242" s="26"/>
      <c r="BV242" s="26"/>
      <c r="BW242" s="39">
        <f t="shared" si="19"/>
        <v>8</v>
      </c>
      <c r="BX242" s="78">
        <v>2</v>
      </c>
      <c r="BY242" s="63">
        <v>1</v>
      </c>
      <c r="CB242" s="7"/>
      <c r="CC242" s="7"/>
    </row>
    <row r="243" spans="1:81" ht="16" x14ac:dyDescent="0.2">
      <c r="A243" s="109" t="s">
        <v>282</v>
      </c>
      <c r="B243" s="26">
        <v>39</v>
      </c>
      <c r="C243" s="109" t="s">
        <v>133</v>
      </c>
      <c r="D243" s="26">
        <v>2</v>
      </c>
      <c r="E243" s="26">
        <v>2</v>
      </c>
      <c r="F243" s="26">
        <v>2</v>
      </c>
      <c r="G243" s="26" t="s">
        <v>51</v>
      </c>
      <c r="H243" s="26">
        <v>4</v>
      </c>
      <c r="I243" s="26" t="s">
        <v>51</v>
      </c>
      <c r="J243" s="26"/>
      <c r="K243" s="38" t="s">
        <v>63</v>
      </c>
      <c r="L243" s="26">
        <v>7</v>
      </c>
      <c r="M243" s="40" t="s">
        <v>38</v>
      </c>
      <c r="N243" s="36">
        <f>6/7.5</f>
        <v>0.8</v>
      </c>
      <c r="O243" s="36" t="s">
        <v>38</v>
      </c>
      <c r="P243" s="36">
        <f>5/7.5</f>
        <v>0.66666666666666663</v>
      </c>
      <c r="Q243" s="36"/>
      <c r="R243" s="36"/>
      <c r="S243" s="36"/>
      <c r="T243" s="36"/>
      <c r="U243" s="36"/>
      <c r="V243" s="36"/>
      <c r="W243" s="36" t="s">
        <v>38</v>
      </c>
      <c r="X243" s="36">
        <f>5/7.5</f>
        <v>0.66666666666666663</v>
      </c>
      <c r="Y243" s="36"/>
      <c r="Z243" s="36"/>
      <c r="AA243" s="36"/>
      <c r="AB243" s="36"/>
      <c r="AC243" s="36"/>
      <c r="AD243" s="36"/>
      <c r="AE243" s="36"/>
      <c r="AF243" s="36"/>
      <c r="AG243" s="36" t="s">
        <v>38</v>
      </c>
      <c r="AH243" s="36">
        <f>5/7.5</f>
        <v>0.66666666666666663</v>
      </c>
      <c r="AI243" s="36" t="s">
        <v>38</v>
      </c>
      <c r="AJ243" s="36">
        <f>4.5/7.5</f>
        <v>0.6</v>
      </c>
      <c r="AK243" s="36"/>
      <c r="AL243" s="36"/>
      <c r="AM243" s="36" t="s">
        <v>38</v>
      </c>
      <c r="AN243" s="36">
        <f>7.5/7.5</f>
        <v>1</v>
      </c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 t="s">
        <v>38</v>
      </c>
      <c r="BD243" s="36">
        <f>6.5/7.5</f>
        <v>0.8666666666666667</v>
      </c>
      <c r="BE243" s="26" t="s">
        <v>38</v>
      </c>
      <c r="BF243" s="26" t="s">
        <v>67</v>
      </c>
      <c r="BG243" s="39">
        <v>3</v>
      </c>
      <c r="BH243" s="38">
        <v>4</v>
      </c>
      <c r="BI243" s="38"/>
      <c r="BJ243" s="38"/>
      <c r="BK243" s="38"/>
      <c r="BL243" s="38"/>
      <c r="BM243" s="38"/>
      <c r="BN243" s="38"/>
      <c r="BO243" s="37">
        <f t="shared" si="15"/>
        <v>4</v>
      </c>
      <c r="BP243" s="56">
        <f t="shared" si="16"/>
        <v>4</v>
      </c>
      <c r="BQ243" s="56">
        <f t="shared" si="17"/>
        <v>0</v>
      </c>
      <c r="BR243" s="57">
        <f t="shared" si="18"/>
        <v>0</v>
      </c>
      <c r="BS243" s="38"/>
      <c r="BT243" s="38"/>
      <c r="BU243" s="26">
        <v>1</v>
      </c>
      <c r="BV243" s="26"/>
      <c r="BW243" s="39">
        <f t="shared" si="19"/>
        <v>8</v>
      </c>
      <c r="BX243" s="78">
        <v>2</v>
      </c>
      <c r="BY243" s="64">
        <v>2</v>
      </c>
      <c r="BZ243" s="17"/>
      <c r="CA243" s="22"/>
      <c r="CB243" s="7"/>
      <c r="CC243" s="7"/>
    </row>
    <row r="244" spans="1:81" ht="16" x14ac:dyDescent="0.2">
      <c r="A244" s="109" t="s">
        <v>282</v>
      </c>
      <c r="B244" s="26">
        <v>39</v>
      </c>
      <c r="C244" s="109" t="s">
        <v>133</v>
      </c>
      <c r="D244" s="26">
        <v>3</v>
      </c>
      <c r="E244" s="26">
        <v>2</v>
      </c>
      <c r="F244" s="26" t="s">
        <v>53</v>
      </c>
      <c r="G244" s="26" t="s">
        <v>50</v>
      </c>
      <c r="H244" s="26"/>
      <c r="I244" s="26"/>
      <c r="J244" s="26"/>
      <c r="K244" s="38" t="s">
        <v>63</v>
      </c>
      <c r="L244" s="26">
        <v>7</v>
      </c>
      <c r="M244" s="40" t="s">
        <v>48</v>
      </c>
      <c r="N244" s="36">
        <f>3/6.5</f>
        <v>0.46153846153846156</v>
      </c>
      <c r="O244" s="36"/>
      <c r="P244" s="36"/>
      <c r="Q244" s="36" t="s">
        <v>38</v>
      </c>
      <c r="R244" s="36">
        <f>6/6.5</f>
        <v>0.92307692307692313</v>
      </c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 t="s">
        <v>38</v>
      </c>
      <c r="AF244" s="36">
        <f>5.5/6.5</f>
        <v>0.84615384615384615</v>
      </c>
      <c r="AG244" s="36"/>
      <c r="AH244" s="36"/>
      <c r="AI244" s="36"/>
      <c r="AJ244" s="36"/>
      <c r="AK244" s="36"/>
      <c r="AL244" s="36"/>
      <c r="AM244" s="36" t="s">
        <v>38</v>
      </c>
      <c r="AN244" s="36">
        <f>4/6.5</f>
        <v>0.61538461538461542</v>
      </c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26"/>
      <c r="BF244" s="26"/>
      <c r="BG244" s="37">
        <v>2</v>
      </c>
      <c r="BH244" s="26">
        <v>1</v>
      </c>
      <c r="BI244" s="26"/>
      <c r="BJ244" s="26"/>
      <c r="BK244" s="26"/>
      <c r="BL244" s="26">
        <v>1</v>
      </c>
      <c r="BM244" s="26"/>
      <c r="BN244" s="26"/>
      <c r="BO244" s="37">
        <f t="shared" si="15"/>
        <v>2</v>
      </c>
      <c r="BP244" s="56">
        <f t="shared" si="16"/>
        <v>1</v>
      </c>
      <c r="BQ244" s="56">
        <f t="shared" si="17"/>
        <v>0</v>
      </c>
      <c r="BR244" s="57">
        <f t="shared" si="18"/>
        <v>1</v>
      </c>
      <c r="BS244" s="38"/>
      <c r="BT244" s="38"/>
      <c r="BU244" s="26"/>
      <c r="BV244" s="26"/>
      <c r="BW244" s="39">
        <f t="shared" si="19"/>
        <v>4</v>
      </c>
      <c r="BX244" s="78">
        <v>2</v>
      </c>
      <c r="BY244" s="63">
        <v>2</v>
      </c>
      <c r="BZ244" s="7"/>
      <c r="CA244" s="8"/>
      <c r="CB244" s="7"/>
      <c r="CC244" s="7"/>
    </row>
    <row r="245" spans="1:81" ht="16" x14ac:dyDescent="0.2">
      <c r="A245" s="109" t="s">
        <v>282</v>
      </c>
      <c r="B245" s="26">
        <v>39</v>
      </c>
      <c r="C245" s="109" t="s">
        <v>133</v>
      </c>
      <c r="D245" s="26">
        <v>4</v>
      </c>
      <c r="E245" s="26">
        <v>2</v>
      </c>
      <c r="F245" s="26">
        <v>1</v>
      </c>
      <c r="G245" s="26" t="s">
        <v>54</v>
      </c>
      <c r="H245" s="26">
        <v>1</v>
      </c>
      <c r="I245" s="26" t="s">
        <v>54</v>
      </c>
      <c r="J245" s="26"/>
      <c r="K245" s="26">
        <v>4</v>
      </c>
      <c r="L245" s="26">
        <v>7</v>
      </c>
      <c r="M245" s="40"/>
      <c r="N245" s="36"/>
      <c r="O245" s="36" t="s">
        <v>43</v>
      </c>
      <c r="P245" s="36">
        <f>7/6.5</f>
        <v>1.0769230769230769</v>
      </c>
      <c r="Q245" s="36" t="s">
        <v>39</v>
      </c>
      <c r="R245" s="36">
        <f>2.5/6.5</f>
        <v>0.38461538461538464</v>
      </c>
      <c r="S245" s="36"/>
      <c r="T245" s="36"/>
      <c r="U245" s="36" t="s">
        <v>39</v>
      </c>
      <c r="V245" s="36">
        <f>4.5/6.5</f>
        <v>0.69230769230769229</v>
      </c>
      <c r="W245" s="36"/>
      <c r="X245" s="36"/>
      <c r="Y245" s="36"/>
      <c r="Z245" s="36"/>
      <c r="AA245" s="36" t="s">
        <v>48</v>
      </c>
      <c r="AB245" s="36">
        <f>3.5/6.5</f>
        <v>0.53846153846153844</v>
      </c>
      <c r="AC245" s="36" t="s">
        <v>39</v>
      </c>
      <c r="AD245" s="36">
        <f>3.5/6.5</f>
        <v>0.53846153846153844</v>
      </c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26"/>
      <c r="BF245" s="26"/>
      <c r="BG245" s="43"/>
      <c r="BJ245" s="41">
        <v>3</v>
      </c>
      <c r="BL245" s="41">
        <v>1</v>
      </c>
      <c r="BO245" s="37">
        <f t="shared" si="15"/>
        <v>0</v>
      </c>
      <c r="BP245" s="56">
        <f t="shared" si="16"/>
        <v>3</v>
      </c>
      <c r="BQ245" s="56">
        <f t="shared" si="17"/>
        <v>1</v>
      </c>
      <c r="BR245" s="57">
        <f t="shared" si="18"/>
        <v>1</v>
      </c>
      <c r="BS245" s="38">
        <v>1</v>
      </c>
      <c r="BT245" s="38"/>
      <c r="BU245" s="26"/>
      <c r="BV245" s="26"/>
      <c r="BW245" s="39">
        <f t="shared" si="19"/>
        <v>5</v>
      </c>
      <c r="BX245" s="78">
        <v>4</v>
      </c>
      <c r="BY245" s="63">
        <v>1</v>
      </c>
      <c r="BZ245" s="7"/>
      <c r="CA245" s="8"/>
      <c r="CB245" s="7"/>
      <c r="CC245" s="7"/>
    </row>
    <row r="246" spans="1:81" ht="16" x14ac:dyDescent="0.2">
      <c r="A246" s="109" t="s">
        <v>282</v>
      </c>
      <c r="B246" s="26">
        <v>39</v>
      </c>
      <c r="C246" s="109" t="s">
        <v>133</v>
      </c>
      <c r="D246" s="26">
        <v>6</v>
      </c>
      <c r="E246" s="26">
        <v>2</v>
      </c>
      <c r="F246" s="26">
        <v>3</v>
      </c>
      <c r="G246" s="26" t="s">
        <v>50</v>
      </c>
      <c r="H246" s="26">
        <v>5</v>
      </c>
      <c r="I246" s="26" t="s">
        <v>51</v>
      </c>
      <c r="J246" s="26" t="s">
        <v>60</v>
      </c>
      <c r="K246" s="26"/>
      <c r="L246" s="26">
        <v>5</v>
      </c>
      <c r="M246" s="40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 t="s">
        <v>39</v>
      </c>
      <c r="AB246" s="36">
        <f>2/7</f>
        <v>0.2857142857142857</v>
      </c>
      <c r="AC246" s="36" t="s">
        <v>39</v>
      </c>
      <c r="AD246" s="36">
        <f>3/7</f>
        <v>0.42857142857142855</v>
      </c>
      <c r="AE246" s="36"/>
      <c r="AF246" s="36"/>
      <c r="AG246" s="36"/>
      <c r="AH246" s="36"/>
      <c r="AI246" s="36"/>
      <c r="AJ246" s="36"/>
      <c r="AK246" s="36"/>
      <c r="AL246" s="36"/>
      <c r="AM246" s="36" t="s">
        <v>38</v>
      </c>
      <c r="AN246" s="36">
        <f>4/7</f>
        <v>0.5714285714285714</v>
      </c>
      <c r="AO246" s="36"/>
      <c r="AP246" s="36"/>
      <c r="AQ246" s="36"/>
      <c r="AR246" s="36"/>
      <c r="AS246" s="36" t="s">
        <v>39</v>
      </c>
      <c r="AT246" s="36">
        <f>7/7</f>
        <v>1</v>
      </c>
      <c r="AU246" s="36"/>
      <c r="AV246" s="36"/>
      <c r="AW246" s="36"/>
      <c r="AX246" s="36"/>
      <c r="AY246" s="36"/>
      <c r="AZ246" s="36"/>
      <c r="BA246" s="36" t="s">
        <v>38</v>
      </c>
      <c r="BB246" s="36">
        <f>2/7</f>
        <v>0.2857142857142857</v>
      </c>
      <c r="BC246" s="36"/>
      <c r="BD246" s="36"/>
      <c r="BE246" s="26"/>
      <c r="BF246" s="26"/>
      <c r="BG246" s="43"/>
      <c r="BH246" s="41">
        <v>1</v>
      </c>
      <c r="BI246" s="41">
        <v>1</v>
      </c>
      <c r="BJ246" s="41">
        <v>1</v>
      </c>
      <c r="BO246" s="37">
        <f t="shared" si="15"/>
        <v>1</v>
      </c>
      <c r="BP246" s="56">
        <f t="shared" si="16"/>
        <v>2</v>
      </c>
      <c r="BQ246" s="56">
        <f t="shared" si="17"/>
        <v>0</v>
      </c>
      <c r="BR246" s="57">
        <f t="shared" si="18"/>
        <v>0</v>
      </c>
      <c r="BS246" s="38"/>
      <c r="BT246" s="38"/>
      <c r="BU246" s="26"/>
      <c r="BV246" s="26"/>
      <c r="BW246" s="39">
        <f t="shared" si="19"/>
        <v>3</v>
      </c>
      <c r="BX246" s="78">
        <v>2</v>
      </c>
      <c r="BY246" s="63">
        <v>7</v>
      </c>
      <c r="BZ246" s="7"/>
      <c r="CA246" s="19"/>
      <c r="CB246" s="7"/>
      <c r="CC246" s="7"/>
    </row>
    <row r="247" spans="1:81" ht="16" x14ac:dyDescent="0.2">
      <c r="A247" s="109" t="s">
        <v>283</v>
      </c>
      <c r="B247" s="26">
        <v>34</v>
      </c>
      <c r="C247" s="109" t="s">
        <v>134</v>
      </c>
      <c r="D247" s="26">
        <v>1</v>
      </c>
      <c r="E247" s="26">
        <v>2</v>
      </c>
      <c r="F247" s="26">
        <v>4</v>
      </c>
      <c r="G247" s="26" t="s">
        <v>50</v>
      </c>
      <c r="H247" s="26">
        <v>6</v>
      </c>
      <c r="I247" s="26" t="s">
        <v>51</v>
      </c>
      <c r="J247" s="26"/>
      <c r="K247" s="26">
        <v>10</v>
      </c>
      <c r="L247" s="26">
        <v>6</v>
      </c>
      <c r="M247" s="40"/>
      <c r="N247" s="36"/>
      <c r="O247" s="36" t="s">
        <v>40</v>
      </c>
      <c r="P247" s="36">
        <f>5/10</f>
        <v>0.5</v>
      </c>
      <c r="Q247" s="36"/>
      <c r="R247" s="36"/>
      <c r="S247" s="36"/>
      <c r="T247" s="36"/>
      <c r="U247" s="36" t="s">
        <v>70</v>
      </c>
      <c r="V247" s="36">
        <v>0.5</v>
      </c>
      <c r="W247" s="36"/>
      <c r="X247" s="36"/>
      <c r="Y247" s="36"/>
      <c r="Z247" s="36"/>
      <c r="AA247" s="36" t="s">
        <v>40</v>
      </c>
      <c r="AB247" s="36">
        <f>4/10</f>
        <v>0.4</v>
      </c>
      <c r="AC247" s="36"/>
      <c r="AD247" s="36"/>
      <c r="AE247" s="36"/>
      <c r="AF247" s="36"/>
      <c r="AG247" s="36" t="s">
        <v>40</v>
      </c>
      <c r="AH247" s="36">
        <f>8.5/10</f>
        <v>0.85</v>
      </c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 t="s">
        <v>38</v>
      </c>
      <c r="AX247" s="36">
        <f>5/10</f>
        <v>0.5</v>
      </c>
      <c r="AY247" s="36" t="s">
        <v>38</v>
      </c>
      <c r="AZ247" s="36">
        <f>12/10</f>
        <v>1.2</v>
      </c>
      <c r="BA247" s="36"/>
      <c r="BB247" s="36"/>
      <c r="BC247" s="36"/>
      <c r="BD247" s="36"/>
      <c r="BE247" s="26"/>
      <c r="BF247" s="26"/>
      <c r="BG247" s="37">
        <v>1</v>
      </c>
      <c r="BH247" s="26">
        <v>1</v>
      </c>
      <c r="BI247" s="26"/>
      <c r="BJ247" s="26"/>
      <c r="BK247" s="26"/>
      <c r="BL247" s="26"/>
      <c r="BM247" s="26">
        <v>1</v>
      </c>
      <c r="BN247" s="26">
        <v>2</v>
      </c>
      <c r="BO247" s="37">
        <f t="shared" si="15"/>
        <v>1</v>
      </c>
      <c r="BP247" s="56">
        <f t="shared" si="16"/>
        <v>1</v>
      </c>
      <c r="BQ247" s="56">
        <f t="shared" si="17"/>
        <v>2</v>
      </c>
      <c r="BR247" s="57">
        <f t="shared" si="18"/>
        <v>2</v>
      </c>
      <c r="BS247" s="38">
        <v>1</v>
      </c>
      <c r="BT247" s="38"/>
      <c r="BU247" s="26"/>
      <c r="BV247" s="26"/>
      <c r="BW247" s="39">
        <f t="shared" si="19"/>
        <v>6</v>
      </c>
      <c r="BX247" s="78">
        <v>2</v>
      </c>
      <c r="BY247" s="63">
        <v>1</v>
      </c>
      <c r="CB247" s="7"/>
      <c r="CC247" s="7"/>
    </row>
    <row r="248" spans="1:81" ht="16" x14ac:dyDescent="0.2">
      <c r="A248" s="109" t="s">
        <v>283</v>
      </c>
      <c r="B248" s="26">
        <v>34</v>
      </c>
      <c r="C248" s="109" t="s">
        <v>134</v>
      </c>
      <c r="D248" s="26">
        <v>2</v>
      </c>
      <c r="E248" s="26">
        <v>2</v>
      </c>
      <c r="F248" s="26">
        <v>3</v>
      </c>
      <c r="G248" s="26" t="s">
        <v>50</v>
      </c>
      <c r="H248" s="26">
        <v>7</v>
      </c>
      <c r="I248" s="26" t="s">
        <v>50</v>
      </c>
      <c r="J248" s="26"/>
      <c r="K248" s="26">
        <v>8</v>
      </c>
      <c r="L248" s="26">
        <v>6</v>
      </c>
      <c r="M248" s="40"/>
      <c r="N248" s="36"/>
      <c r="O248" s="36" t="s">
        <v>39</v>
      </c>
      <c r="P248" s="36">
        <f>4.5/9.5</f>
        <v>0.47368421052631576</v>
      </c>
      <c r="Q248" s="36" t="s">
        <v>40</v>
      </c>
      <c r="R248" s="36">
        <f>9.5/9.5</f>
        <v>1</v>
      </c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 t="s">
        <v>39</v>
      </c>
      <c r="AD248" s="36">
        <f>7/9.5</f>
        <v>0.73684210526315785</v>
      </c>
      <c r="AE248" s="36"/>
      <c r="AF248" s="36"/>
      <c r="AG248" s="36"/>
      <c r="AH248" s="36"/>
      <c r="AI248" s="36" t="s">
        <v>38</v>
      </c>
      <c r="AJ248" s="36">
        <f>3.5/9.5</f>
        <v>0.36842105263157893</v>
      </c>
      <c r="AK248" s="36"/>
      <c r="AL248" s="36"/>
      <c r="AM248" s="36"/>
      <c r="AN248" s="36"/>
      <c r="AO248" s="36" t="s">
        <v>48</v>
      </c>
      <c r="AP248" s="36">
        <f>4.5/9.5</f>
        <v>0.47368421052631576</v>
      </c>
      <c r="AQ248" s="36" t="s">
        <v>38</v>
      </c>
      <c r="AR248" s="36">
        <f>4.5/9.5</f>
        <v>0.47368421052631576</v>
      </c>
      <c r="AS248" s="36"/>
      <c r="AT248" s="36"/>
      <c r="AU248" s="36" t="s">
        <v>38</v>
      </c>
      <c r="AV248" s="36">
        <f>5.5/9.5</f>
        <v>0.57894736842105265</v>
      </c>
      <c r="AW248" s="36"/>
      <c r="AX248" s="36"/>
      <c r="AY248" s="36"/>
      <c r="AZ248" s="36"/>
      <c r="BA248" s="36"/>
      <c r="BB248" s="36"/>
      <c r="BC248" s="36"/>
      <c r="BD248" s="36"/>
      <c r="BE248" s="26"/>
      <c r="BF248" s="26"/>
      <c r="BG248" s="37"/>
      <c r="BH248" s="26">
        <v>3</v>
      </c>
      <c r="BI248" s="26">
        <v>1</v>
      </c>
      <c r="BJ248" s="26">
        <v>1</v>
      </c>
      <c r="BK248" s="26"/>
      <c r="BL248" s="26">
        <v>1</v>
      </c>
      <c r="BM248" s="26">
        <v>1</v>
      </c>
      <c r="BN248" s="26"/>
      <c r="BO248" s="37">
        <f t="shared" si="15"/>
        <v>1</v>
      </c>
      <c r="BP248" s="56">
        <f t="shared" si="16"/>
        <v>4</v>
      </c>
      <c r="BQ248" s="56">
        <f t="shared" si="17"/>
        <v>1</v>
      </c>
      <c r="BR248" s="57">
        <f t="shared" si="18"/>
        <v>1</v>
      </c>
      <c r="BS248" s="38"/>
      <c r="BT248" s="38"/>
      <c r="BU248" s="26"/>
      <c r="BV248" s="26"/>
      <c r="BW248" s="39">
        <f t="shared" si="19"/>
        <v>7</v>
      </c>
      <c r="BX248" s="78">
        <v>2</v>
      </c>
      <c r="BY248" s="63">
        <v>1</v>
      </c>
      <c r="CB248" s="7"/>
      <c r="CC248" s="7"/>
    </row>
    <row r="249" spans="1:81" ht="16" x14ac:dyDescent="0.2">
      <c r="A249" s="109" t="s">
        <v>283</v>
      </c>
      <c r="B249" s="26">
        <v>34</v>
      </c>
      <c r="C249" s="109" t="s">
        <v>134</v>
      </c>
      <c r="D249" s="26">
        <v>3</v>
      </c>
      <c r="E249" s="26">
        <v>2</v>
      </c>
      <c r="F249" s="26" t="s">
        <v>53</v>
      </c>
      <c r="G249" s="26" t="s">
        <v>50</v>
      </c>
      <c r="H249" s="26"/>
      <c r="I249" s="26"/>
      <c r="J249" s="26"/>
      <c r="K249" s="26">
        <v>6</v>
      </c>
      <c r="L249" s="26">
        <v>6</v>
      </c>
      <c r="M249" s="40" t="s">
        <v>48</v>
      </c>
      <c r="N249" s="36">
        <f>4/10.5</f>
        <v>0.38095238095238093</v>
      </c>
      <c r="O249" s="36"/>
      <c r="P249" s="36"/>
      <c r="Q249" s="36"/>
      <c r="R249" s="36"/>
      <c r="S249" s="36"/>
      <c r="T249" s="36"/>
      <c r="U249" s="36" t="s">
        <v>38</v>
      </c>
      <c r="V249" s="36">
        <f>5.5/10.5</f>
        <v>0.52380952380952384</v>
      </c>
      <c r="W249" s="36"/>
      <c r="X249" s="36"/>
      <c r="Y249" s="36" t="s">
        <v>43</v>
      </c>
      <c r="Z249" s="36">
        <v>0.6</v>
      </c>
      <c r="AA249" s="36" t="s">
        <v>39</v>
      </c>
      <c r="AB249" s="36">
        <f>5/10.5</f>
        <v>0.47619047619047616</v>
      </c>
      <c r="AC249" s="36"/>
      <c r="AD249" s="36"/>
      <c r="AE249" s="36" t="s">
        <v>57</v>
      </c>
      <c r="AF249" s="36">
        <f>5/10.5</f>
        <v>0.47619047619047616</v>
      </c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 t="s">
        <v>39</v>
      </c>
      <c r="AV249" s="36">
        <f>7/10.5</f>
        <v>0.66666666666666663</v>
      </c>
      <c r="AW249" s="36"/>
      <c r="AX249" s="36"/>
      <c r="AY249" s="36"/>
      <c r="AZ249" s="36"/>
      <c r="BA249" s="36"/>
      <c r="BB249" s="36"/>
      <c r="BC249" s="36"/>
      <c r="BD249" s="36"/>
      <c r="BE249" s="26"/>
      <c r="BF249" s="26"/>
      <c r="BG249" s="37"/>
      <c r="BH249" s="26">
        <v>1</v>
      </c>
      <c r="BI249" s="26"/>
      <c r="BJ249" s="26">
        <v>2</v>
      </c>
      <c r="BK249" s="26"/>
      <c r="BL249" s="26">
        <v>1</v>
      </c>
      <c r="BM249" s="26"/>
      <c r="BN249" s="26">
        <v>1</v>
      </c>
      <c r="BO249" s="37">
        <f t="shared" si="15"/>
        <v>0</v>
      </c>
      <c r="BP249" s="56">
        <f t="shared" si="16"/>
        <v>3</v>
      </c>
      <c r="BQ249" s="56">
        <f t="shared" si="17"/>
        <v>1</v>
      </c>
      <c r="BR249" s="57">
        <f t="shared" si="18"/>
        <v>2</v>
      </c>
      <c r="BS249" s="38">
        <v>1</v>
      </c>
      <c r="BT249" s="38"/>
      <c r="BU249" s="26"/>
      <c r="BV249" s="26"/>
      <c r="BW249" s="39">
        <f t="shared" si="19"/>
        <v>6</v>
      </c>
      <c r="BX249" s="78">
        <v>4</v>
      </c>
      <c r="BY249" s="63">
        <v>1</v>
      </c>
      <c r="CB249" s="7"/>
      <c r="CC249" s="7"/>
    </row>
    <row r="250" spans="1:81" ht="16" x14ac:dyDescent="0.2">
      <c r="A250" s="109" t="s">
        <v>283</v>
      </c>
      <c r="B250" s="26">
        <v>34</v>
      </c>
      <c r="C250" s="109" t="s">
        <v>134</v>
      </c>
      <c r="D250" s="26">
        <v>5</v>
      </c>
      <c r="E250" s="26">
        <v>2</v>
      </c>
      <c r="F250" s="26">
        <v>2</v>
      </c>
      <c r="G250" s="26" t="s">
        <v>51</v>
      </c>
      <c r="H250" s="26">
        <v>4</v>
      </c>
      <c r="I250" s="26" t="s">
        <v>51</v>
      </c>
      <c r="J250" s="26" t="s">
        <v>60</v>
      </c>
      <c r="K250" s="26"/>
      <c r="L250" s="26">
        <v>6</v>
      </c>
      <c r="M250" s="40"/>
      <c r="N250" s="36"/>
      <c r="O250" s="36" t="s">
        <v>39</v>
      </c>
      <c r="P250" s="36">
        <f>10/10</f>
        <v>1</v>
      </c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26"/>
      <c r="BF250" s="26"/>
      <c r="BG250" s="37"/>
      <c r="BH250" s="26"/>
      <c r="BI250" s="26">
        <v>1</v>
      </c>
      <c r="BJ250" s="26"/>
      <c r="BK250" s="26"/>
      <c r="BL250" s="26"/>
      <c r="BM250" s="26"/>
      <c r="BN250" s="26"/>
      <c r="BO250" s="37">
        <f t="shared" si="15"/>
        <v>1</v>
      </c>
      <c r="BP250" s="56">
        <f t="shared" si="16"/>
        <v>0</v>
      </c>
      <c r="BQ250" s="56">
        <f t="shared" si="17"/>
        <v>0</v>
      </c>
      <c r="BR250" s="57">
        <f t="shared" si="18"/>
        <v>0</v>
      </c>
      <c r="BS250" s="38"/>
      <c r="BT250" s="38"/>
      <c r="BU250" s="26"/>
      <c r="BV250" s="26"/>
      <c r="BW250" s="39">
        <f t="shared" si="19"/>
        <v>1</v>
      </c>
      <c r="BX250" s="78">
        <v>1</v>
      </c>
      <c r="BY250" s="63">
        <v>7</v>
      </c>
      <c r="CB250" s="7"/>
      <c r="CC250" s="7"/>
    </row>
    <row r="251" spans="1:81" ht="16" x14ac:dyDescent="0.2">
      <c r="A251" s="109" t="s">
        <v>283</v>
      </c>
      <c r="B251" s="26">
        <v>34</v>
      </c>
      <c r="C251" s="109" t="s">
        <v>134</v>
      </c>
      <c r="D251" s="26">
        <v>6</v>
      </c>
      <c r="E251" s="26">
        <v>2</v>
      </c>
      <c r="F251" s="26">
        <v>2</v>
      </c>
      <c r="G251" s="26" t="s">
        <v>51</v>
      </c>
      <c r="H251" s="26">
        <v>4</v>
      </c>
      <c r="I251" s="26" t="s">
        <v>51</v>
      </c>
      <c r="J251" s="26" t="s">
        <v>42</v>
      </c>
      <c r="K251" s="26"/>
      <c r="L251" s="26">
        <v>5</v>
      </c>
      <c r="M251" s="40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 t="s">
        <v>38</v>
      </c>
      <c r="AR251" s="36">
        <f>8.5/8.5</f>
        <v>1</v>
      </c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26"/>
      <c r="BF251" s="26"/>
      <c r="BG251" s="37">
        <v>1</v>
      </c>
      <c r="BH251" s="26"/>
      <c r="BI251" s="26"/>
      <c r="BJ251" s="26"/>
      <c r="BK251" s="26"/>
      <c r="BL251" s="26"/>
      <c r="BM251" s="26"/>
      <c r="BN251" s="26"/>
      <c r="BO251" s="37">
        <f t="shared" si="15"/>
        <v>1</v>
      </c>
      <c r="BP251" s="56">
        <f t="shared" si="16"/>
        <v>0</v>
      </c>
      <c r="BQ251" s="56">
        <f t="shared" si="17"/>
        <v>0</v>
      </c>
      <c r="BR251" s="57">
        <f t="shared" si="18"/>
        <v>0</v>
      </c>
      <c r="BS251" s="38"/>
      <c r="BT251" s="38"/>
      <c r="BU251" s="26"/>
      <c r="BV251" s="26"/>
      <c r="BW251" s="39">
        <f t="shared" si="19"/>
        <v>1</v>
      </c>
      <c r="BX251" s="78">
        <v>1</v>
      </c>
      <c r="BY251" s="63">
        <v>8</v>
      </c>
      <c r="BZ251" s="7"/>
      <c r="CA251" s="8"/>
      <c r="CB251" s="7"/>
      <c r="CC251" s="7"/>
    </row>
    <row r="252" spans="1:81" x14ac:dyDescent="0.2">
      <c r="A252" s="109" t="s">
        <v>283</v>
      </c>
      <c r="B252" s="26">
        <v>34</v>
      </c>
      <c r="C252" s="109" t="s">
        <v>134</v>
      </c>
      <c r="D252" s="26">
        <v>7</v>
      </c>
      <c r="E252" s="26">
        <v>2</v>
      </c>
      <c r="F252" s="26">
        <v>2</v>
      </c>
      <c r="G252" s="26" t="s">
        <v>51</v>
      </c>
      <c r="H252" s="26">
        <v>4</v>
      </c>
      <c r="I252" s="26" t="s">
        <v>51</v>
      </c>
      <c r="J252" s="26" t="s">
        <v>41</v>
      </c>
      <c r="K252" s="26"/>
      <c r="L252" s="26">
        <v>5</v>
      </c>
      <c r="M252" s="40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26"/>
      <c r="BF252" s="26"/>
      <c r="BG252" s="37"/>
      <c r="BH252" s="26"/>
      <c r="BI252" s="26"/>
      <c r="BJ252" s="26"/>
      <c r="BK252" s="26"/>
      <c r="BL252" s="26"/>
      <c r="BM252" s="26"/>
      <c r="BN252" s="26"/>
      <c r="BO252" s="37">
        <f t="shared" si="15"/>
        <v>0</v>
      </c>
      <c r="BP252" s="56">
        <f t="shared" si="16"/>
        <v>0</v>
      </c>
      <c r="BQ252" s="56">
        <f t="shared" si="17"/>
        <v>0</v>
      </c>
      <c r="BR252" s="57">
        <f t="shared" si="18"/>
        <v>0</v>
      </c>
      <c r="BS252" s="38"/>
      <c r="BT252" s="38"/>
      <c r="BU252" s="26"/>
      <c r="BV252" s="26"/>
      <c r="BW252" s="39">
        <f t="shared" si="19"/>
        <v>0</v>
      </c>
      <c r="BX252" s="78">
        <v>0</v>
      </c>
      <c r="BY252" s="63">
        <v>10</v>
      </c>
      <c r="BZ252" s="7"/>
      <c r="CA252" s="8"/>
      <c r="CB252" s="7"/>
      <c r="CC252" s="7"/>
    </row>
    <row r="253" spans="1:81" ht="16" x14ac:dyDescent="0.2">
      <c r="A253" s="109" t="s">
        <v>284</v>
      </c>
      <c r="B253" s="26">
        <v>35</v>
      </c>
      <c r="C253" s="109" t="s">
        <v>135</v>
      </c>
      <c r="D253" s="38">
        <v>1</v>
      </c>
      <c r="E253" s="38">
        <v>2</v>
      </c>
      <c r="F253" s="38" t="s">
        <v>53</v>
      </c>
      <c r="G253" s="38" t="s">
        <v>56</v>
      </c>
      <c r="H253" s="38"/>
      <c r="I253" s="38"/>
      <c r="J253" s="38"/>
      <c r="K253" s="38">
        <v>6</v>
      </c>
      <c r="L253" s="38">
        <v>6</v>
      </c>
      <c r="M253" s="40" t="s">
        <v>39</v>
      </c>
      <c r="N253" s="36">
        <f>6.5/15.5</f>
        <v>0.41935483870967744</v>
      </c>
      <c r="O253" s="36"/>
      <c r="P253" s="36"/>
      <c r="Q253" s="36"/>
      <c r="R253" s="36"/>
      <c r="S253" s="36"/>
      <c r="T253" s="36"/>
      <c r="U253" s="36" t="s">
        <v>39</v>
      </c>
      <c r="V253" s="36">
        <f>7/15.5</f>
        <v>0.45161290322580644</v>
      </c>
      <c r="W253" s="36"/>
      <c r="X253" s="36"/>
      <c r="Y253" s="36"/>
      <c r="Z253" s="36"/>
      <c r="AA253" s="36"/>
      <c r="AB253" s="36"/>
      <c r="AC253" s="36" t="s">
        <v>38</v>
      </c>
      <c r="AD253" s="36">
        <f>5/15.5</f>
        <v>0.32258064516129031</v>
      </c>
      <c r="AE253" s="36" t="s">
        <v>39</v>
      </c>
      <c r="AF253" s="36">
        <f>5/15.5</f>
        <v>0.32258064516129031</v>
      </c>
      <c r="AG253" s="36"/>
      <c r="AH253" s="36"/>
      <c r="AI253" s="36"/>
      <c r="AJ253" s="36"/>
      <c r="AK253" s="36" t="s">
        <v>39</v>
      </c>
      <c r="AL253" s="36">
        <f>15.5/15.5</f>
        <v>1</v>
      </c>
      <c r="AM253" s="36" t="s">
        <v>39</v>
      </c>
      <c r="AN253" s="36">
        <f>7/15.5</f>
        <v>0.45161290322580644</v>
      </c>
      <c r="AO253" s="36" t="s">
        <v>39</v>
      </c>
      <c r="AP253" s="36">
        <f>7/15.5</f>
        <v>0.45161290322580644</v>
      </c>
      <c r="AQ253" s="36"/>
      <c r="AR253" s="36"/>
      <c r="AS253" s="36"/>
      <c r="AT253" s="36"/>
      <c r="AU253" s="36"/>
      <c r="AV253" s="36"/>
      <c r="AW253" s="36" t="s">
        <v>38</v>
      </c>
      <c r="AX253" s="36">
        <f>6.5/15.5</f>
        <v>0.41935483870967744</v>
      </c>
      <c r="AY253" s="36" t="s">
        <v>39</v>
      </c>
      <c r="AZ253" s="36">
        <f>8/15.5</f>
        <v>0.5161290322580645</v>
      </c>
      <c r="BA253" s="36"/>
      <c r="BB253" s="36"/>
      <c r="BC253" s="36" t="s">
        <v>38</v>
      </c>
      <c r="BD253" s="36">
        <f>21/15.5</f>
        <v>1.3548387096774193</v>
      </c>
      <c r="BE253" s="38"/>
      <c r="BF253" s="38"/>
      <c r="BG253" s="43">
        <v>1</v>
      </c>
      <c r="BH253" s="41">
        <v>2</v>
      </c>
      <c r="BI253" s="41">
        <v>1</v>
      </c>
      <c r="BJ253" s="41">
        <v>6</v>
      </c>
      <c r="BO253" s="37">
        <f t="shared" si="15"/>
        <v>2</v>
      </c>
      <c r="BP253" s="56">
        <f t="shared" si="16"/>
        <v>8</v>
      </c>
      <c r="BQ253" s="56">
        <f t="shared" si="17"/>
        <v>0</v>
      </c>
      <c r="BR253" s="57">
        <f t="shared" si="18"/>
        <v>0</v>
      </c>
      <c r="BS253" s="38"/>
      <c r="BT253" s="38"/>
      <c r="BU253" s="26"/>
      <c r="BV253" s="26"/>
      <c r="BW253" s="39">
        <f t="shared" si="19"/>
        <v>10</v>
      </c>
      <c r="BX253" s="78">
        <v>2</v>
      </c>
      <c r="BY253" s="63">
        <v>1</v>
      </c>
      <c r="BZ253" s="7"/>
      <c r="CA253" s="8"/>
      <c r="CB253" s="7"/>
      <c r="CC253" s="7"/>
    </row>
    <row r="254" spans="1:81" ht="16" x14ac:dyDescent="0.2">
      <c r="A254" s="109" t="s">
        <v>284</v>
      </c>
      <c r="B254" s="26">
        <v>35</v>
      </c>
      <c r="C254" s="109" t="s">
        <v>135</v>
      </c>
      <c r="D254" s="38">
        <v>2</v>
      </c>
      <c r="E254" s="38">
        <v>2</v>
      </c>
      <c r="F254" s="38" t="s">
        <v>53</v>
      </c>
      <c r="G254" s="38" t="s">
        <v>50</v>
      </c>
      <c r="H254" s="38"/>
      <c r="I254" s="38"/>
      <c r="J254" s="38"/>
      <c r="K254" s="38">
        <v>8</v>
      </c>
      <c r="L254" s="38">
        <v>6</v>
      </c>
      <c r="M254" s="40"/>
      <c r="N254" s="36"/>
      <c r="O254" s="36"/>
      <c r="P254" s="36"/>
      <c r="Q254" s="36"/>
      <c r="R254" s="36"/>
      <c r="S254" s="36"/>
      <c r="T254" s="36"/>
      <c r="U254" s="36" t="s">
        <v>38</v>
      </c>
      <c r="V254" s="36">
        <f>19.5/15</f>
        <v>1.3</v>
      </c>
      <c r="W254" s="36" t="s">
        <v>38</v>
      </c>
      <c r="X254" s="36">
        <f>22.5/15</f>
        <v>1.5</v>
      </c>
      <c r="Y254" s="36" t="s">
        <v>38</v>
      </c>
      <c r="Z254" s="36">
        <f>23/15</f>
        <v>1.5333333333333334</v>
      </c>
      <c r="AA254" s="36"/>
      <c r="AB254" s="36"/>
      <c r="AC254" s="36"/>
      <c r="AD254" s="36"/>
      <c r="AE254" s="36"/>
      <c r="AF254" s="36"/>
      <c r="AG254" s="36"/>
      <c r="AH254" s="36"/>
      <c r="AI254" s="36" t="s">
        <v>38</v>
      </c>
      <c r="AJ254" s="36">
        <f>30/15</f>
        <v>2</v>
      </c>
      <c r="AK254" s="36" t="s">
        <v>38</v>
      </c>
      <c r="AL254" s="36">
        <f>21/15</f>
        <v>1.4</v>
      </c>
      <c r="AM254" s="36"/>
      <c r="AN254" s="36"/>
      <c r="AO254" s="36"/>
      <c r="AP254" s="36"/>
      <c r="AQ254" s="36" t="s">
        <v>38</v>
      </c>
      <c r="AR254" s="36">
        <f>19/15</f>
        <v>1.2666666666666666</v>
      </c>
      <c r="AS254" s="36" t="s">
        <v>38</v>
      </c>
      <c r="AT254" s="36">
        <f>17.5/15</f>
        <v>1.1666666666666667</v>
      </c>
      <c r="AU254" s="36" t="s">
        <v>38</v>
      </c>
      <c r="AV254" s="36">
        <f>22/15</f>
        <v>1.4666666666666666</v>
      </c>
      <c r="AW254" s="36" t="s">
        <v>38</v>
      </c>
      <c r="AX254" s="36">
        <f>30/15</f>
        <v>2</v>
      </c>
      <c r="AY254" s="36"/>
      <c r="AZ254" s="36"/>
      <c r="BA254" s="36"/>
      <c r="BB254" s="36"/>
      <c r="BC254" s="36"/>
      <c r="BD254" s="36"/>
      <c r="BE254" s="38"/>
      <c r="BF254" s="38"/>
      <c r="BG254" s="39">
        <v>9</v>
      </c>
      <c r="BH254" s="38"/>
      <c r="BI254" s="38"/>
      <c r="BJ254" s="38"/>
      <c r="BK254" s="38"/>
      <c r="BL254" s="38"/>
      <c r="BM254" s="38"/>
      <c r="BN254" s="38"/>
      <c r="BO254" s="37">
        <f t="shared" si="15"/>
        <v>9</v>
      </c>
      <c r="BP254" s="56">
        <f t="shared" si="16"/>
        <v>0</v>
      </c>
      <c r="BQ254" s="56">
        <f t="shared" si="17"/>
        <v>0</v>
      </c>
      <c r="BR254" s="57">
        <f t="shared" si="18"/>
        <v>0</v>
      </c>
      <c r="BS254" s="38"/>
      <c r="BT254" s="38"/>
      <c r="BU254" s="26"/>
      <c r="BV254" s="26"/>
      <c r="BW254" s="39">
        <f t="shared" si="19"/>
        <v>9</v>
      </c>
      <c r="BX254" s="78">
        <v>1</v>
      </c>
      <c r="BY254" s="64">
        <v>1</v>
      </c>
      <c r="BZ254" s="17"/>
      <c r="CA254" s="20"/>
      <c r="CB254" s="7"/>
      <c r="CC254" s="7"/>
    </row>
    <row r="255" spans="1:81" ht="16" x14ac:dyDescent="0.2">
      <c r="A255" s="109" t="s">
        <v>284</v>
      </c>
      <c r="B255" s="26">
        <v>35</v>
      </c>
      <c r="C255" s="109" t="s">
        <v>135</v>
      </c>
      <c r="D255" s="38">
        <v>3</v>
      </c>
      <c r="E255" s="38">
        <v>2</v>
      </c>
      <c r="F255" s="38" t="s">
        <v>53</v>
      </c>
      <c r="G255" s="38" t="s">
        <v>50</v>
      </c>
      <c r="H255" s="38"/>
      <c r="I255" s="38"/>
      <c r="J255" s="38"/>
      <c r="K255" s="38">
        <v>5</v>
      </c>
      <c r="L255" s="38">
        <v>6</v>
      </c>
      <c r="M255" s="40" t="s">
        <v>38</v>
      </c>
      <c r="N255" s="36">
        <f>7.5/15</f>
        <v>0.5</v>
      </c>
      <c r="O255" s="36"/>
      <c r="P255" s="36"/>
      <c r="Q255" s="36"/>
      <c r="R255" s="36"/>
      <c r="S255" s="36" t="s">
        <v>38</v>
      </c>
      <c r="T255" s="36">
        <f>5.5/15</f>
        <v>0.36666666666666664</v>
      </c>
      <c r="U255" s="36" t="s">
        <v>38</v>
      </c>
      <c r="V255" s="36">
        <f>5.5/15</f>
        <v>0.36666666666666664</v>
      </c>
      <c r="W255" s="36"/>
      <c r="X255" s="36"/>
      <c r="Y255" s="36"/>
      <c r="Z255" s="36"/>
      <c r="AA255" s="36"/>
      <c r="AB255" s="36"/>
      <c r="AC255" s="36" t="s">
        <v>38</v>
      </c>
      <c r="AD255" s="36">
        <f>7.5/15</f>
        <v>0.5</v>
      </c>
      <c r="AE255" s="36"/>
      <c r="AF255" s="36"/>
      <c r="AG255" s="36" t="s">
        <v>39</v>
      </c>
      <c r="AH255" s="36">
        <f>8/15</f>
        <v>0.53333333333333333</v>
      </c>
      <c r="AI255" s="36" t="s">
        <v>39</v>
      </c>
      <c r="AJ255" s="36">
        <f>6/15</f>
        <v>0.4</v>
      </c>
      <c r="AK255" s="36" t="s">
        <v>39</v>
      </c>
      <c r="AL255" s="36">
        <f>7/15</f>
        <v>0.46666666666666667</v>
      </c>
      <c r="AM255" s="36"/>
      <c r="AN255" s="36"/>
      <c r="AO255" s="36"/>
      <c r="AP255" s="36"/>
      <c r="AQ255" s="36" t="s">
        <v>38</v>
      </c>
      <c r="AR255" s="36">
        <f>6/15</f>
        <v>0.4</v>
      </c>
      <c r="AS255" s="36"/>
      <c r="AT255" s="36"/>
      <c r="AU255" s="36" t="s">
        <v>39</v>
      </c>
      <c r="AV255" s="36">
        <f>8.5/15</f>
        <v>0.56666666666666665</v>
      </c>
      <c r="AW255" s="36" t="s">
        <v>38</v>
      </c>
      <c r="AX255" s="36">
        <f>10.5/15</f>
        <v>0.7</v>
      </c>
      <c r="AY255" s="36" t="s">
        <v>38</v>
      </c>
      <c r="AZ255" s="36">
        <f>8.5/15</f>
        <v>0.56666666666666665</v>
      </c>
      <c r="BA255" s="36" t="s">
        <v>39</v>
      </c>
      <c r="BB255" s="36">
        <f>8.5/15</f>
        <v>0.56666666666666665</v>
      </c>
      <c r="BC255" s="36"/>
      <c r="BD255" s="36"/>
      <c r="BE255" s="38"/>
      <c r="BF255" s="38"/>
      <c r="BG255" s="43">
        <v>1</v>
      </c>
      <c r="BH255" s="41">
        <v>6</v>
      </c>
      <c r="BJ255" s="41">
        <v>5</v>
      </c>
      <c r="BO255" s="37">
        <f t="shared" si="15"/>
        <v>1</v>
      </c>
      <c r="BP255" s="56">
        <f t="shared" si="16"/>
        <v>11</v>
      </c>
      <c r="BQ255" s="56">
        <f t="shared" si="17"/>
        <v>0</v>
      </c>
      <c r="BR255" s="57">
        <f t="shared" si="18"/>
        <v>0</v>
      </c>
      <c r="BS255" s="38"/>
      <c r="BT255" s="38"/>
      <c r="BU255" s="26"/>
      <c r="BV255" s="26"/>
      <c r="BW255" s="39">
        <f t="shared" si="19"/>
        <v>12</v>
      </c>
      <c r="BX255" s="78">
        <v>2</v>
      </c>
      <c r="BY255" s="63">
        <v>1</v>
      </c>
      <c r="BZ255" s="7"/>
      <c r="CA255" s="8"/>
      <c r="CB255" s="7"/>
      <c r="CC255" s="7"/>
    </row>
    <row r="256" spans="1:81" ht="16" x14ac:dyDescent="0.2">
      <c r="A256" s="109" t="s">
        <v>284</v>
      </c>
      <c r="B256" s="26">
        <v>35</v>
      </c>
      <c r="C256" s="109" t="s">
        <v>135</v>
      </c>
      <c r="D256" s="38">
        <v>4</v>
      </c>
      <c r="E256" s="38">
        <v>2</v>
      </c>
      <c r="F256" s="38">
        <v>4</v>
      </c>
      <c r="G256" s="38" t="s">
        <v>50</v>
      </c>
      <c r="H256" s="38"/>
      <c r="I256" s="38"/>
      <c r="J256" s="38"/>
      <c r="K256" s="38">
        <v>5</v>
      </c>
      <c r="L256" s="38">
        <v>6</v>
      </c>
      <c r="M256" s="40"/>
      <c r="N256" s="36"/>
      <c r="O256" s="36" t="s">
        <v>40</v>
      </c>
      <c r="P256" s="36">
        <f>11.5/15.5</f>
        <v>0.74193548387096775</v>
      </c>
      <c r="Q256" s="36"/>
      <c r="R256" s="36"/>
      <c r="S256" s="36" t="s">
        <v>57</v>
      </c>
      <c r="T256" s="36">
        <f>17.5/15.5</f>
        <v>1.1290322580645162</v>
      </c>
      <c r="U256" s="36"/>
      <c r="V256" s="36"/>
      <c r="W256" s="36" t="s">
        <v>48</v>
      </c>
      <c r="X256" s="36">
        <f>9.5/15.5</f>
        <v>0.61290322580645162</v>
      </c>
      <c r="Y256" s="36"/>
      <c r="Z256" s="36"/>
      <c r="AA256" s="36"/>
      <c r="AB256" s="36"/>
      <c r="AC256" s="36"/>
      <c r="AD256" s="36"/>
      <c r="AE256" s="36" t="s">
        <v>40</v>
      </c>
      <c r="AF256" s="36">
        <f>14.5/15.5</f>
        <v>0.93548387096774188</v>
      </c>
      <c r="AG256" s="36"/>
      <c r="AH256" s="36"/>
      <c r="AI256" s="36" t="s">
        <v>40</v>
      </c>
      <c r="AJ256" s="36">
        <f>9.5/15.5</f>
        <v>0.61290322580645162</v>
      </c>
      <c r="AK256" s="36"/>
      <c r="AL256" s="36"/>
      <c r="AM256" s="36" t="s">
        <v>48</v>
      </c>
      <c r="AN256" s="36">
        <f>11/15.5</f>
        <v>0.70967741935483875</v>
      </c>
      <c r="AO256" s="36"/>
      <c r="AP256" s="36"/>
      <c r="AQ256" s="36" t="s">
        <v>48</v>
      </c>
      <c r="AR256" s="36">
        <f>13.5/15.5</f>
        <v>0.87096774193548387</v>
      </c>
      <c r="AS256" s="36" t="s">
        <v>40</v>
      </c>
      <c r="AT256" s="36">
        <f>10.5/15.5</f>
        <v>0.67741935483870963</v>
      </c>
      <c r="AU256" s="36"/>
      <c r="AV256" s="36"/>
      <c r="AW256" s="36" t="s">
        <v>55</v>
      </c>
      <c r="AX256" s="36">
        <f>12/15.5</f>
        <v>0.77419354838709675</v>
      </c>
      <c r="AY256" s="36"/>
      <c r="AZ256" s="36"/>
      <c r="BA256" s="36"/>
      <c r="BB256" s="36"/>
      <c r="BC256" s="36"/>
      <c r="BD256" s="36"/>
      <c r="BE256" s="38"/>
      <c r="BF256" s="38"/>
      <c r="BG256" s="43"/>
      <c r="BK256" s="41">
        <v>3</v>
      </c>
      <c r="BL256" s="41">
        <v>1</v>
      </c>
      <c r="BM256" s="41">
        <v>3</v>
      </c>
      <c r="BN256" s="41">
        <v>2</v>
      </c>
      <c r="BO256" s="37">
        <f t="shared" si="15"/>
        <v>0</v>
      </c>
      <c r="BP256" s="56">
        <f t="shared" si="16"/>
        <v>0</v>
      </c>
      <c r="BQ256" s="56">
        <f t="shared" si="17"/>
        <v>6</v>
      </c>
      <c r="BR256" s="57">
        <f t="shared" si="18"/>
        <v>3</v>
      </c>
      <c r="BS256" s="38"/>
      <c r="BT256" s="38"/>
      <c r="BU256" s="26"/>
      <c r="BV256" s="26"/>
      <c r="BW256" s="39">
        <f t="shared" si="19"/>
        <v>9</v>
      </c>
      <c r="BX256" s="78">
        <v>4</v>
      </c>
      <c r="BY256" s="63">
        <v>1</v>
      </c>
      <c r="BZ256" s="7"/>
      <c r="CA256" s="19"/>
      <c r="CB256" s="7"/>
      <c r="CC256" s="7"/>
    </row>
    <row r="257" spans="1:81" ht="16" x14ac:dyDescent="0.2">
      <c r="A257" s="109" t="s">
        <v>284</v>
      </c>
      <c r="B257" s="26">
        <v>35</v>
      </c>
      <c r="C257" s="109" t="s">
        <v>135</v>
      </c>
      <c r="D257" s="38">
        <v>5</v>
      </c>
      <c r="E257" s="38">
        <v>2</v>
      </c>
      <c r="F257" s="38" t="s">
        <v>53</v>
      </c>
      <c r="G257" s="38" t="s">
        <v>50</v>
      </c>
      <c r="H257" s="38"/>
      <c r="I257" s="38"/>
      <c r="J257" s="38"/>
      <c r="K257" s="26" t="s">
        <v>47</v>
      </c>
      <c r="L257" s="38">
        <v>6</v>
      </c>
      <c r="M257" s="40" t="s">
        <v>39</v>
      </c>
      <c r="N257" s="36">
        <f>10.5/15</f>
        <v>0.7</v>
      </c>
      <c r="O257" s="36" t="s">
        <v>38</v>
      </c>
      <c r="P257" s="36">
        <f>6/15</f>
        <v>0.4</v>
      </c>
      <c r="Q257" s="36"/>
      <c r="R257" s="36"/>
      <c r="S257" s="36"/>
      <c r="T257" s="36"/>
      <c r="U257" s="36"/>
      <c r="V257" s="36"/>
      <c r="W257" s="36" t="s">
        <v>38</v>
      </c>
      <c r="X257" s="36">
        <f>7/15</f>
        <v>0.46666666666666667</v>
      </c>
      <c r="Y257" s="36"/>
      <c r="Z257" s="36"/>
      <c r="AA257" s="36"/>
      <c r="AB257" s="36"/>
      <c r="AC257" s="36"/>
      <c r="AD257" s="36"/>
      <c r="AE257" s="36" t="s">
        <v>39</v>
      </c>
      <c r="AF257" s="36">
        <f>5.5/15</f>
        <v>0.36666666666666664</v>
      </c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 t="s">
        <v>38</v>
      </c>
      <c r="AX257" s="36">
        <f>6/15</f>
        <v>0.4</v>
      </c>
      <c r="AY257" s="36"/>
      <c r="AZ257" s="36"/>
      <c r="BA257" s="36"/>
      <c r="BB257" s="36"/>
      <c r="BC257" s="36"/>
      <c r="BD257" s="36"/>
      <c r="BE257" s="38"/>
      <c r="BF257" s="38"/>
      <c r="BG257" s="37"/>
      <c r="BH257" s="26">
        <v>3</v>
      </c>
      <c r="BI257" s="26">
        <v>1</v>
      </c>
      <c r="BJ257" s="26">
        <v>1</v>
      </c>
      <c r="BK257" s="26"/>
      <c r="BL257" s="26"/>
      <c r="BM257" s="26"/>
      <c r="BO257" s="37">
        <f t="shared" si="15"/>
        <v>1</v>
      </c>
      <c r="BP257" s="56">
        <f t="shared" si="16"/>
        <v>4</v>
      </c>
      <c r="BQ257" s="56">
        <f t="shared" si="17"/>
        <v>0</v>
      </c>
      <c r="BR257" s="57">
        <f t="shared" si="18"/>
        <v>0</v>
      </c>
      <c r="BS257" s="38"/>
      <c r="BT257" s="38"/>
      <c r="BU257" s="26"/>
      <c r="BV257" s="26"/>
      <c r="BW257" s="39">
        <f t="shared" si="19"/>
        <v>5</v>
      </c>
      <c r="BX257" s="78">
        <v>2</v>
      </c>
      <c r="BY257" s="63">
        <v>3</v>
      </c>
    </row>
    <row r="258" spans="1:81" x14ac:dyDescent="0.2">
      <c r="A258" s="109" t="s">
        <v>284</v>
      </c>
      <c r="B258" s="26">
        <v>35</v>
      </c>
      <c r="C258" s="109" t="s">
        <v>135</v>
      </c>
      <c r="D258" s="38">
        <v>6</v>
      </c>
      <c r="E258" s="38">
        <v>2</v>
      </c>
      <c r="F258" s="38">
        <v>2</v>
      </c>
      <c r="G258" s="38" t="s">
        <v>51</v>
      </c>
      <c r="H258" s="38">
        <v>4</v>
      </c>
      <c r="I258" s="38" t="s">
        <v>51</v>
      </c>
      <c r="J258" s="38" t="s">
        <v>60</v>
      </c>
      <c r="K258" s="38"/>
      <c r="L258" s="38">
        <v>6</v>
      </c>
      <c r="M258" s="40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8"/>
      <c r="BF258" s="38"/>
      <c r="BG258" s="37"/>
      <c r="BH258" s="26"/>
      <c r="BI258" s="26"/>
      <c r="BJ258" s="26"/>
      <c r="BK258" s="26"/>
      <c r="BL258" s="26"/>
      <c r="BM258" s="26"/>
      <c r="BO258" s="37">
        <f t="shared" ref="BO258:BO321" si="20">BG258+BI258+BU258</f>
        <v>0</v>
      </c>
      <c r="BP258" s="56">
        <f t="shared" ref="BP258:BP321" si="21">BH258+BJ258</f>
        <v>0</v>
      </c>
      <c r="BQ258" s="56">
        <f t="shared" ref="BQ258:BQ321" si="22">BK258+BM258+BV258+BS258</f>
        <v>0</v>
      </c>
      <c r="BR258" s="57">
        <f t="shared" ref="BR258:BR321" si="23">BL258+BN258+BT258</f>
        <v>0</v>
      </c>
      <c r="BS258" s="38"/>
      <c r="BT258" s="38"/>
      <c r="BU258" s="26"/>
      <c r="BV258" s="26"/>
      <c r="BW258" s="39">
        <f t="shared" ref="BW258:BW321" si="24">SUM(BO258:BR258)</f>
        <v>0</v>
      </c>
      <c r="BX258" s="78">
        <v>0</v>
      </c>
      <c r="BY258" s="63">
        <v>7</v>
      </c>
    </row>
    <row r="259" spans="1:81" ht="16" x14ac:dyDescent="0.2">
      <c r="A259" s="109" t="s">
        <v>284</v>
      </c>
      <c r="B259" s="26">
        <v>35</v>
      </c>
      <c r="C259" s="109" t="s">
        <v>135</v>
      </c>
      <c r="D259" s="38">
        <v>7</v>
      </c>
      <c r="E259" s="38">
        <v>2</v>
      </c>
      <c r="F259" s="38">
        <v>3</v>
      </c>
      <c r="G259" s="38" t="s">
        <v>56</v>
      </c>
      <c r="H259" s="38">
        <v>6</v>
      </c>
      <c r="I259" s="38" t="s">
        <v>51</v>
      </c>
      <c r="J259" s="38"/>
      <c r="K259" s="38">
        <v>12</v>
      </c>
      <c r="L259" s="38">
        <v>6</v>
      </c>
      <c r="M259" s="40"/>
      <c r="N259" s="36"/>
      <c r="O259" s="36"/>
      <c r="P259" s="36"/>
      <c r="Q259" s="36"/>
      <c r="R259" s="36"/>
      <c r="S259" s="36"/>
      <c r="T259" s="36"/>
      <c r="U259" s="36" t="s">
        <v>39</v>
      </c>
      <c r="V259" s="36">
        <f>8/15</f>
        <v>0.53333333333333333</v>
      </c>
      <c r="W259" s="36"/>
      <c r="X259" s="36"/>
      <c r="Y259" s="36"/>
      <c r="Z259" s="36"/>
      <c r="AA259" s="36" t="s">
        <v>39</v>
      </c>
      <c r="AB259" s="36">
        <f>8/15</f>
        <v>0.53333333333333333</v>
      </c>
      <c r="AC259" s="36"/>
      <c r="AD259" s="36"/>
      <c r="AE259" s="36" t="s">
        <v>39</v>
      </c>
      <c r="AF259" s="36">
        <f>7.5/15</f>
        <v>0.5</v>
      </c>
      <c r="AG259" s="36" t="s">
        <v>39</v>
      </c>
      <c r="AH259" s="36">
        <f>7.5/15</f>
        <v>0.5</v>
      </c>
      <c r="AI259" s="36" t="s">
        <v>39</v>
      </c>
      <c r="AJ259" s="36">
        <f>7/15</f>
        <v>0.46666666666666667</v>
      </c>
      <c r="AK259" s="36"/>
      <c r="AL259" s="36"/>
      <c r="AM259" s="36"/>
      <c r="AN259" s="36"/>
      <c r="AO259" s="36" t="s">
        <v>39</v>
      </c>
      <c r="AP259" s="36">
        <f>7.5/15</f>
        <v>0.5</v>
      </c>
      <c r="AQ259" s="36"/>
      <c r="AR259" s="36"/>
      <c r="AS259" s="36"/>
      <c r="AT259" s="36"/>
      <c r="AU259" s="36"/>
      <c r="AV259" s="36"/>
      <c r="AW259" s="36" t="s">
        <v>39</v>
      </c>
      <c r="AX259" s="36">
        <f>5/15</f>
        <v>0.33333333333333331</v>
      </c>
      <c r="AY259" s="36"/>
      <c r="AZ259" s="36"/>
      <c r="BA259" s="36"/>
      <c r="BB259" s="36"/>
      <c r="BC259" s="36" t="s">
        <v>39</v>
      </c>
      <c r="BD259" s="36">
        <f>9/15</f>
        <v>0.6</v>
      </c>
      <c r="BE259" s="38"/>
      <c r="BF259" s="38"/>
      <c r="BG259" s="37"/>
      <c r="BH259" s="26"/>
      <c r="BI259" s="26"/>
      <c r="BJ259" s="26">
        <v>8</v>
      </c>
      <c r="BK259" s="26"/>
      <c r="BL259" s="26"/>
      <c r="BM259" s="26"/>
      <c r="BO259" s="37">
        <f t="shared" si="20"/>
        <v>0</v>
      </c>
      <c r="BP259" s="56">
        <f t="shared" si="21"/>
        <v>8</v>
      </c>
      <c r="BQ259" s="56">
        <f t="shared" si="22"/>
        <v>0</v>
      </c>
      <c r="BR259" s="57">
        <f t="shared" si="23"/>
        <v>0</v>
      </c>
      <c r="BS259" s="38"/>
      <c r="BT259" s="38"/>
      <c r="BU259" s="26"/>
      <c r="BV259" s="26"/>
      <c r="BW259" s="39">
        <f t="shared" si="24"/>
        <v>8</v>
      </c>
      <c r="BX259" s="78">
        <v>3</v>
      </c>
      <c r="BY259" s="63">
        <v>2</v>
      </c>
    </row>
    <row r="260" spans="1:81" x14ac:dyDescent="0.2">
      <c r="A260" s="109" t="s">
        <v>284</v>
      </c>
      <c r="B260" s="26">
        <v>35</v>
      </c>
      <c r="C260" s="109" t="s">
        <v>135</v>
      </c>
      <c r="D260" s="38">
        <v>8</v>
      </c>
      <c r="E260" s="38">
        <v>2</v>
      </c>
      <c r="F260" s="38">
        <v>2</v>
      </c>
      <c r="G260" s="38" t="s">
        <v>51</v>
      </c>
      <c r="H260" s="38">
        <v>4</v>
      </c>
      <c r="I260" s="38" t="s">
        <v>51</v>
      </c>
      <c r="J260" s="38" t="s">
        <v>41</v>
      </c>
      <c r="K260" s="38"/>
      <c r="L260" s="38">
        <v>5</v>
      </c>
      <c r="M260" s="40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8"/>
      <c r="BF260" s="38"/>
      <c r="BG260" s="37"/>
      <c r="BH260" s="26"/>
      <c r="BI260" s="26"/>
      <c r="BJ260" s="26"/>
      <c r="BK260" s="26"/>
      <c r="BL260" s="26"/>
      <c r="BM260" s="26"/>
      <c r="BN260" s="26"/>
      <c r="BO260" s="37">
        <f t="shared" si="20"/>
        <v>0</v>
      </c>
      <c r="BP260" s="56">
        <f t="shared" si="21"/>
        <v>0</v>
      </c>
      <c r="BQ260" s="56">
        <f t="shared" si="22"/>
        <v>0</v>
      </c>
      <c r="BR260" s="57">
        <f t="shared" si="23"/>
        <v>0</v>
      </c>
      <c r="BS260" s="38"/>
      <c r="BT260" s="38"/>
      <c r="BU260" s="26"/>
      <c r="BV260" s="26"/>
      <c r="BW260" s="39">
        <f t="shared" si="24"/>
        <v>0</v>
      </c>
      <c r="BX260" s="78">
        <v>0</v>
      </c>
      <c r="BY260" s="63">
        <v>10</v>
      </c>
      <c r="CB260" s="7"/>
      <c r="CC260" s="7"/>
    </row>
    <row r="261" spans="1:81" ht="16" x14ac:dyDescent="0.2">
      <c r="A261" s="109" t="s">
        <v>284</v>
      </c>
      <c r="B261" s="26">
        <v>35</v>
      </c>
      <c r="C261" s="109" t="s">
        <v>135</v>
      </c>
      <c r="D261" s="38">
        <v>9</v>
      </c>
      <c r="E261" s="38">
        <v>2</v>
      </c>
      <c r="F261" s="38">
        <v>2</v>
      </c>
      <c r="G261" s="38" t="s">
        <v>51</v>
      </c>
      <c r="H261" s="38">
        <v>2</v>
      </c>
      <c r="I261" s="38" t="s">
        <v>54</v>
      </c>
      <c r="J261" s="38"/>
      <c r="K261" s="26" t="s">
        <v>47</v>
      </c>
      <c r="L261" s="38">
        <v>6</v>
      </c>
      <c r="M261" s="40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 t="s">
        <v>38</v>
      </c>
      <c r="BD261" s="36">
        <f>9.5/15.5</f>
        <v>0.61290322580645162</v>
      </c>
      <c r="BE261" s="38"/>
      <c r="BF261" s="38"/>
      <c r="BG261" s="37"/>
      <c r="BH261" s="26">
        <v>1</v>
      </c>
      <c r="BI261" s="26"/>
      <c r="BJ261" s="26"/>
      <c r="BK261" s="26"/>
      <c r="BL261" s="26"/>
      <c r="BM261" s="26"/>
      <c r="BN261" s="26"/>
      <c r="BO261" s="37">
        <f t="shared" si="20"/>
        <v>0</v>
      </c>
      <c r="BP261" s="56">
        <f t="shared" si="21"/>
        <v>1</v>
      </c>
      <c r="BQ261" s="56">
        <f t="shared" si="22"/>
        <v>0</v>
      </c>
      <c r="BR261" s="57">
        <f t="shared" si="23"/>
        <v>0</v>
      </c>
      <c r="BS261" s="38"/>
      <c r="BT261" s="38"/>
      <c r="BU261" s="26"/>
      <c r="BV261" s="26"/>
      <c r="BW261" s="39">
        <f t="shared" si="24"/>
        <v>1</v>
      </c>
      <c r="BX261" s="78">
        <v>3</v>
      </c>
      <c r="BY261" s="63">
        <v>3</v>
      </c>
      <c r="CB261" s="7"/>
      <c r="CC261" s="7"/>
    </row>
    <row r="262" spans="1:81" x14ac:dyDescent="0.2">
      <c r="A262" s="109" t="s">
        <v>284</v>
      </c>
      <c r="B262" s="26">
        <v>35</v>
      </c>
      <c r="C262" s="109" t="s">
        <v>135</v>
      </c>
      <c r="D262" s="38">
        <v>11</v>
      </c>
      <c r="E262" s="38">
        <v>2</v>
      </c>
      <c r="F262" s="38">
        <v>2</v>
      </c>
      <c r="G262" s="38" t="s">
        <v>51</v>
      </c>
      <c r="H262" s="38">
        <v>4</v>
      </c>
      <c r="I262" s="38" t="s">
        <v>51</v>
      </c>
      <c r="J262" s="38" t="s">
        <v>37</v>
      </c>
      <c r="K262" s="38"/>
      <c r="L262" s="38">
        <v>6</v>
      </c>
      <c r="M262" s="40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8"/>
      <c r="BF262" s="38"/>
      <c r="BG262" s="37"/>
      <c r="BH262" s="26"/>
      <c r="BI262" s="26"/>
      <c r="BJ262" s="26"/>
      <c r="BK262" s="26"/>
      <c r="BL262" s="26"/>
      <c r="BM262" s="26"/>
      <c r="BN262" s="26"/>
      <c r="BO262" s="37">
        <f t="shared" si="20"/>
        <v>0</v>
      </c>
      <c r="BP262" s="56">
        <f t="shared" si="21"/>
        <v>0</v>
      </c>
      <c r="BQ262" s="56">
        <f t="shared" si="22"/>
        <v>0</v>
      </c>
      <c r="BR262" s="57">
        <f t="shared" si="23"/>
        <v>0</v>
      </c>
      <c r="BS262" s="38"/>
      <c r="BT262" s="38"/>
      <c r="BU262" s="26"/>
      <c r="BV262" s="26"/>
      <c r="BW262" s="39">
        <f t="shared" si="24"/>
        <v>0</v>
      </c>
      <c r="BX262" s="78">
        <v>0</v>
      </c>
      <c r="BY262" s="63">
        <v>9</v>
      </c>
      <c r="CB262" s="7"/>
      <c r="CC262" s="7"/>
    </row>
    <row r="263" spans="1:81" ht="16" x14ac:dyDescent="0.2">
      <c r="A263" s="109" t="s">
        <v>284</v>
      </c>
      <c r="B263" s="26">
        <v>35</v>
      </c>
      <c r="C263" s="109" t="s">
        <v>135</v>
      </c>
      <c r="D263" s="38">
        <v>12</v>
      </c>
      <c r="E263" s="38">
        <v>2</v>
      </c>
      <c r="F263" s="38">
        <v>4</v>
      </c>
      <c r="G263" s="38" t="s">
        <v>56</v>
      </c>
      <c r="H263" s="38">
        <v>7</v>
      </c>
      <c r="I263" s="38" t="s">
        <v>51</v>
      </c>
      <c r="J263" s="38"/>
      <c r="K263" s="38" t="s">
        <v>63</v>
      </c>
      <c r="L263" s="38">
        <v>6</v>
      </c>
      <c r="M263" s="40" t="s">
        <v>39</v>
      </c>
      <c r="N263" s="36">
        <f>4.5/15</f>
        <v>0.3</v>
      </c>
      <c r="O263" s="36"/>
      <c r="P263" s="36"/>
      <c r="Q263" s="36"/>
      <c r="R263" s="36"/>
      <c r="S263" s="36" t="s">
        <v>39</v>
      </c>
      <c r="T263" s="36">
        <f>5/15</f>
        <v>0.33333333333333331</v>
      </c>
      <c r="U263" s="36"/>
      <c r="V263" s="36"/>
      <c r="W263" s="36" t="s">
        <v>38</v>
      </c>
      <c r="X263" s="36">
        <f>14.5/15</f>
        <v>0.96666666666666667</v>
      </c>
      <c r="Y263" s="36" t="s">
        <v>38</v>
      </c>
      <c r="Z263" s="36">
        <f>12.5/15</f>
        <v>0.83333333333333337</v>
      </c>
      <c r="AA263" s="36" t="s">
        <v>38</v>
      </c>
      <c r="AB263" s="36">
        <f>26.5/15</f>
        <v>1.7666666666666666</v>
      </c>
      <c r="AC263" s="36" t="s">
        <v>38</v>
      </c>
      <c r="AD263" s="36">
        <f>10.5/15</f>
        <v>0.7</v>
      </c>
      <c r="AE263" s="36"/>
      <c r="AF263" s="36"/>
      <c r="AG263" s="36"/>
      <c r="AH263" s="36"/>
      <c r="AI263" s="36"/>
      <c r="AJ263" s="36"/>
      <c r="AK263" s="36"/>
      <c r="AL263" s="36"/>
      <c r="AM263" s="36" t="s">
        <v>38</v>
      </c>
      <c r="AN263" s="36">
        <f>13/15</f>
        <v>0.8666666666666667</v>
      </c>
      <c r="AO263" s="36"/>
      <c r="AP263" s="36"/>
      <c r="AQ263" s="36"/>
      <c r="AR263" s="36"/>
      <c r="AS263" s="36"/>
      <c r="AT263" s="36"/>
      <c r="AU263" s="36" t="s">
        <v>38</v>
      </c>
      <c r="AV263" s="36">
        <f>9/15</f>
        <v>0.6</v>
      </c>
      <c r="AW263" s="36" t="s">
        <v>38</v>
      </c>
      <c r="AX263" s="36">
        <f>14.5/15</f>
        <v>0.96666666666666667</v>
      </c>
      <c r="AY263" s="36"/>
      <c r="AZ263" s="36"/>
      <c r="BA263" s="36" t="s">
        <v>38</v>
      </c>
      <c r="BB263" s="36">
        <f>10.5/15</f>
        <v>0.7</v>
      </c>
      <c r="BC263" s="36"/>
      <c r="BD263" s="36"/>
      <c r="BE263" s="38"/>
      <c r="BF263" s="38"/>
      <c r="BG263" s="37">
        <v>7</v>
      </c>
      <c r="BH263" s="26">
        <v>1</v>
      </c>
      <c r="BI263" s="26"/>
      <c r="BJ263" s="26">
        <v>2</v>
      </c>
      <c r="BK263" s="26"/>
      <c r="BL263" s="26"/>
      <c r="BM263" s="26"/>
      <c r="BN263" s="26"/>
      <c r="BO263" s="37">
        <f t="shared" si="20"/>
        <v>7</v>
      </c>
      <c r="BP263" s="56">
        <f t="shared" si="21"/>
        <v>3</v>
      </c>
      <c r="BQ263" s="56">
        <f t="shared" si="22"/>
        <v>0</v>
      </c>
      <c r="BR263" s="57">
        <f t="shared" si="23"/>
        <v>0</v>
      </c>
      <c r="BS263" s="38"/>
      <c r="BT263" s="38"/>
      <c r="BU263" s="26"/>
      <c r="BV263" s="26"/>
      <c r="BW263" s="39">
        <f t="shared" si="24"/>
        <v>10</v>
      </c>
      <c r="BX263" s="78">
        <v>2</v>
      </c>
      <c r="BY263" s="63">
        <v>2</v>
      </c>
      <c r="CB263" s="7"/>
      <c r="CC263" s="7"/>
    </row>
    <row r="264" spans="1:81" x14ac:dyDescent="0.2">
      <c r="A264" s="109" t="s">
        <v>284</v>
      </c>
      <c r="B264" s="26">
        <v>35</v>
      </c>
      <c r="C264" s="109" t="s">
        <v>135</v>
      </c>
      <c r="D264" s="38">
        <v>13</v>
      </c>
      <c r="E264" s="38">
        <v>2</v>
      </c>
      <c r="F264" s="38">
        <v>2</v>
      </c>
      <c r="G264" s="38" t="s">
        <v>51</v>
      </c>
      <c r="H264" s="38">
        <v>4</v>
      </c>
      <c r="I264" s="38" t="s">
        <v>51</v>
      </c>
      <c r="J264" s="38" t="s">
        <v>41</v>
      </c>
      <c r="K264" s="38"/>
      <c r="L264" s="38">
        <v>5</v>
      </c>
      <c r="M264" s="40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8"/>
      <c r="BF264" s="38"/>
      <c r="BG264" s="37"/>
      <c r="BH264" s="26"/>
      <c r="BI264" s="26"/>
      <c r="BJ264" s="26"/>
      <c r="BK264" s="26"/>
      <c r="BL264" s="26"/>
      <c r="BM264" s="26"/>
      <c r="BN264" s="26"/>
      <c r="BO264" s="37">
        <f t="shared" si="20"/>
        <v>0</v>
      </c>
      <c r="BP264" s="56">
        <f t="shared" si="21"/>
        <v>0</v>
      </c>
      <c r="BQ264" s="56">
        <f t="shared" si="22"/>
        <v>0</v>
      </c>
      <c r="BR264" s="57">
        <f t="shared" si="23"/>
        <v>0</v>
      </c>
      <c r="BS264" s="38"/>
      <c r="BT264" s="38"/>
      <c r="BU264" s="26"/>
      <c r="BV264" s="26"/>
      <c r="BW264" s="39">
        <f t="shared" si="24"/>
        <v>0</v>
      </c>
      <c r="BX264" s="78">
        <v>0</v>
      </c>
      <c r="BY264" s="63">
        <v>10</v>
      </c>
      <c r="CC264" s="7"/>
    </row>
    <row r="265" spans="1:81" ht="16" x14ac:dyDescent="0.2">
      <c r="A265" s="109" t="s">
        <v>284</v>
      </c>
      <c r="B265" s="26">
        <v>35</v>
      </c>
      <c r="C265" s="109" t="s">
        <v>135</v>
      </c>
      <c r="D265" s="38">
        <v>14</v>
      </c>
      <c r="E265" s="38">
        <v>2</v>
      </c>
      <c r="F265" s="38">
        <v>3</v>
      </c>
      <c r="G265" s="38" t="s">
        <v>56</v>
      </c>
      <c r="H265" s="38">
        <v>6</v>
      </c>
      <c r="I265" s="38" t="s">
        <v>51</v>
      </c>
      <c r="J265" s="38"/>
      <c r="K265" s="38" t="s">
        <v>63</v>
      </c>
      <c r="L265" s="38">
        <v>6</v>
      </c>
      <c r="M265" s="40"/>
      <c r="N265" s="36"/>
      <c r="O265" s="36" t="s">
        <v>39</v>
      </c>
      <c r="P265" s="36">
        <f>9/15</f>
        <v>0.6</v>
      </c>
      <c r="Q265" s="36"/>
      <c r="R265" s="36"/>
      <c r="S265" s="36"/>
      <c r="T265" s="36"/>
      <c r="U265" s="36" t="s">
        <v>39</v>
      </c>
      <c r="V265" s="36">
        <f>6.5/15</f>
        <v>0.43333333333333335</v>
      </c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 t="s">
        <v>39</v>
      </c>
      <c r="AJ265" s="36">
        <f>7/15</f>
        <v>0.46666666666666667</v>
      </c>
      <c r="AK265" s="36" t="s">
        <v>39</v>
      </c>
      <c r="AL265" s="36">
        <f>13/15</f>
        <v>0.8666666666666667</v>
      </c>
      <c r="AM265" s="36"/>
      <c r="AN265" s="36"/>
      <c r="AO265" s="36"/>
      <c r="AP265" s="36"/>
      <c r="AQ265" s="36"/>
      <c r="AR265" s="36"/>
      <c r="AS265" s="36" t="s">
        <v>39</v>
      </c>
      <c r="AT265" s="36">
        <f>5/15</f>
        <v>0.33333333333333331</v>
      </c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8"/>
      <c r="BF265" s="38"/>
      <c r="BG265" s="37"/>
      <c r="BH265" s="26"/>
      <c r="BI265" s="26">
        <v>1</v>
      </c>
      <c r="BJ265" s="26">
        <v>4</v>
      </c>
      <c r="BK265" s="26"/>
      <c r="BL265" s="26"/>
      <c r="BM265" s="26"/>
      <c r="BN265" s="26"/>
      <c r="BO265" s="37">
        <f t="shared" si="20"/>
        <v>1</v>
      </c>
      <c r="BP265" s="56">
        <f t="shared" si="21"/>
        <v>4</v>
      </c>
      <c r="BQ265" s="56">
        <f t="shared" si="22"/>
        <v>0</v>
      </c>
      <c r="BR265" s="57">
        <f t="shared" si="23"/>
        <v>0</v>
      </c>
      <c r="BS265" s="38"/>
      <c r="BT265" s="38"/>
      <c r="BU265" s="26"/>
      <c r="BV265" s="26"/>
      <c r="BW265" s="39">
        <f t="shared" si="24"/>
        <v>5</v>
      </c>
      <c r="BX265" s="78">
        <v>2</v>
      </c>
      <c r="BY265" s="63">
        <v>2</v>
      </c>
      <c r="CC265" s="7"/>
    </row>
    <row r="266" spans="1:81" x14ac:dyDescent="0.2">
      <c r="A266" s="109" t="s">
        <v>284</v>
      </c>
      <c r="B266" s="26">
        <v>35</v>
      </c>
      <c r="C266" s="109" t="s">
        <v>135</v>
      </c>
      <c r="D266" s="38">
        <v>16</v>
      </c>
      <c r="E266" s="38">
        <v>2</v>
      </c>
      <c r="F266" s="38">
        <v>2</v>
      </c>
      <c r="G266" s="38" t="s">
        <v>51</v>
      </c>
      <c r="H266" s="38">
        <v>5</v>
      </c>
      <c r="I266" s="38" t="s">
        <v>56</v>
      </c>
      <c r="J266" s="38" t="s">
        <v>60</v>
      </c>
      <c r="K266" s="38"/>
      <c r="L266" s="38">
        <v>6</v>
      </c>
      <c r="M266" s="40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8"/>
      <c r="BF266" s="38"/>
      <c r="BG266" s="37"/>
      <c r="BH266" s="26"/>
      <c r="BI266" s="26"/>
      <c r="BJ266" s="26"/>
      <c r="BK266" s="26"/>
      <c r="BL266" s="26"/>
      <c r="BM266" s="26"/>
      <c r="BN266" s="26"/>
      <c r="BO266" s="37">
        <f t="shared" si="20"/>
        <v>0</v>
      </c>
      <c r="BP266" s="56">
        <f t="shared" si="21"/>
        <v>0</v>
      </c>
      <c r="BQ266" s="56">
        <f t="shared" si="22"/>
        <v>0</v>
      </c>
      <c r="BR266" s="57">
        <f t="shared" si="23"/>
        <v>0</v>
      </c>
      <c r="BS266" s="38"/>
      <c r="BT266" s="38"/>
      <c r="BU266" s="26"/>
      <c r="BV266" s="26"/>
      <c r="BW266" s="39">
        <f t="shared" si="24"/>
        <v>0</v>
      </c>
      <c r="BX266" s="78">
        <v>0</v>
      </c>
      <c r="BY266" s="63">
        <v>7</v>
      </c>
      <c r="BZ266" s="7"/>
      <c r="CA266" s="8"/>
      <c r="CB266" s="7"/>
      <c r="CC266" s="7"/>
    </row>
    <row r="267" spans="1:81" ht="16" x14ac:dyDescent="0.2">
      <c r="A267" s="111" t="s">
        <v>285</v>
      </c>
      <c r="B267" s="26">
        <v>42</v>
      </c>
      <c r="C267" s="109" t="s">
        <v>136</v>
      </c>
      <c r="D267" s="26">
        <v>1</v>
      </c>
      <c r="E267" s="26">
        <v>2</v>
      </c>
      <c r="F267" s="26">
        <v>4</v>
      </c>
      <c r="G267" s="26" t="s">
        <v>50</v>
      </c>
      <c r="H267" s="26">
        <v>6</v>
      </c>
      <c r="I267" s="26"/>
      <c r="J267" s="26"/>
      <c r="K267" s="26" t="s">
        <v>47</v>
      </c>
      <c r="L267" s="26">
        <v>6</v>
      </c>
      <c r="M267" s="40"/>
      <c r="N267" s="36"/>
      <c r="O267" s="36"/>
      <c r="P267" s="36"/>
      <c r="Q267" s="36" t="s">
        <v>39</v>
      </c>
      <c r="R267" s="36">
        <f>10/9.5</f>
        <v>1.0526315789473684</v>
      </c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 t="s">
        <v>38</v>
      </c>
      <c r="AV267" s="36">
        <f>2.5/9.5</f>
        <v>0.26315789473684209</v>
      </c>
      <c r="AW267" s="36" t="s">
        <v>38</v>
      </c>
      <c r="AX267" s="36">
        <f>10/9.5</f>
        <v>1.0526315789473684</v>
      </c>
      <c r="AY267" s="36"/>
      <c r="AZ267" s="36"/>
      <c r="BA267" s="36" t="s">
        <v>38</v>
      </c>
      <c r="BB267" s="36">
        <f>11/9.5</f>
        <v>1.1578947368421053</v>
      </c>
      <c r="BC267" s="36"/>
      <c r="BD267" s="36"/>
      <c r="BE267" s="26"/>
      <c r="BF267" s="26"/>
      <c r="BG267" s="39">
        <v>2</v>
      </c>
      <c r="BH267" s="38"/>
      <c r="BI267" s="38">
        <v>1</v>
      </c>
      <c r="BJ267" s="38"/>
      <c r="BK267" s="38"/>
      <c r="BL267" s="38"/>
      <c r="BM267" s="38"/>
      <c r="BN267" s="38"/>
      <c r="BO267" s="37">
        <f t="shared" si="20"/>
        <v>3</v>
      </c>
      <c r="BP267" s="56">
        <f t="shared" si="21"/>
        <v>0</v>
      </c>
      <c r="BQ267" s="56">
        <f t="shared" si="22"/>
        <v>0</v>
      </c>
      <c r="BR267" s="57">
        <f t="shared" si="23"/>
        <v>0</v>
      </c>
      <c r="BS267" s="38"/>
      <c r="BT267" s="38"/>
      <c r="BU267" s="26"/>
      <c r="BV267" s="26"/>
      <c r="BW267" s="39">
        <f t="shared" si="24"/>
        <v>3</v>
      </c>
      <c r="BX267" s="78">
        <v>1</v>
      </c>
      <c r="BY267" s="63">
        <v>3</v>
      </c>
      <c r="BZ267" s="7"/>
      <c r="CA267" s="8"/>
      <c r="CB267" s="17"/>
      <c r="CC267" s="17"/>
    </row>
    <row r="268" spans="1:81" x14ac:dyDescent="0.2">
      <c r="A268" s="111" t="s">
        <v>285</v>
      </c>
      <c r="B268" s="26">
        <v>42</v>
      </c>
      <c r="C268" s="109" t="s">
        <v>136</v>
      </c>
      <c r="D268" s="26">
        <v>2</v>
      </c>
      <c r="E268" s="26">
        <v>2</v>
      </c>
      <c r="F268" s="26">
        <v>3</v>
      </c>
      <c r="G268" s="26" t="s">
        <v>50</v>
      </c>
      <c r="H268" s="26">
        <v>6</v>
      </c>
      <c r="I268" s="26" t="s">
        <v>51</v>
      </c>
      <c r="J268" s="26" t="s">
        <v>42</v>
      </c>
      <c r="K268" s="26"/>
      <c r="L268" s="26">
        <v>5</v>
      </c>
      <c r="M268" s="40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26"/>
      <c r="BF268" s="26"/>
      <c r="BG268" s="39"/>
      <c r="BH268" s="38"/>
      <c r="BI268" s="38"/>
      <c r="BJ268" s="38"/>
      <c r="BK268" s="38"/>
      <c r="BL268" s="38"/>
      <c r="BM268" s="38"/>
      <c r="BN268" s="38"/>
      <c r="BO268" s="37">
        <f t="shared" si="20"/>
        <v>0</v>
      </c>
      <c r="BP268" s="56">
        <f t="shared" si="21"/>
        <v>0</v>
      </c>
      <c r="BQ268" s="56">
        <f t="shared" si="22"/>
        <v>0</v>
      </c>
      <c r="BR268" s="57">
        <f t="shared" si="23"/>
        <v>0</v>
      </c>
      <c r="BS268" s="38"/>
      <c r="BT268" s="38"/>
      <c r="BU268" s="26"/>
      <c r="BV268" s="26"/>
      <c r="BW268" s="39">
        <f t="shared" si="24"/>
        <v>0</v>
      </c>
      <c r="BX268" s="78">
        <v>0</v>
      </c>
      <c r="BY268" s="64">
        <v>8</v>
      </c>
      <c r="BZ268" s="17"/>
      <c r="CA268" s="8"/>
      <c r="CB268" s="17"/>
      <c r="CC268" s="17"/>
    </row>
    <row r="269" spans="1:81" ht="16" x14ac:dyDescent="0.2">
      <c r="A269" s="111" t="s">
        <v>285</v>
      </c>
      <c r="B269" s="26">
        <v>42</v>
      </c>
      <c r="C269" s="109" t="s">
        <v>136</v>
      </c>
      <c r="D269" s="26">
        <v>3</v>
      </c>
      <c r="E269" s="26">
        <v>2</v>
      </c>
      <c r="F269" s="26">
        <v>1</v>
      </c>
      <c r="G269" s="26" t="s">
        <v>54</v>
      </c>
      <c r="H269" s="26">
        <v>4</v>
      </c>
      <c r="I269" s="26" t="s">
        <v>50</v>
      </c>
      <c r="J269" s="26"/>
      <c r="K269" s="26" t="s">
        <v>47</v>
      </c>
      <c r="L269" s="26">
        <v>6</v>
      </c>
      <c r="M269" s="40"/>
      <c r="N269" s="36"/>
      <c r="O269" s="36" t="s">
        <v>39</v>
      </c>
      <c r="P269" s="36">
        <f>8/9.5</f>
        <v>0.84210526315789469</v>
      </c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 t="s">
        <v>38</v>
      </c>
      <c r="AN269" s="36">
        <f>8.5/9.5</f>
        <v>0.89473684210526316</v>
      </c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26"/>
      <c r="BF269" s="26"/>
      <c r="BG269" s="39">
        <v>1</v>
      </c>
      <c r="BH269" s="38"/>
      <c r="BI269" s="38">
        <v>1</v>
      </c>
      <c r="BJ269" s="38"/>
      <c r="BK269" s="38"/>
      <c r="BL269" s="38"/>
      <c r="BM269" s="38"/>
      <c r="BN269" s="38"/>
      <c r="BO269" s="37">
        <f t="shared" si="20"/>
        <v>2</v>
      </c>
      <c r="BP269" s="56">
        <f t="shared" si="21"/>
        <v>0</v>
      </c>
      <c r="BQ269" s="56">
        <f t="shared" si="22"/>
        <v>0</v>
      </c>
      <c r="BR269" s="57">
        <f t="shared" si="23"/>
        <v>0</v>
      </c>
      <c r="BS269" s="38"/>
      <c r="BT269" s="38"/>
      <c r="BU269" s="26"/>
      <c r="BV269" s="26"/>
      <c r="BW269" s="39">
        <f t="shared" si="24"/>
        <v>2</v>
      </c>
      <c r="BX269" s="78">
        <v>1</v>
      </c>
      <c r="BY269" s="64">
        <v>3</v>
      </c>
      <c r="BZ269" s="17"/>
      <c r="CA269" s="22"/>
      <c r="CB269" s="17"/>
      <c r="CC269" s="17"/>
    </row>
    <row r="270" spans="1:81" ht="16" x14ac:dyDescent="0.2">
      <c r="A270" s="109" t="s">
        <v>285</v>
      </c>
      <c r="B270" s="26">
        <v>42</v>
      </c>
      <c r="C270" s="109" t="s">
        <v>136</v>
      </c>
      <c r="D270" s="26">
        <v>4</v>
      </c>
      <c r="E270" s="26">
        <v>2</v>
      </c>
      <c r="F270" s="26">
        <v>3</v>
      </c>
      <c r="G270" s="26" t="s">
        <v>50</v>
      </c>
      <c r="H270" s="26">
        <v>6</v>
      </c>
      <c r="I270" s="26" t="s">
        <v>51</v>
      </c>
      <c r="J270" s="26"/>
      <c r="K270" s="26" t="s">
        <v>47</v>
      </c>
      <c r="L270" s="26">
        <v>6</v>
      </c>
      <c r="M270" s="40" t="s">
        <v>38</v>
      </c>
      <c r="N270" s="36">
        <f>4.5/9.5</f>
        <v>0.47368421052631576</v>
      </c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26"/>
      <c r="BF270" s="26"/>
      <c r="BG270" s="37"/>
      <c r="BH270" s="26">
        <v>1</v>
      </c>
      <c r="BI270" s="26"/>
      <c r="BJ270" s="26"/>
      <c r="BK270" s="26"/>
      <c r="BL270" s="26"/>
      <c r="BM270" s="26"/>
      <c r="BN270" s="26"/>
      <c r="BO270" s="37">
        <f t="shared" si="20"/>
        <v>0</v>
      </c>
      <c r="BP270" s="56">
        <f t="shared" si="21"/>
        <v>1</v>
      </c>
      <c r="BQ270" s="56">
        <f t="shared" si="22"/>
        <v>0</v>
      </c>
      <c r="BR270" s="57">
        <f t="shared" si="23"/>
        <v>0</v>
      </c>
      <c r="BS270" s="38"/>
      <c r="BT270" s="38"/>
      <c r="BU270" s="26"/>
      <c r="BV270" s="26"/>
      <c r="BW270" s="39">
        <f t="shared" si="24"/>
        <v>1</v>
      </c>
      <c r="BX270" s="78">
        <v>3</v>
      </c>
      <c r="BY270" s="63">
        <v>3</v>
      </c>
      <c r="BZ270" s="7"/>
      <c r="CA270" s="8"/>
      <c r="CB270" s="7"/>
      <c r="CC270" s="7"/>
    </row>
    <row r="271" spans="1:81" ht="16" x14ac:dyDescent="0.2">
      <c r="A271" s="109" t="s">
        <v>285</v>
      </c>
      <c r="B271" s="26">
        <v>42</v>
      </c>
      <c r="C271" s="109" t="s">
        <v>136</v>
      </c>
      <c r="D271" s="26">
        <v>5</v>
      </c>
      <c r="E271" s="26">
        <v>2</v>
      </c>
      <c r="F271" s="26">
        <v>2</v>
      </c>
      <c r="G271" s="26" t="s">
        <v>51</v>
      </c>
      <c r="H271" s="26">
        <v>5</v>
      </c>
      <c r="I271" s="26" t="s">
        <v>50</v>
      </c>
      <c r="J271" s="26"/>
      <c r="K271" s="26" t="s">
        <v>47</v>
      </c>
      <c r="L271" s="26">
        <v>6</v>
      </c>
      <c r="M271" s="40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 t="s">
        <v>39</v>
      </c>
      <c r="AP271" s="36">
        <f>7.5/9.5</f>
        <v>0.78947368421052633</v>
      </c>
      <c r="AQ271" s="36"/>
      <c r="AR271" s="36"/>
      <c r="AS271" s="36" t="s">
        <v>38</v>
      </c>
      <c r="AT271" s="36">
        <f>8/9.5</f>
        <v>0.84210526315789469</v>
      </c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26"/>
      <c r="BF271" s="26"/>
      <c r="BG271" s="37">
        <v>1</v>
      </c>
      <c r="BH271" s="26"/>
      <c r="BI271" s="26">
        <v>1</v>
      </c>
      <c r="BJ271" s="26"/>
      <c r="BK271" s="26"/>
      <c r="BL271" s="26"/>
      <c r="BM271" s="26"/>
      <c r="BN271" s="26"/>
      <c r="BO271" s="37">
        <f t="shared" si="20"/>
        <v>2</v>
      </c>
      <c r="BP271" s="56">
        <f t="shared" si="21"/>
        <v>0</v>
      </c>
      <c r="BQ271" s="56">
        <f t="shared" si="22"/>
        <v>0</v>
      </c>
      <c r="BR271" s="57">
        <f t="shared" si="23"/>
        <v>0</v>
      </c>
      <c r="BS271" s="38"/>
      <c r="BT271" s="38"/>
      <c r="BU271" s="26"/>
      <c r="BV271" s="26"/>
      <c r="BW271" s="39">
        <f t="shared" si="24"/>
        <v>2</v>
      </c>
      <c r="BX271" s="78">
        <v>1</v>
      </c>
      <c r="BY271" s="63">
        <v>3</v>
      </c>
      <c r="BZ271" s="7"/>
      <c r="CA271" s="8"/>
      <c r="CB271" s="7"/>
      <c r="CC271" s="7"/>
    </row>
    <row r="272" spans="1:81" ht="16" x14ac:dyDescent="0.2">
      <c r="A272" s="109" t="s">
        <v>285</v>
      </c>
      <c r="B272" s="26">
        <v>42</v>
      </c>
      <c r="C272" s="109" t="s">
        <v>136</v>
      </c>
      <c r="D272" s="26">
        <v>7</v>
      </c>
      <c r="E272" s="26">
        <v>2</v>
      </c>
      <c r="F272" s="26">
        <v>1</v>
      </c>
      <c r="G272" s="26" t="s">
        <v>54</v>
      </c>
      <c r="H272" s="26">
        <v>1</v>
      </c>
      <c r="I272" s="26" t="s">
        <v>54</v>
      </c>
      <c r="J272" s="26"/>
      <c r="K272" s="26">
        <v>1</v>
      </c>
      <c r="L272" s="26">
        <v>6</v>
      </c>
      <c r="M272" s="40" t="s">
        <v>38</v>
      </c>
      <c r="N272" s="36">
        <f>3/10</f>
        <v>0.3</v>
      </c>
      <c r="O272" s="36"/>
      <c r="P272" s="36"/>
      <c r="Q272" s="36"/>
      <c r="R272" s="36"/>
      <c r="S272" s="36" t="s">
        <v>38</v>
      </c>
      <c r="T272" s="36">
        <f>2.5/10</f>
        <v>0.25</v>
      </c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 t="s">
        <v>38</v>
      </c>
      <c r="AT272" s="36">
        <f>3.5/10</f>
        <v>0.35</v>
      </c>
      <c r="AU272" s="36"/>
      <c r="AV272" s="36"/>
      <c r="AW272" s="36"/>
      <c r="AX272" s="36"/>
      <c r="AY272" s="36"/>
      <c r="AZ272" s="36"/>
      <c r="BA272" s="36" t="s">
        <v>39</v>
      </c>
      <c r="BB272" s="36">
        <f>3/10</f>
        <v>0.3</v>
      </c>
      <c r="BC272" s="36" t="s">
        <v>39</v>
      </c>
      <c r="BD272" s="36">
        <f>3/10</f>
        <v>0.3</v>
      </c>
      <c r="BE272" s="26"/>
      <c r="BF272" s="26"/>
      <c r="BG272" s="37"/>
      <c r="BH272" s="26">
        <v>2</v>
      </c>
      <c r="BI272" s="26"/>
      <c r="BJ272" s="26">
        <v>2</v>
      </c>
      <c r="BK272" s="26"/>
      <c r="BL272" s="26"/>
      <c r="BM272" s="26"/>
      <c r="BN272" s="26"/>
      <c r="BO272" s="37">
        <f t="shared" si="20"/>
        <v>0</v>
      </c>
      <c r="BP272" s="56">
        <f t="shared" si="21"/>
        <v>4</v>
      </c>
      <c r="BQ272" s="56">
        <f t="shared" si="22"/>
        <v>0</v>
      </c>
      <c r="BR272" s="57">
        <f t="shared" si="23"/>
        <v>0</v>
      </c>
      <c r="BS272" s="38"/>
      <c r="BT272" s="38"/>
      <c r="BU272" s="26"/>
      <c r="BV272" s="26"/>
      <c r="BW272" s="39">
        <f t="shared" si="24"/>
        <v>4</v>
      </c>
      <c r="BX272" s="78">
        <v>3</v>
      </c>
      <c r="BY272" s="63">
        <v>1</v>
      </c>
      <c r="BZ272" s="7"/>
      <c r="CA272" s="8"/>
      <c r="CB272" s="7"/>
      <c r="CC272" s="7"/>
    </row>
    <row r="273" spans="1:81" x14ac:dyDescent="0.2">
      <c r="A273" s="109" t="s">
        <v>286</v>
      </c>
      <c r="B273" s="26">
        <v>31</v>
      </c>
      <c r="C273" s="109" t="s">
        <v>137</v>
      </c>
      <c r="D273" s="26">
        <v>1</v>
      </c>
      <c r="E273" s="26">
        <v>2</v>
      </c>
      <c r="F273" s="26">
        <v>2</v>
      </c>
      <c r="G273" s="26" t="s">
        <v>51</v>
      </c>
      <c r="H273" s="26">
        <v>4</v>
      </c>
      <c r="I273" s="26" t="s">
        <v>51</v>
      </c>
      <c r="J273" s="26" t="s">
        <v>41</v>
      </c>
      <c r="K273" s="26"/>
      <c r="L273" s="26">
        <v>5</v>
      </c>
      <c r="M273" s="40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26"/>
      <c r="BF273" s="26"/>
      <c r="BG273" s="37"/>
      <c r="BH273" s="26"/>
      <c r="BI273" s="26"/>
      <c r="BJ273" s="26"/>
      <c r="BK273" s="26"/>
      <c r="BL273" s="26"/>
      <c r="BM273" s="26"/>
      <c r="BN273" s="26"/>
      <c r="BO273" s="37">
        <f t="shared" si="20"/>
        <v>0</v>
      </c>
      <c r="BP273" s="56">
        <f t="shared" si="21"/>
        <v>0</v>
      </c>
      <c r="BQ273" s="56">
        <f t="shared" si="22"/>
        <v>0</v>
      </c>
      <c r="BR273" s="57">
        <f t="shared" si="23"/>
        <v>0</v>
      </c>
      <c r="BS273" s="38"/>
      <c r="BT273" s="38"/>
      <c r="BU273" s="26"/>
      <c r="BV273" s="26"/>
      <c r="BW273" s="39">
        <f t="shared" si="24"/>
        <v>0</v>
      </c>
      <c r="BX273" s="78">
        <v>0</v>
      </c>
      <c r="BY273" s="63">
        <v>10</v>
      </c>
      <c r="BZ273" s="7"/>
      <c r="CA273" s="8"/>
      <c r="CB273" s="7"/>
      <c r="CC273" s="7"/>
    </row>
    <row r="274" spans="1:81" ht="16" x14ac:dyDescent="0.2">
      <c r="A274" s="109" t="s">
        <v>286</v>
      </c>
      <c r="B274" s="26">
        <v>31</v>
      </c>
      <c r="C274" s="109" t="s">
        <v>137</v>
      </c>
      <c r="D274" s="26">
        <v>2</v>
      </c>
      <c r="E274" s="26">
        <v>2</v>
      </c>
      <c r="F274" s="26">
        <v>2</v>
      </c>
      <c r="G274" s="26" t="s">
        <v>51</v>
      </c>
      <c r="H274" s="26">
        <v>4</v>
      </c>
      <c r="I274" s="26" t="s">
        <v>51</v>
      </c>
      <c r="J274" s="26" t="s">
        <v>41</v>
      </c>
      <c r="K274" s="26"/>
      <c r="L274" s="26">
        <v>5</v>
      </c>
      <c r="M274" s="40"/>
      <c r="N274" s="36"/>
      <c r="O274" s="36"/>
      <c r="P274" s="36"/>
      <c r="Q274" s="36"/>
      <c r="R274" s="36"/>
      <c r="S274" s="36" t="s">
        <v>38</v>
      </c>
      <c r="T274" s="36">
        <f>6.5/7</f>
        <v>0.9285714285714286</v>
      </c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 t="s">
        <v>38</v>
      </c>
      <c r="AX274" s="36">
        <f>7/7</f>
        <v>1</v>
      </c>
      <c r="AY274" s="36"/>
      <c r="AZ274" s="36"/>
      <c r="BA274" s="36"/>
      <c r="BB274" s="36"/>
      <c r="BC274" s="36"/>
      <c r="BD274" s="36"/>
      <c r="BE274" s="26"/>
      <c r="BF274" s="26"/>
      <c r="BG274" s="37">
        <v>2</v>
      </c>
      <c r="BH274" s="26"/>
      <c r="BI274" s="26"/>
      <c r="BJ274" s="26"/>
      <c r="BK274" s="26"/>
      <c r="BL274" s="26"/>
      <c r="BM274" s="26"/>
      <c r="BN274" s="26"/>
      <c r="BO274" s="37">
        <f t="shared" si="20"/>
        <v>2</v>
      </c>
      <c r="BP274" s="56">
        <f t="shared" si="21"/>
        <v>0</v>
      </c>
      <c r="BQ274" s="56">
        <f t="shared" si="22"/>
        <v>0</v>
      </c>
      <c r="BR274" s="57">
        <f t="shared" si="23"/>
        <v>0</v>
      </c>
      <c r="BS274" s="38"/>
      <c r="BT274" s="38"/>
      <c r="BU274" s="26"/>
      <c r="BV274" s="26"/>
      <c r="BW274" s="39">
        <f t="shared" si="24"/>
        <v>2</v>
      </c>
      <c r="BX274" s="78">
        <v>1</v>
      </c>
      <c r="BY274" s="63">
        <v>10</v>
      </c>
      <c r="CB274" s="7"/>
      <c r="CC274" s="7"/>
    </row>
    <row r="275" spans="1:81" x14ac:dyDescent="0.2">
      <c r="A275" s="109" t="s">
        <v>286</v>
      </c>
      <c r="B275" s="26">
        <v>31</v>
      </c>
      <c r="C275" s="109" t="s">
        <v>137</v>
      </c>
      <c r="D275" s="26">
        <v>3</v>
      </c>
      <c r="E275" s="26">
        <v>2</v>
      </c>
      <c r="F275" s="26">
        <v>2</v>
      </c>
      <c r="G275" s="26" t="s">
        <v>51</v>
      </c>
      <c r="H275" s="26">
        <v>5</v>
      </c>
      <c r="I275" s="26" t="s">
        <v>56</v>
      </c>
      <c r="J275" s="26" t="s">
        <v>41</v>
      </c>
      <c r="K275" s="26"/>
      <c r="L275" s="26">
        <v>5</v>
      </c>
      <c r="M275" s="40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26"/>
      <c r="BF275" s="26"/>
      <c r="BG275" s="37"/>
      <c r="BH275" s="26"/>
      <c r="BI275" s="26"/>
      <c r="BJ275" s="26"/>
      <c r="BK275" s="26"/>
      <c r="BL275" s="26"/>
      <c r="BM275" s="26"/>
      <c r="BN275" s="26"/>
      <c r="BO275" s="37">
        <f t="shared" si="20"/>
        <v>0</v>
      </c>
      <c r="BP275" s="56">
        <f t="shared" si="21"/>
        <v>0</v>
      </c>
      <c r="BQ275" s="56">
        <f t="shared" si="22"/>
        <v>0</v>
      </c>
      <c r="BR275" s="57">
        <f t="shared" si="23"/>
        <v>0</v>
      </c>
      <c r="BS275" s="38"/>
      <c r="BT275" s="38"/>
      <c r="BU275" s="26"/>
      <c r="BV275" s="26"/>
      <c r="BW275" s="39">
        <f t="shared" si="24"/>
        <v>0</v>
      </c>
      <c r="BX275" s="78">
        <v>0</v>
      </c>
      <c r="BY275" s="63">
        <v>10</v>
      </c>
      <c r="BZ275" s="7"/>
      <c r="CA275" s="8"/>
      <c r="CB275" s="7"/>
      <c r="CC275" s="7"/>
    </row>
    <row r="276" spans="1:81" ht="16" x14ac:dyDescent="0.2">
      <c r="A276" s="109" t="s">
        <v>286</v>
      </c>
      <c r="B276" s="26">
        <v>31</v>
      </c>
      <c r="C276" s="109" t="s">
        <v>137</v>
      </c>
      <c r="D276" s="26">
        <v>4</v>
      </c>
      <c r="E276" s="26">
        <v>2</v>
      </c>
      <c r="F276" s="26">
        <v>2</v>
      </c>
      <c r="G276" s="26" t="s">
        <v>51</v>
      </c>
      <c r="H276" s="26">
        <v>4</v>
      </c>
      <c r="I276" s="26" t="s">
        <v>51</v>
      </c>
      <c r="J276" s="26" t="s">
        <v>41</v>
      </c>
      <c r="K276" s="26"/>
      <c r="L276" s="26">
        <v>5</v>
      </c>
      <c r="M276" s="40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 t="s">
        <v>38</v>
      </c>
      <c r="AR276" s="36">
        <f>8.5/7</f>
        <v>1.2142857142857142</v>
      </c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26"/>
      <c r="BF276" s="26"/>
      <c r="BG276" s="37">
        <v>1</v>
      </c>
      <c r="BH276" s="26"/>
      <c r="BI276" s="26"/>
      <c r="BJ276" s="26"/>
      <c r="BK276" s="26"/>
      <c r="BL276" s="26"/>
      <c r="BM276" s="26"/>
      <c r="BN276" s="26"/>
      <c r="BO276" s="37">
        <f t="shared" si="20"/>
        <v>1</v>
      </c>
      <c r="BP276" s="56">
        <f t="shared" si="21"/>
        <v>0</v>
      </c>
      <c r="BQ276" s="56">
        <f t="shared" si="22"/>
        <v>0</v>
      </c>
      <c r="BR276" s="57">
        <f t="shared" si="23"/>
        <v>0</v>
      </c>
      <c r="BS276" s="38"/>
      <c r="BT276" s="38"/>
      <c r="BU276" s="26"/>
      <c r="BV276" s="26"/>
      <c r="BW276" s="39">
        <f t="shared" si="24"/>
        <v>1</v>
      </c>
      <c r="BX276" s="78">
        <v>1</v>
      </c>
      <c r="BY276" s="63">
        <v>10</v>
      </c>
      <c r="BZ276" s="7"/>
      <c r="CA276" s="8"/>
      <c r="CB276" s="7"/>
      <c r="CC276" s="7"/>
    </row>
    <row r="277" spans="1:81" x14ac:dyDescent="0.2">
      <c r="A277" s="111" t="s">
        <v>286</v>
      </c>
      <c r="B277" s="26">
        <v>31</v>
      </c>
      <c r="C277" s="109" t="s">
        <v>137</v>
      </c>
      <c r="D277" s="26">
        <v>6</v>
      </c>
      <c r="E277" s="26">
        <v>2</v>
      </c>
      <c r="F277" s="26">
        <v>2</v>
      </c>
      <c r="G277" s="26" t="s">
        <v>51</v>
      </c>
      <c r="H277" s="26">
        <v>4</v>
      </c>
      <c r="I277" s="26" t="s">
        <v>51</v>
      </c>
      <c r="J277" s="26" t="s">
        <v>44</v>
      </c>
      <c r="K277" s="26"/>
      <c r="L277" s="26">
        <v>6</v>
      </c>
      <c r="M277" s="40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26"/>
      <c r="BF277" s="26"/>
      <c r="BG277" s="39"/>
      <c r="BH277" s="38"/>
      <c r="BI277" s="38"/>
      <c r="BJ277" s="38"/>
      <c r="BK277" s="38"/>
      <c r="BL277" s="38"/>
      <c r="BM277" s="38"/>
      <c r="BN277" s="38"/>
      <c r="BO277" s="37">
        <f t="shared" si="20"/>
        <v>0</v>
      </c>
      <c r="BP277" s="56">
        <f t="shared" si="21"/>
        <v>0</v>
      </c>
      <c r="BQ277" s="56">
        <f t="shared" si="22"/>
        <v>0</v>
      </c>
      <c r="BR277" s="57">
        <f t="shared" si="23"/>
        <v>0</v>
      </c>
      <c r="BS277" s="38"/>
      <c r="BT277" s="38"/>
      <c r="BU277" s="26"/>
      <c r="BV277" s="26"/>
      <c r="BW277" s="39">
        <f t="shared" si="24"/>
        <v>0</v>
      </c>
      <c r="BX277" s="78">
        <v>0</v>
      </c>
      <c r="BY277" s="63">
        <v>4</v>
      </c>
      <c r="BZ277" s="7"/>
      <c r="CA277" s="8"/>
      <c r="CB277" s="17"/>
      <c r="CC277" s="17"/>
    </row>
    <row r="278" spans="1:81" x14ac:dyDescent="0.2">
      <c r="A278" s="126" t="s">
        <v>286</v>
      </c>
      <c r="B278" s="26">
        <v>31</v>
      </c>
      <c r="C278" s="109" t="s">
        <v>137</v>
      </c>
      <c r="D278" s="26">
        <v>7</v>
      </c>
      <c r="E278" s="26">
        <v>2</v>
      </c>
      <c r="F278" s="26">
        <v>2</v>
      </c>
      <c r="G278" s="26" t="s">
        <v>51</v>
      </c>
      <c r="H278" s="26">
        <v>4</v>
      </c>
      <c r="I278" s="26" t="s">
        <v>51</v>
      </c>
      <c r="J278" s="26" t="s">
        <v>41</v>
      </c>
      <c r="K278" s="26"/>
      <c r="L278" s="26">
        <v>5</v>
      </c>
      <c r="M278" s="40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26"/>
      <c r="BF278" s="26"/>
      <c r="BG278" s="39"/>
      <c r="BH278" s="38"/>
      <c r="BI278" s="38"/>
      <c r="BJ278" s="38"/>
      <c r="BK278" s="38"/>
      <c r="BL278" s="38"/>
      <c r="BM278" s="38"/>
      <c r="BN278" s="38"/>
      <c r="BO278" s="37">
        <f t="shared" si="20"/>
        <v>0</v>
      </c>
      <c r="BP278" s="56">
        <f t="shared" si="21"/>
        <v>0</v>
      </c>
      <c r="BQ278" s="56">
        <f t="shared" si="22"/>
        <v>0</v>
      </c>
      <c r="BR278" s="57">
        <f t="shared" si="23"/>
        <v>0</v>
      </c>
      <c r="BS278" s="38"/>
      <c r="BT278" s="38"/>
      <c r="BU278" s="26"/>
      <c r="BV278" s="26"/>
      <c r="BW278" s="39">
        <f t="shared" si="24"/>
        <v>0</v>
      </c>
      <c r="BX278" s="78">
        <v>0</v>
      </c>
      <c r="BY278" s="63">
        <v>10</v>
      </c>
      <c r="BZ278" s="7"/>
      <c r="CA278" s="8"/>
      <c r="CB278" s="23"/>
      <c r="CC278" s="23"/>
    </row>
    <row r="279" spans="1:81" x14ac:dyDescent="0.2">
      <c r="A279" s="111" t="s">
        <v>286</v>
      </c>
      <c r="B279" s="26">
        <v>31</v>
      </c>
      <c r="C279" s="109" t="s">
        <v>137</v>
      </c>
      <c r="D279" s="26">
        <v>8</v>
      </c>
      <c r="E279" s="26">
        <v>2</v>
      </c>
      <c r="F279" s="26">
        <v>2</v>
      </c>
      <c r="G279" s="26" t="s">
        <v>51</v>
      </c>
      <c r="H279" s="26">
        <v>4</v>
      </c>
      <c r="I279" s="26" t="s">
        <v>51</v>
      </c>
      <c r="J279" s="26" t="s">
        <v>41</v>
      </c>
      <c r="K279" s="26"/>
      <c r="L279" s="26">
        <v>5</v>
      </c>
      <c r="M279" s="40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26"/>
      <c r="BF279" s="26"/>
      <c r="BG279" s="39"/>
      <c r="BH279" s="38"/>
      <c r="BI279" s="38"/>
      <c r="BJ279" s="38"/>
      <c r="BK279" s="38"/>
      <c r="BL279" s="38"/>
      <c r="BM279" s="38"/>
      <c r="BN279" s="38"/>
      <c r="BO279" s="37">
        <f t="shared" si="20"/>
        <v>0</v>
      </c>
      <c r="BP279" s="56">
        <f t="shared" si="21"/>
        <v>0</v>
      </c>
      <c r="BQ279" s="56">
        <f t="shared" si="22"/>
        <v>0</v>
      </c>
      <c r="BR279" s="57">
        <f t="shared" si="23"/>
        <v>0</v>
      </c>
      <c r="BS279" s="38"/>
      <c r="BT279" s="38"/>
      <c r="BU279" s="26"/>
      <c r="BV279" s="26"/>
      <c r="BW279" s="39">
        <f t="shared" si="24"/>
        <v>0</v>
      </c>
      <c r="BX279" s="78">
        <v>0</v>
      </c>
      <c r="BY279" s="63">
        <v>10</v>
      </c>
      <c r="BZ279" s="7"/>
      <c r="CA279" s="8"/>
      <c r="CB279" s="17"/>
      <c r="CC279" s="17"/>
    </row>
    <row r="280" spans="1:81" ht="16" x14ac:dyDescent="0.2">
      <c r="A280" s="111" t="s">
        <v>286</v>
      </c>
      <c r="B280" s="26">
        <v>31</v>
      </c>
      <c r="C280" s="109" t="s">
        <v>137</v>
      </c>
      <c r="D280" s="26">
        <v>9</v>
      </c>
      <c r="E280" s="26">
        <v>2</v>
      </c>
      <c r="F280" s="26">
        <v>2</v>
      </c>
      <c r="G280" s="26" t="s">
        <v>51</v>
      </c>
      <c r="H280" s="26">
        <v>4</v>
      </c>
      <c r="I280" s="26" t="s">
        <v>51</v>
      </c>
      <c r="J280" s="26" t="s">
        <v>41</v>
      </c>
      <c r="K280" s="26"/>
      <c r="L280" s="26">
        <v>5</v>
      </c>
      <c r="M280" s="40"/>
      <c r="N280" s="36"/>
      <c r="O280" s="36"/>
      <c r="P280" s="36"/>
      <c r="Q280" s="36"/>
      <c r="R280" s="36"/>
      <c r="S280" s="36"/>
      <c r="T280" s="36"/>
      <c r="U280" s="36"/>
      <c r="V280" s="36"/>
      <c r="W280" s="36" t="s">
        <v>39</v>
      </c>
      <c r="X280" s="36">
        <f>5/8</f>
        <v>0.625</v>
      </c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 t="s">
        <v>39</v>
      </c>
      <c r="AR280" s="36">
        <f>9/8</f>
        <v>1.125</v>
      </c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26"/>
      <c r="BF280" s="26"/>
      <c r="BG280" s="39"/>
      <c r="BH280" s="38"/>
      <c r="BI280" s="38">
        <v>1</v>
      </c>
      <c r="BJ280" s="38">
        <v>1</v>
      </c>
      <c r="BK280" s="38"/>
      <c r="BL280" s="38"/>
      <c r="BM280" s="38"/>
      <c r="BN280" s="38"/>
      <c r="BO280" s="37">
        <f t="shared" si="20"/>
        <v>1</v>
      </c>
      <c r="BP280" s="56">
        <f t="shared" si="21"/>
        <v>1</v>
      </c>
      <c r="BQ280" s="56">
        <f t="shared" si="22"/>
        <v>0</v>
      </c>
      <c r="BR280" s="57">
        <f t="shared" si="23"/>
        <v>0</v>
      </c>
      <c r="BS280" s="38"/>
      <c r="BT280" s="38"/>
      <c r="BU280" s="26"/>
      <c r="BV280" s="26"/>
      <c r="BW280" s="39">
        <f t="shared" si="24"/>
        <v>2</v>
      </c>
      <c r="BX280" s="78">
        <v>2</v>
      </c>
      <c r="BY280" s="63">
        <v>10</v>
      </c>
      <c r="BZ280" s="7"/>
      <c r="CA280" s="8"/>
      <c r="CB280" s="17"/>
      <c r="CC280" s="17"/>
    </row>
    <row r="281" spans="1:81" x14ac:dyDescent="0.2">
      <c r="A281" s="111" t="s">
        <v>286</v>
      </c>
      <c r="B281" s="26">
        <v>31</v>
      </c>
      <c r="C281" s="109" t="s">
        <v>137</v>
      </c>
      <c r="D281" s="26">
        <v>10</v>
      </c>
      <c r="E281" s="26">
        <v>2</v>
      </c>
      <c r="F281" s="26">
        <v>2</v>
      </c>
      <c r="G281" s="26" t="s">
        <v>51</v>
      </c>
      <c r="H281" s="26">
        <v>4</v>
      </c>
      <c r="I281" s="26" t="s">
        <v>51</v>
      </c>
      <c r="J281" s="26" t="s">
        <v>41</v>
      </c>
      <c r="K281" s="26"/>
      <c r="L281" s="26">
        <v>5</v>
      </c>
      <c r="M281" s="40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26"/>
      <c r="BF281" s="26"/>
      <c r="BG281" s="39"/>
      <c r="BH281" s="38"/>
      <c r="BI281" s="38"/>
      <c r="BJ281" s="38"/>
      <c r="BK281" s="38"/>
      <c r="BL281" s="38"/>
      <c r="BM281" s="38"/>
      <c r="BN281" s="38"/>
      <c r="BO281" s="37">
        <f t="shared" si="20"/>
        <v>0</v>
      </c>
      <c r="BP281" s="56">
        <f t="shared" si="21"/>
        <v>0</v>
      </c>
      <c r="BQ281" s="56">
        <f t="shared" si="22"/>
        <v>0</v>
      </c>
      <c r="BR281" s="57">
        <f t="shared" si="23"/>
        <v>0</v>
      </c>
      <c r="BS281" s="38"/>
      <c r="BT281" s="38"/>
      <c r="BU281" s="26"/>
      <c r="BV281" s="26"/>
      <c r="BW281" s="39">
        <f t="shared" si="24"/>
        <v>0</v>
      </c>
      <c r="BX281" s="78">
        <v>0</v>
      </c>
      <c r="BY281" s="63">
        <v>10</v>
      </c>
      <c r="BZ281" s="7"/>
      <c r="CA281" s="8"/>
      <c r="CB281" s="17"/>
      <c r="CC281" s="17"/>
    </row>
    <row r="282" spans="1:81" x14ac:dyDescent="0.2">
      <c r="A282" s="111" t="s">
        <v>286</v>
      </c>
      <c r="B282" s="26">
        <v>31</v>
      </c>
      <c r="C282" s="109" t="s">
        <v>137</v>
      </c>
      <c r="D282" s="26">
        <v>11</v>
      </c>
      <c r="E282" s="26">
        <v>2</v>
      </c>
      <c r="F282" s="26">
        <v>2</v>
      </c>
      <c r="G282" s="26" t="s">
        <v>51</v>
      </c>
      <c r="H282" s="26">
        <v>4</v>
      </c>
      <c r="I282" s="26" t="s">
        <v>51</v>
      </c>
      <c r="J282" s="26" t="s">
        <v>69</v>
      </c>
      <c r="K282" s="26"/>
      <c r="L282" s="26">
        <v>5</v>
      </c>
      <c r="M282" s="40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26" t="s">
        <v>39</v>
      </c>
      <c r="BF282" s="26" t="s">
        <v>46</v>
      </c>
      <c r="BG282" s="39"/>
      <c r="BH282" s="38"/>
      <c r="BI282" s="38"/>
      <c r="BJ282" s="38"/>
      <c r="BK282" s="38"/>
      <c r="BL282" s="38"/>
      <c r="BM282" s="38"/>
      <c r="BN282" s="38"/>
      <c r="BO282" s="37">
        <f t="shared" si="20"/>
        <v>1</v>
      </c>
      <c r="BP282" s="56">
        <f t="shared" si="21"/>
        <v>0</v>
      </c>
      <c r="BQ282" s="56">
        <f t="shared" si="22"/>
        <v>0</v>
      </c>
      <c r="BR282" s="57">
        <f t="shared" si="23"/>
        <v>0</v>
      </c>
      <c r="BS282" s="38"/>
      <c r="BT282" s="38"/>
      <c r="BU282" s="26">
        <v>1</v>
      </c>
      <c r="BV282" s="26"/>
      <c r="BW282" s="39">
        <f t="shared" si="24"/>
        <v>1</v>
      </c>
      <c r="BX282" s="78">
        <v>1</v>
      </c>
      <c r="BY282" s="63">
        <v>12</v>
      </c>
      <c r="BZ282" s="7"/>
      <c r="CA282" s="8"/>
      <c r="CB282" s="17"/>
      <c r="CC282" s="17"/>
    </row>
    <row r="283" spans="1:81" x14ac:dyDescent="0.2">
      <c r="A283" s="111" t="s">
        <v>286</v>
      </c>
      <c r="B283" s="26">
        <v>31</v>
      </c>
      <c r="C283" s="109" t="s">
        <v>137</v>
      </c>
      <c r="D283" s="26">
        <v>13</v>
      </c>
      <c r="E283" s="26">
        <v>2</v>
      </c>
      <c r="F283" s="26">
        <v>2</v>
      </c>
      <c r="G283" s="26" t="s">
        <v>51</v>
      </c>
      <c r="H283" s="26">
        <v>4</v>
      </c>
      <c r="I283" s="26" t="s">
        <v>51</v>
      </c>
      <c r="J283" s="26" t="s">
        <v>42</v>
      </c>
      <c r="K283" s="26"/>
      <c r="L283" s="26">
        <v>5</v>
      </c>
      <c r="M283" s="40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26"/>
      <c r="BF283" s="26"/>
      <c r="BG283" s="39"/>
      <c r="BH283" s="38"/>
      <c r="BI283" s="38"/>
      <c r="BJ283" s="38"/>
      <c r="BK283" s="38"/>
      <c r="BL283" s="38"/>
      <c r="BM283" s="38"/>
      <c r="BN283" s="38"/>
      <c r="BO283" s="37">
        <f t="shared" si="20"/>
        <v>0</v>
      </c>
      <c r="BP283" s="56">
        <f t="shared" si="21"/>
        <v>0</v>
      </c>
      <c r="BQ283" s="56">
        <f t="shared" si="22"/>
        <v>0</v>
      </c>
      <c r="BR283" s="57">
        <f t="shared" si="23"/>
        <v>0</v>
      </c>
      <c r="BS283" s="38"/>
      <c r="BT283" s="38"/>
      <c r="BU283" s="26"/>
      <c r="BV283" s="26"/>
      <c r="BW283" s="39">
        <f t="shared" si="24"/>
        <v>0</v>
      </c>
      <c r="BX283" s="78">
        <v>0</v>
      </c>
      <c r="BY283" s="63">
        <v>8</v>
      </c>
      <c r="BZ283" s="7"/>
      <c r="CA283" s="8"/>
      <c r="CB283" s="17"/>
      <c r="CC283" s="17"/>
    </row>
    <row r="284" spans="1:81" x14ac:dyDescent="0.2">
      <c r="A284" s="111" t="s">
        <v>286</v>
      </c>
      <c r="B284" s="26">
        <v>31</v>
      </c>
      <c r="C284" s="109" t="s">
        <v>137</v>
      </c>
      <c r="D284" s="26">
        <v>15</v>
      </c>
      <c r="E284" s="26">
        <v>2</v>
      </c>
      <c r="F284" s="26">
        <v>2</v>
      </c>
      <c r="G284" s="26" t="s">
        <v>51</v>
      </c>
      <c r="H284" s="26">
        <v>4</v>
      </c>
      <c r="I284" s="26" t="s">
        <v>51</v>
      </c>
      <c r="J284" s="26" t="s">
        <v>41</v>
      </c>
      <c r="K284" s="26"/>
      <c r="L284" s="26">
        <v>5</v>
      </c>
      <c r="M284" s="40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26"/>
      <c r="BF284" s="26"/>
      <c r="BG284" s="39"/>
      <c r="BH284" s="38"/>
      <c r="BI284" s="38"/>
      <c r="BJ284" s="38"/>
      <c r="BK284" s="38"/>
      <c r="BL284" s="38"/>
      <c r="BM284" s="38"/>
      <c r="BN284" s="38"/>
      <c r="BO284" s="37">
        <f t="shared" si="20"/>
        <v>0</v>
      </c>
      <c r="BP284" s="56">
        <f t="shared" si="21"/>
        <v>0</v>
      </c>
      <c r="BQ284" s="56">
        <f t="shared" si="22"/>
        <v>0</v>
      </c>
      <c r="BR284" s="57">
        <f t="shared" si="23"/>
        <v>0</v>
      </c>
      <c r="BS284" s="38"/>
      <c r="BT284" s="38"/>
      <c r="BU284" s="26"/>
      <c r="BV284" s="26"/>
      <c r="BW284" s="39">
        <f t="shared" si="24"/>
        <v>0</v>
      </c>
      <c r="BX284" s="78">
        <v>0</v>
      </c>
      <c r="BY284" s="63">
        <v>10</v>
      </c>
      <c r="BZ284" s="7"/>
      <c r="CA284" s="8"/>
      <c r="CB284" s="17"/>
      <c r="CC284" s="17"/>
    </row>
    <row r="285" spans="1:81" ht="16" x14ac:dyDescent="0.2">
      <c r="A285" s="111" t="s">
        <v>286</v>
      </c>
      <c r="B285" s="26">
        <v>31</v>
      </c>
      <c r="C285" s="109" t="s">
        <v>137</v>
      </c>
      <c r="D285" s="26">
        <v>16</v>
      </c>
      <c r="E285" s="26">
        <v>2</v>
      </c>
      <c r="F285" s="26">
        <v>2</v>
      </c>
      <c r="G285" s="26" t="s">
        <v>51</v>
      </c>
      <c r="H285" s="26">
        <v>4</v>
      </c>
      <c r="I285" s="26" t="s">
        <v>51</v>
      </c>
      <c r="J285" s="26" t="s">
        <v>42</v>
      </c>
      <c r="K285" s="26"/>
      <c r="L285" s="26">
        <v>6</v>
      </c>
      <c r="M285" s="40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 t="s">
        <v>40</v>
      </c>
      <c r="Z285" s="36">
        <f>4/7</f>
        <v>0.5714285714285714</v>
      </c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26"/>
      <c r="BF285" s="26"/>
      <c r="BG285" s="39"/>
      <c r="BH285" s="38"/>
      <c r="BI285" s="38"/>
      <c r="BJ285" s="38"/>
      <c r="BK285" s="38"/>
      <c r="BL285" s="38"/>
      <c r="BM285" s="38"/>
      <c r="BN285" s="38">
        <v>1</v>
      </c>
      <c r="BO285" s="37">
        <f t="shared" si="20"/>
        <v>0</v>
      </c>
      <c r="BP285" s="56">
        <f t="shared" si="21"/>
        <v>0</v>
      </c>
      <c r="BQ285" s="56">
        <f t="shared" si="22"/>
        <v>0</v>
      </c>
      <c r="BR285" s="57">
        <f t="shared" si="23"/>
        <v>1</v>
      </c>
      <c r="BS285" s="38"/>
      <c r="BT285" s="38"/>
      <c r="BU285" s="26"/>
      <c r="BV285" s="26"/>
      <c r="BW285" s="39">
        <f t="shared" si="24"/>
        <v>1</v>
      </c>
      <c r="BX285" s="78">
        <v>4</v>
      </c>
      <c r="BY285" s="63">
        <v>8</v>
      </c>
      <c r="BZ285" s="17"/>
      <c r="CA285" s="8"/>
      <c r="CB285" s="17"/>
      <c r="CC285" s="17"/>
    </row>
    <row r="286" spans="1:81" ht="16" x14ac:dyDescent="0.2">
      <c r="A286" s="111" t="s">
        <v>287</v>
      </c>
      <c r="B286" s="26">
        <v>39</v>
      </c>
      <c r="C286" s="109" t="s">
        <v>138</v>
      </c>
      <c r="D286" s="26">
        <v>1</v>
      </c>
      <c r="E286" s="26">
        <v>2</v>
      </c>
      <c r="F286" s="26">
        <v>2</v>
      </c>
      <c r="G286" s="26" t="s">
        <v>51</v>
      </c>
      <c r="H286" s="26">
        <v>4</v>
      </c>
      <c r="I286" s="26" t="s">
        <v>51</v>
      </c>
      <c r="J286" s="26" t="s">
        <v>42</v>
      </c>
      <c r="K286" s="26"/>
      <c r="L286" s="26">
        <v>5</v>
      </c>
      <c r="M286" s="40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 t="s">
        <v>38</v>
      </c>
      <c r="Z286" s="36">
        <f>11/16</f>
        <v>0.6875</v>
      </c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26"/>
      <c r="BF286" s="26"/>
      <c r="BG286" s="39"/>
      <c r="BH286" s="38">
        <v>1</v>
      </c>
      <c r="BI286" s="38"/>
      <c r="BJ286" s="38"/>
      <c r="BK286" s="38"/>
      <c r="BL286" s="38"/>
      <c r="BM286" s="38"/>
      <c r="BN286" s="38"/>
      <c r="BO286" s="37">
        <f t="shared" si="20"/>
        <v>0</v>
      </c>
      <c r="BP286" s="56">
        <f t="shared" si="21"/>
        <v>1</v>
      </c>
      <c r="BQ286" s="56">
        <f t="shared" si="22"/>
        <v>0</v>
      </c>
      <c r="BR286" s="57">
        <f t="shared" si="23"/>
        <v>0</v>
      </c>
      <c r="BS286" s="38"/>
      <c r="BT286" s="38"/>
      <c r="BU286" s="26"/>
      <c r="BV286" s="26"/>
      <c r="BW286" s="39">
        <f t="shared" si="24"/>
        <v>1</v>
      </c>
      <c r="BX286" s="78">
        <v>3</v>
      </c>
      <c r="BY286" s="63">
        <v>8</v>
      </c>
      <c r="BZ286" s="7"/>
      <c r="CA286" s="8"/>
      <c r="CB286" s="17"/>
      <c r="CC286" s="17"/>
    </row>
    <row r="287" spans="1:81" ht="16" x14ac:dyDescent="0.2">
      <c r="A287" s="109" t="s">
        <v>287</v>
      </c>
      <c r="B287" s="26">
        <v>39</v>
      </c>
      <c r="C287" s="109" t="s">
        <v>138</v>
      </c>
      <c r="D287" s="26">
        <v>2</v>
      </c>
      <c r="E287" s="26">
        <v>2</v>
      </c>
      <c r="F287" s="26">
        <v>2</v>
      </c>
      <c r="G287" s="26" t="s">
        <v>51</v>
      </c>
      <c r="H287" s="26">
        <v>6</v>
      </c>
      <c r="I287" s="26" t="s">
        <v>50</v>
      </c>
      <c r="J287" s="26" t="s">
        <v>60</v>
      </c>
      <c r="K287" s="26"/>
      <c r="L287" s="26">
        <v>5</v>
      </c>
      <c r="M287" s="40" t="s">
        <v>38</v>
      </c>
      <c r="N287" s="36">
        <f>18/16</f>
        <v>1.125</v>
      </c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 t="s">
        <v>38</v>
      </c>
      <c r="AD287" s="36">
        <v>0.75</v>
      </c>
      <c r="AE287" s="36"/>
      <c r="AF287" s="36"/>
      <c r="AG287" s="36" t="s">
        <v>39</v>
      </c>
      <c r="AH287" s="36">
        <f>8/16</f>
        <v>0.5</v>
      </c>
      <c r="AI287" s="36"/>
      <c r="AJ287" s="36"/>
      <c r="AK287" s="36"/>
      <c r="AL287" s="36"/>
      <c r="AM287" s="36"/>
      <c r="AN287" s="36"/>
      <c r="AO287" s="36"/>
      <c r="AP287" s="36"/>
      <c r="AQ287" s="36" t="s">
        <v>38</v>
      </c>
      <c r="AR287" s="36">
        <f>8.5/16</f>
        <v>0.53125</v>
      </c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26"/>
      <c r="BF287" s="26"/>
      <c r="BG287" s="37">
        <v>2</v>
      </c>
      <c r="BH287" s="26">
        <v>1</v>
      </c>
      <c r="BI287" s="26"/>
      <c r="BJ287" s="26">
        <v>1</v>
      </c>
      <c r="BK287" s="26"/>
      <c r="BL287" s="26"/>
      <c r="BM287" s="26"/>
      <c r="BN287" s="26"/>
      <c r="BO287" s="37">
        <f t="shared" si="20"/>
        <v>2</v>
      </c>
      <c r="BP287" s="56">
        <f t="shared" si="21"/>
        <v>2</v>
      </c>
      <c r="BQ287" s="56">
        <f t="shared" si="22"/>
        <v>0</v>
      </c>
      <c r="BR287" s="57">
        <f t="shared" si="23"/>
        <v>0</v>
      </c>
      <c r="BS287" s="38"/>
      <c r="BT287" s="38"/>
      <c r="BU287" s="26"/>
      <c r="BV287" s="26"/>
      <c r="BW287" s="39">
        <f t="shared" si="24"/>
        <v>4</v>
      </c>
      <c r="BX287" s="78">
        <v>2</v>
      </c>
      <c r="BY287" s="63">
        <v>7</v>
      </c>
      <c r="BZ287" s="7"/>
      <c r="CA287" s="8"/>
      <c r="CB287" s="7"/>
      <c r="CC287" s="7"/>
    </row>
    <row r="288" spans="1:81" x14ac:dyDescent="0.2">
      <c r="A288" s="109" t="s">
        <v>287</v>
      </c>
      <c r="B288" s="26">
        <v>39</v>
      </c>
      <c r="C288" s="109" t="s">
        <v>138</v>
      </c>
      <c r="D288" s="26">
        <v>6</v>
      </c>
      <c r="E288" s="26">
        <v>2</v>
      </c>
      <c r="F288" s="26">
        <v>2</v>
      </c>
      <c r="G288" s="26" t="s">
        <v>51</v>
      </c>
      <c r="H288" s="26">
        <v>4</v>
      </c>
      <c r="I288" s="26" t="s">
        <v>51</v>
      </c>
      <c r="J288" s="26" t="s">
        <v>42</v>
      </c>
      <c r="K288" s="26"/>
      <c r="L288" s="26">
        <v>5</v>
      </c>
      <c r="M288" s="40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26"/>
      <c r="BF288" s="26"/>
      <c r="BG288" s="37"/>
      <c r="BH288" s="26"/>
      <c r="BI288" s="26"/>
      <c r="BJ288" s="26"/>
      <c r="BK288" s="26"/>
      <c r="BL288" s="26"/>
      <c r="BM288" s="26"/>
      <c r="BN288" s="26"/>
      <c r="BO288" s="37">
        <f t="shared" si="20"/>
        <v>0</v>
      </c>
      <c r="BP288" s="56">
        <f t="shared" si="21"/>
        <v>0</v>
      </c>
      <c r="BQ288" s="56">
        <f t="shared" si="22"/>
        <v>0</v>
      </c>
      <c r="BR288" s="57">
        <f t="shared" si="23"/>
        <v>0</v>
      </c>
      <c r="BS288" s="38"/>
      <c r="BT288" s="38"/>
      <c r="BU288" s="26"/>
      <c r="BV288" s="26"/>
      <c r="BW288" s="39">
        <f t="shared" si="24"/>
        <v>0</v>
      </c>
      <c r="BX288" s="78">
        <v>0</v>
      </c>
      <c r="BY288" s="63">
        <v>8</v>
      </c>
      <c r="BZ288" s="7"/>
      <c r="CA288" s="8"/>
      <c r="CB288" s="7"/>
      <c r="CC288" s="7"/>
    </row>
    <row r="289" spans="1:81" ht="16" x14ac:dyDescent="0.2">
      <c r="A289" s="109" t="s">
        <v>287</v>
      </c>
      <c r="B289" s="26">
        <v>39</v>
      </c>
      <c r="C289" s="109" t="s">
        <v>138</v>
      </c>
      <c r="D289" s="26">
        <v>8</v>
      </c>
      <c r="E289" s="26">
        <v>2</v>
      </c>
      <c r="F289" s="26">
        <v>2</v>
      </c>
      <c r="G289" s="26" t="s">
        <v>51</v>
      </c>
      <c r="H289" s="26">
        <v>4</v>
      </c>
      <c r="I289" s="26" t="s">
        <v>51</v>
      </c>
      <c r="J289" s="26" t="s">
        <v>41</v>
      </c>
      <c r="K289" s="26"/>
      <c r="L289" s="26">
        <v>5</v>
      </c>
      <c r="M289" s="40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 t="s">
        <v>39</v>
      </c>
      <c r="Z289" s="36">
        <f>16/16</f>
        <v>1</v>
      </c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 t="s">
        <v>38</v>
      </c>
      <c r="BD289" s="36">
        <f>12.5/16</f>
        <v>0.78125</v>
      </c>
      <c r="BE289" s="26"/>
      <c r="BF289" s="26"/>
      <c r="BG289" s="37">
        <v>1</v>
      </c>
      <c r="BH289" s="26"/>
      <c r="BI289" s="26">
        <v>1</v>
      </c>
      <c r="BJ289" s="26"/>
      <c r="BK289" s="26"/>
      <c r="BL289" s="26"/>
      <c r="BM289" s="26"/>
      <c r="BN289" s="26"/>
      <c r="BO289" s="37">
        <f t="shared" si="20"/>
        <v>2</v>
      </c>
      <c r="BP289" s="56">
        <f t="shared" si="21"/>
        <v>0</v>
      </c>
      <c r="BQ289" s="56">
        <f t="shared" si="22"/>
        <v>0</v>
      </c>
      <c r="BR289" s="57">
        <f t="shared" si="23"/>
        <v>0</v>
      </c>
      <c r="BS289" s="38"/>
      <c r="BT289" s="38"/>
      <c r="BU289" s="26"/>
      <c r="BV289" s="26"/>
      <c r="BW289" s="39">
        <f t="shared" si="24"/>
        <v>2</v>
      </c>
      <c r="BX289" s="78">
        <v>1</v>
      </c>
      <c r="BY289" s="63">
        <v>10</v>
      </c>
      <c r="BZ289" s="7"/>
      <c r="CA289" s="8"/>
      <c r="CB289" s="7"/>
      <c r="CC289" s="7"/>
    </row>
    <row r="290" spans="1:81" ht="16" x14ac:dyDescent="0.2">
      <c r="A290" s="111" t="s">
        <v>288</v>
      </c>
      <c r="B290" s="26">
        <v>40</v>
      </c>
      <c r="C290" s="109" t="s">
        <v>139</v>
      </c>
      <c r="D290" s="26">
        <v>1</v>
      </c>
      <c r="E290" s="26">
        <v>2</v>
      </c>
      <c r="F290" s="26">
        <v>2</v>
      </c>
      <c r="G290" s="26" t="s">
        <v>51</v>
      </c>
      <c r="H290" s="26">
        <v>4</v>
      </c>
      <c r="I290" s="26" t="s">
        <v>51</v>
      </c>
      <c r="J290" s="26" t="s">
        <v>42</v>
      </c>
      <c r="K290" s="26"/>
      <c r="L290" s="26">
        <v>6</v>
      </c>
      <c r="M290" s="40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 t="s">
        <v>39</v>
      </c>
      <c r="AR290" s="36">
        <f>7/7</f>
        <v>1</v>
      </c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26"/>
      <c r="BF290" s="26"/>
      <c r="BG290" s="39"/>
      <c r="BH290" s="38"/>
      <c r="BI290" s="38">
        <v>1</v>
      </c>
      <c r="BJ290" s="38"/>
      <c r="BK290" s="38"/>
      <c r="BL290" s="38"/>
      <c r="BM290" s="38"/>
      <c r="BN290" s="38"/>
      <c r="BO290" s="37">
        <f t="shared" si="20"/>
        <v>1</v>
      </c>
      <c r="BP290" s="56">
        <f t="shared" si="21"/>
        <v>0</v>
      </c>
      <c r="BQ290" s="56">
        <f t="shared" si="22"/>
        <v>0</v>
      </c>
      <c r="BR290" s="57">
        <f t="shared" si="23"/>
        <v>0</v>
      </c>
      <c r="BS290" s="38"/>
      <c r="BT290" s="38"/>
      <c r="BU290" s="26"/>
      <c r="BV290" s="26"/>
      <c r="BW290" s="39">
        <f t="shared" si="24"/>
        <v>1</v>
      </c>
      <c r="BX290" s="78">
        <v>1</v>
      </c>
      <c r="BY290" s="63">
        <v>8</v>
      </c>
      <c r="BZ290" s="7"/>
      <c r="CA290" s="8"/>
      <c r="CB290" s="17"/>
      <c r="CC290" s="17"/>
    </row>
    <row r="291" spans="1:81" x14ac:dyDescent="0.2">
      <c r="A291" s="111" t="s">
        <v>288</v>
      </c>
      <c r="B291" s="26">
        <v>40</v>
      </c>
      <c r="C291" s="109" t="s">
        <v>139</v>
      </c>
      <c r="D291" s="26">
        <v>2</v>
      </c>
      <c r="E291" s="26">
        <v>2</v>
      </c>
      <c r="F291" s="26">
        <v>2</v>
      </c>
      <c r="G291" s="26" t="s">
        <v>51</v>
      </c>
      <c r="H291" s="26">
        <v>6</v>
      </c>
      <c r="I291" s="26" t="s">
        <v>50</v>
      </c>
      <c r="J291" s="26" t="s">
        <v>37</v>
      </c>
      <c r="K291" s="26"/>
      <c r="L291" s="26">
        <v>6</v>
      </c>
      <c r="M291" s="40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26"/>
      <c r="BF291" s="26"/>
      <c r="BG291" s="39"/>
      <c r="BH291" s="38"/>
      <c r="BI291" s="38"/>
      <c r="BJ291" s="38"/>
      <c r="BK291" s="38"/>
      <c r="BL291" s="38"/>
      <c r="BM291" s="38"/>
      <c r="BN291" s="38"/>
      <c r="BO291" s="37">
        <f t="shared" si="20"/>
        <v>0</v>
      </c>
      <c r="BP291" s="56">
        <f t="shared" si="21"/>
        <v>0</v>
      </c>
      <c r="BQ291" s="56">
        <f t="shared" si="22"/>
        <v>0</v>
      </c>
      <c r="BR291" s="57">
        <f t="shared" si="23"/>
        <v>0</v>
      </c>
      <c r="BS291" s="38"/>
      <c r="BT291" s="38"/>
      <c r="BU291" s="26"/>
      <c r="BV291" s="26"/>
      <c r="BW291" s="39">
        <f t="shared" si="24"/>
        <v>0</v>
      </c>
      <c r="BX291" s="78">
        <v>0</v>
      </c>
      <c r="BY291" s="63">
        <v>9</v>
      </c>
      <c r="BZ291" s="7"/>
      <c r="CA291" s="8"/>
      <c r="CB291" s="17"/>
      <c r="CC291" s="17"/>
    </row>
    <row r="292" spans="1:81" ht="16" x14ac:dyDescent="0.2">
      <c r="A292" s="111" t="s">
        <v>288</v>
      </c>
      <c r="B292" s="26">
        <v>40</v>
      </c>
      <c r="C292" s="109" t="s">
        <v>139</v>
      </c>
      <c r="D292" s="26">
        <v>3</v>
      </c>
      <c r="E292" s="26">
        <v>2</v>
      </c>
      <c r="F292" s="26">
        <v>3</v>
      </c>
      <c r="G292" s="26" t="s">
        <v>50</v>
      </c>
      <c r="H292" s="26">
        <v>5</v>
      </c>
      <c r="I292" s="46" t="s">
        <v>54</v>
      </c>
      <c r="J292" s="26" t="s">
        <v>37</v>
      </c>
      <c r="K292" s="26"/>
      <c r="L292" s="26">
        <v>6</v>
      </c>
      <c r="M292" s="40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 t="s">
        <v>38</v>
      </c>
      <c r="AX292" s="36">
        <f>6/7</f>
        <v>0.8571428571428571</v>
      </c>
      <c r="AY292" s="36"/>
      <c r="AZ292" s="36"/>
      <c r="BA292" s="36"/>
      <c r="BB292" s="36"/>
      <c r="BC292" s="36"/>
      <c r="BD292" s="36"/>
      <c r="BE292" s="26"/>
      <c r="BF292" s="26"/>
      <c r="BG292" s="39">
        <v>1</v>
      </c>
      <c r="BH292" s="38"/>
      <c r="BI292" s="38"/>
      <c r="BJ292" s="38"/>
      <c r="BK292" s="38"/>
      <c r="BL292" s="38"/>
      <c r="BM292" s="38"/>
      <c r="BN292" s="38"/>
      <c r="BO292" s="37">
        <f t="shared" si="20"/>
        <v>1</v>
      </c>
      <c r="BP292" s="56">
        <f t="shared" si="21"/>
        <v>0</v>
      </c>
      <c r="BQ292" s="56">
        <f t="shared" si="22"/>
        <v>0</v>
      </c>
      <c r="BR292" s="57">
        <f t="shared" si="23"/>
        <v>0</v>
      </c>
      <c r="BS292" s="38"/>
      <c r="BT292" s="38"/>
      <c r="BU292" s="26"/>
      <c r="BV292" s="26"/>
      <c r="BW292" s="39">
        <f t="shared" si="24"/>
        <v>1</v>
      </c>
      <c r="BX292" s="78">
        <v>1</v>
      </c>
      <c r="BY292" s="63">
        <v>9</v>
      </c>
      <c r="BZ292" s="7"/>
      <c r="CA292" s="8"/>
      <c r="CB292" s="17"/>
      <c r="CC292" s="17"/>
    </row>
    <row r="293" spans="1:81" ht="16" x14ac:dyDescent="0.2">
      <c r="A293" s="111" t="s">
        <v>288</v>
      </c>
      <c r="B293" s="26">
        <v>40</v>
      </c>
      <c r="C293" s="109" t="s">
        <v>139</v>
      </c>
      <c r="D293" s="26">
        <v>4</v>
      </c>
      <c r="E293" s="26">
        <v>2</v>
      </c>
      <c r="F293" s="26">
        <v>2</v>
      </c>
      <c r="G293" s="26" t="s">
        <v>51</v>
      </c>
      <c r="H293" s="26">
        <v>4</v>
      </c>
      <c r="I293" s="26" t="s">
        <v>51</v>
      </c>
      <c r="J293" s="26" t="s">
        <v>42</v>
      </c>
      <c r="K293" s="26"/>
      <c r="L293" s="26">
        <v>6</v>
      </c>
      <c r="M293" s="40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 t="s">
        <v>39</v>
      </c>
      <c r="AR293" s="36">
        <f>7/7</f>
        <v>1</v>
      </c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26"/>
      <c r="BF293" s="26"/>
      <c r="BG293" s="39"/>
      <c r="BH293" s="38"/>
      <c r="BI293" s="38">
        <v>1</v>
      </c>
      <c r="BJ293" s="38"/>
      <c r="BK293" s="38"/>
      <c r="BL293" s="38"/>
      <c r="BM293" s="38"/>
      <c r="BN293" s="38"/>
      <c r="BO293" s="37">
        <f t="shared" si="20"/>
        <v>1</v>
      </c>
      <c r="BP293" s="56">
        <f t="shared" si="21"/>
        <v>0</v>
      </c>
      <c r="BQ293" s="56">
        <f t="shared" si="22"/>
        <v>0</v>
      </c>
      <c r="BR293" s="57">
        <f t="shared" si="23"/>
        <v>0</v>
      </c>
      <c r="BS293" s="38"/>
      <c r="BT293" s="38"/>
      <c r="BU293" s="26"/>
      <c r="BV293" s="26"/>
      <c r="BW293" s="39">
        <f t="shared" si="24"/>
        <v>1</v>
      </c>
      <c r="BX293" s="78">
        <v>1</v>
      </c>
      <c r="BY293" s="63">
        <v>8</v>
      </c>
      <c r="BZ293" s="7"/>
      <c r="CA293" s="8"/>
      <c r="CB293" s="17"/>
      <c r="CC293" s="17"/>
    </row>
    <row r="294" spans="1:81" x14ac:dyDescent="0.2">
      <c r="A294" s="111" t="s">
        <v>288</v>
      </c>
      <c r="B294" s="26">
        <v>40</v>
      </c>
      <c r="C294" s="109" t="s">
        <v>139</v>
      </c>
      <c r="D294" s="26">
        <v>5</v>
      </c>
      <c r="E294" s="26">
        <v>2</v>
      </c>
      <c r="F294" s="26">
        <v>2</v>
      </c>
      <c r="G294" s="26" t="s">
        <v>51</v>
      </c>
      <c r="H294" s="26">
        <v>4</v>
      </c>
      <c r="I294" s="26" t="s">
        <v>51</v>
      </c>
      <c r="J294" s="26" t="s">
        <v>41</v>
      </c>
      <c r="K294" s="26"/>
      <c r="L294" s="26">
        <v>5</v>
      </c>
      <c r="M294" s="40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26"/>
      <c r="BF294" s="26"/>
      <c r="BG294" s="39"/>
      <c r="BH294" s="38"/>
      <c r="BI294" s="38"/>
      <c r="BJ294" s="38"/>
      <c r="BK294" s="38"/>
      <c r="BL294" s="38"/>
      <c r="BM294" s="38"/>
      <c r="BN294" s="38"/>
      <c r="BO294" s="37">
        <f t="shared" si="20"/>
        <v>0</v>
      </c>
      <c r="BP294" s="56">
        <f t="shared" si="21"/>
        <v>0</v>
      </c>
      <c r="BQ294" s="56">
        <f t="shared" si="22"/>
        <v>0</v>
      </c>
      <c r="BR294" s="57">
        <f t="shared" si="23"/>
        <v>0</v>
      </c>
      <c r="BS294" s="38"/>
      <c r="BT294" s="38"/>
      <c r="BU294" s="26"/>
      <c r="BV294" s="26"/>
      <c r="BW294" s="39">
        <f t="shared" si="24"/>
        <v>0</v>
      </c>
      <c r="BX294" s="78">
        <v>0</v>
      </c>
      <c r="BY294" s="63">
        <v>10</v>
      </c>
      <c r="BZ294" s="7"/>
      <c r="CA294" s="8"/>
      <c r="CB294" s="17"/>
      <c r="CC294" s="17"/>
    </row>
    <row r="295" spans="1:81" x14ac:dyDescent="0.2">
      <c r="A295" s="111" t="s">
        <v>288</v>
      </c>
      <c r="B295" s="26">
        <v>40</v>
      </c>
      <c r="C295" s="109" t="s">
        <v>139</v>
      </c>
      <c r="D295" s="26">
        <v>6</v>
      </c>
      <c r="E295" s="26">
        <v>2</v>
      </c>
      <c r="F295" s="26">
        <v>2</v>
      </c>
      <c r="G295" s="26" t="s">
        <v>51</v>
      </c>
      <c r="H295" s="26">
        <v>4</v>
      </c>
      <c r="I295" s="26" t="s">
        <v>51</v>
      </c>
      <c r="J295" s="26" t="s">
        <v>65</v>
      </c>
      <c r="K295" s="26"/>
      <c r="L295" s="26">
        <v>6</v>
      </c>
      <c r="M295" s="40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26"/>
      <c r="BF295" s="26"/>
      <c r="BG295" s="39"/>
      <c r="BH295" s="38"/>
      <c r="BI295" s="38"/>
      <c r="BJ295" s="38"/>
      <c r="BK295" s="38"/>
      <c r="BL295" s="38"/>
      <c r="BM295" s="38"/>
      <c r="BN295" s="38"/>
      <c r="BO295" s="37">
        <f t="shared" si="20"/>
        <v>0</v>
      </c>
      <c r="BP295" s="56">
        <f t="shared" si="21"/>
        <v>0</v>
      </c>
      <c r="BQ295" s="56">
        <f t="shared" si="22"/>
        <v>0</v>
      </c>
      <c r="BR295" s="57">
        <f t="shared" si="23"/>
        <v>0</v>
      </c>
      <c r="BS295" s="38"/>
      <c r="BT295" s="38"/>
      <c r="BU295" s="26"/>
      <c r="BV295" s="26"/>
      <c r="BW295" s="39">
        <f t="shared" si="24"/>
        <v>0</v>
      </c>
      <c r="BX295" s="78">
        <v>0</v>
      </c>
      <c r="BY295" s="63">
        <v>11</v>
      </c>
      <c r="BZ295" s="7"/>
      <c r="CA295" s="8"/>
      <c r="CB295" s="17"/>
      <c r="CC295" s="17"/>
    </row>
    <row r="296" spans="1:81" x14ac:dyDescent="0.2">
      <c r="A296" s="111" t="s">
        <v>288</v>
      </c>
      <c r="B296" s="26">
        <v>40</v>
      </c>
      <c r="C296" s="109" t="s">
        <v>139</v>
      </c>
      <c r="D296" s="26">
        <v>7</v>
      </c>
      <c r="E296" s="26">
        <v>2</v>
      </c>
      <c r="F296" s="26">
        <v>2</v>
      </c>
      <c r="G296" s="26" t="s">
        <v>51</v>
      </c>
      <c r="H296" s="26">
        <v>4</v>
      </c>
      <c r="I296" s="26" t="s">
        <v>51</v>
      </c>
      <c r="J296" s="26" t="s">
        <v>41</v>
      </c>
      <c r="K296" s="26"/>
      <c r="L296" s="26">
        <v>5</v>
      </c>
      <c r="M296" s="40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26"/>
      <c r="BF296" s="26"/>
      <c r="BG296" s="39"/>
      <c r="BH296" s="38"/>
      <c r="BI296" s="38"/>
      <c r="BJ296" s="38"/>
      <c r="BK296" s="38"/>
      <c r="BL296" s="38"/>
      <c r="BM296" s="38"/>
      <c r="BN296" s="38"/>
      <c r="BO296" s="37">
        <f t="shared" si="20"/>
        <v>0</v>
      </c>
      <c r="BP296" s="56">
        <f t="shared" si="21"/>
        <v>0</v>
      </c>
      <c r="BQ296" s="56">
        <f t="shared" si="22"/>
        <v>0</v>
      </c>
      <c r="BR296" s="57">
        <f t="shared" si="23"/>
        <v>0</v>
      </c>
      <c r="BS296" s="38"/>
      <c r="BT296" s="38"/>
      <c r="BU296" s="26"/>
      <c r="BV296" s="26"/>
      <c r="BW296" s="39">
        <f t="shared" si="24"/>
        <v>0</v>
      </c>
      <c r="BX296" s="78">
        <v>0</v>
      </c>
      <c r="BY296" s="63">
        <v>10</v>
      </c>
      <c r="BZ296" s="7"/>
      <c r="CA296" s="8"/>
      <c r="CB296" s="17"/>
      <c r="CC296" s="17"/>
    </row>
    <row r="297" spans="1:81" ht="16" x14ac:dyDescent="0.2">
      <c r="A297" s="111" t="s">
        <v>288</v>
      </c>
      <c r="B297" s="26">
        <v>40</v>
      </c>
      <c r="C297" s="109" t="s">
        <v>139</v>
      </c>
      <c r="D297" s="26">
        <v>8</v>
      </c>
      <c r="E297" s="26">
        <v>2</v>
      </c>
      <c r="F297" s="26">
        <v>3</v>
      </c>
      <c r="G297" s="26" t="s">
        <v>56</v>
      </c>
      <c r="H297" s="26">
        <v>6</v>
      </c>
      <c r="I297" s="26" t="s">
        <v>51</v>
      </c>
      <c r="J297" s="26"/>
      <c r="K297" s="38" t="s">
        <v>63</v>
      </c>
      <c r="L297" s="26">
        <v>6</v>
      </c>
      <c r="M297" s="40" t="s">
        <v>38</v>
      </c>
      <c r="N297" s="36">
        <f>1.5/8</f>
        <v>0.1875</v>
      </c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 t="s">
        <v>38</v>
      </c>
      <c r="Z297" s="36">
        <v>18.75</v>
      </c>
      <c r="AA297" s="36" t="s">
        <v>39</v>
      </c>
      <c r="AB297" s="36">
        <f>3.5/8</f>
        <v>0.4375</v>
      </c>
      <c r="AC297" s="36"/>
      <c r="AD297" s="36"/>
      <c r="AE297" s="36" t="s">
        <v>39</v>
      </c>
      <c r="AF297" s="36">
        <f>2.5/8</f>
        <v>0.3125</v>
      </c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26"/>
      <c r="BF297" s="26"/>
      <c r="BG297" s="39">
        <v>1</v>
      </c>
      <c r="BH297" s="38"/>
      <c r="BI297" s="38"/>
      <c r="BJ297" s="38">
        <v>2</v>
      </c>
      <c r="BK297" s="38"/>
      <c r="BL297" s="38"/>
      <c r="BM297" s="38"/>
      <c r="BN297" s="38"/>
      <c r="BO297" s="37">
        <f t="shared" si="20"/>
        <v>1</v>
      </c>
      <c r="BP297" s="56">
        <f t="shared" si="21"/>
        <v>2</v>
      </c>
      <c r="BQ297" s="56">
        <f t="shared" si="22"/>
        <v>0</v>
      </c>
      <c r="BR297" s="57">
        <f t="shared" si="23"/>
        <v>0</v>
      </c>
      <c r="BS297" s="38"/>
      <c r="BT297" s="38"/>
      <c r="BU297" s="26"/>
      <c r="BV297" s="26"/>
      <c r="BW297" s="39">
        <f t="shared" si="24"/>
        <v>3</v>
      </c>
      <c r="BX297" s="78">
        <v>2</v>
      </c>
      <c r="BY297" s="63">
        <v>2</v>
      </c>
      <c r="BZ297" s="7"/>
      <c r="CA297" s="8"/>
      <c r="CB297" s="17"/>
      <c r="CC297" s="17"/>
    </row>
    <row r="298" spans="1:81" ht="16" x14ac:dyDescent="0.2">
      <c r="A298" s="111" t="s">
        <v>288</v>
      </c>
      <c r="B298" s="26">
        <v>40</v>
      </c>
      <c r="C298" s="109" t="s">
        <v>139</v>
      </c>
      <c r="D298" s="26">
        <v>9</v>
      </c>
      <c r="E298" s="26">
        <v>2</v>
      </c>
      <c r="F298" s="26">
        <v>2</v>
      </c>
      <c r="G298" s="26" t="s">
        <v>51</v>
      </c>
      <c r="H298" s="26">
        <v>4</v>
      </c>
      <c r="I298" s="26" t="s">
        <v>51</v>
      </c>
      <c r="J298" s="26" t="s">
        <v>41</v>
      </c>
      <c r="K298" s="26"/>
      <c r="L298" s="26">
        <v>5</v>
      </c>
      <c r="M298" s="40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 t="s">
        <v>75</v>
      </c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26"/>
      <c r="BF298" s="26"/>
      <c r="BG298" s="39"/>
      <c r="BH298" s="38"/>
      <c r="BI298" s="38"/>
      <c r="BJ298" s="38"/>
      <c r="BK298" s="38"/>
      <c r="BL298" s="38"/>
      <c r="BM298" s="38"/>
      <c r="BN298" s="38"/>
      <c r="BO298" s="37">
        <f t="shared" si="20"/>
        <v>0</v>
      </c>
      <c r="BP298" s="56">
        <f t="shared" si="21"/>
        <v>0</v>
      </c>
      <c r="BQ298" s="56">
        <f t="shared" si="22"/>
        <v>0</v>
      </c>
      <c r="BR298" s="57">
        <f t="shared" si="23"/>
        <v>0</v>
      </c>
      <c r="BS298" s="38"/>
      <c r="BT298" s="38"/>
      <c r="BU298" s="26"/>
      <c r="BV298" s="26"/>
      <c r="BW298" s="39">
        <f t="shared" si="24"/>
        <v>0</v>
      </c>
      <c r="BX298" s="78">
        <v>0</v>
      </c>
      <c r="BY298" s="63">
        <v>10</v>
      </c>
      <c r="BZ298" s="7"/>
      <c r="CA298" s="8"/>
      <c r="CB298" s="17"/>
      <c r="CC298" s="17"/>
    </row>
    <row r="299" spans="1:81" ht="16" x14ac:dyDescent="0.2">
      <c r="A299" s="111" t="s">
        <v>288</v>
      </c>
      <c r="B299" s="26">
        <v>40</v>
      </c>
      <c r="C299" s="109" t="s">
        <v>139</v>
      </c>
      <c r="D299" s="26">
        <v>10</v>
      </c>
      <c r="E299" s="26">
        <v>2</v>
      </c>
      <c r="F299" s="26">
        <v>3</v>
      </c>
      <c r="G299" s="26" t="s">
        <v>50</v>
      </c>
      <c r="H299" s="26">
        <v>5</v>
      </c>
      <c r="I299" s="26" t="s">
        <v>54</v>
      </c>
      <c r="J299" s="26" t="s">
        <v>41</v>
      </c>
      <c r="K299" s="26"/>
      <c r="L299" s="26">
        <v>5</v>
      </c>
      <c r="M299" s="40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 t="s">
        <v>39</v>
      </c>
      <c r="Z299" s="36">
        <f>8/8</f>
        <v>1</v>
      </c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26"/>
      <c r="BF299" s="26"/>
      <c r="BG299" s="39"/>
      <c r="BH299" s="38"/>
      <c r="BI299" s="38">
        <v>1</v>
      </c>
      <c r="BJ299" s="38"/>
      <c r="BK299" s="38"/>
      <c r="BL299" s="38"/>
      <c r="BM299" s="38"/>
      <c r="BN299" s="38"/>
      <c r="BO299" s="37">
        <f t="shared" si="20"/>
        <v>1</v>
      </c>
      <c r="BP299" s="56">
        <f t="shared" si="21"/>
        <v>0</v>
      </c>
      <c r="BQ299" s="56">
        <f t="shared" si="22"/>
        <v>0</v>
      </c>
      <c r="BR299" s="57">
        <f t="shared" si="23"/>
        <v>0</v>
      </c>
      <c r="BS299" s="38"/>
      <c r="BT299" s="38"/>
      <c r="BU299" s="26"/>
      <c r="BV299" s="26"/>
      <c r="BW299" s="39">
        <f t="shared" si="24"/>
        <v>1</v>
      </c>
      <c r="BX299" s="78">
        <v>1</v>
      </c>
      <c r="BY299" s="63">
        <v>10</v>
      </c>
      <c r="BZ299" s="17"/>
      <c r="CA299" s="8"/>
      <c r="CB299" s="17"/>
      <c r="CC299" s="17"/>
    </row>
    <row r="300" spans="1:81" ht="16" x14ac:dyDescent="0.2">
      <c r="A300" s="109" t="s">
        <v>288</v>
      </c>
      <c r="B300" s="26">
        <v>40</v>
      </c>
      <c r="C300" s="109" t="s">
        <v>139</v>
      </c>
      <c r="D300" s="26">
        <v>11</v>
      </c>
      <c r="E300" s="26">
        <v>2</v>
      </c>
      <c r="F300" s="26">
        <v>2</v>
      </c>
      <c r="G300" s="26" t="s">
        <v>51</v>
      </c>
      <c r="H300" s="26">
        <v>4</v>
      </c>
      <c r="I300" s="26" t="s">
        <v>51</v>
      </c>
      <c r="J300" s="26"/>
      <c r="K300" s="38" t="s">
        <v>63</v>
      </c>
      <c r="L300" s="26">
        <v>6</v>
      </c>
      <c r="M300" s="40" t="s">
        <v>39</v>
      </c>
      <c r="N300" s="36">
        <f>5.5/7</f>
        <v>0.7857142857142857</v>
      </c>
      <c r="O300" s="36"/>
      <c r="P300" s="36"/>
      <c r="Q300" s="36"/>
      <c r="R300" s="36"/>
      <c r="S300" s="36"/>
      <c r="T300" s="36"/>
      <c r="U300" s="36" t="s">
        <v>38</v>
      </c>
      <c r="V300" s="36">
        <f>7/7</f>
        <v>1</v>
      </c>
      <c r="W300" s="36" t="s">
        <v>38</v>
      </c>
      <c r="X300" s="36">
        <f>7/7</f>
        <v>1</v>
      </c>
      <c r="Y300" s="36" t="s">
        <v>39</v>
      </c>
      <c r="Z300" s="36">
        <f>6/7</f>
        <v>0.8571428571428571</v>
      </c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 t="s">
        <v>39</v>
      </c>
      <c r="AL300" s="36">
        <f>6/7</f>
        <v>0.8571428571428571</v>
      </c>
      <c r="AM300" s="36" t="s">
        <v>38</v>
      </c>
      <c r="AN300" s="36">
        <f>7.5/7</f>
        <v>1.0714285714285714</v>
      </c>
      <c r="AO300" s="36"/>
      <c r="AP300" s="36"/>
      <c r="AQ300" s="36"/>
      <c r="AR300" s="36"/>
      <c r="AS300" s="36"/>
      <c r="AT300" s="36"/>
      <c r="AU300" s="36"/>
      <c r="AV300" s="36"/>
      <c r="AW300" s="36" t="s">
        <v>38</v>
      </c>
      <c r="AX300" s="36">
        <f>7/7</f>
        <v>1</v>
      </c>
      <c r="AY300" s="36"/>
      <c r="AZ300" s="36"/>
      <c r="BA300" s="36"/>
      <c r="BB300" s="36"/>
      <c r="BC300" s="36" t="s">
        <v>39</v>
      </c>
      <c r="BD300" s="36">
        <f>6.5/7</f>
        <v>0.9285714285714286</v>
      </c>
      <c r="BE300" s="26"/>
      <c r="BF300" s="26"/>
      <c r="BG300" s="37">
        <v>4</v>
      </c>
      <c r="BH300" s="26"/>
      <c r="BI300" s="26">
        <v>4</v>
      </c>
      <c r="BJ300" s="26"/>
      <c r="BK300" s="26"/>
      <c r="BL300" s="26"/>
      <c r="BM300" s="26"/>
      <c r="BN300" s="26"/>
      <c r="BO300" s="37">
        <f t="shared" si="20"/>
        <v>8</v>
      </c>
      <c r="BP300" s="56">
        <f t="shared" si="21"/>
        <v>0</v>
      </c>
      <c r="BQ300" s="56">
        <f t="shared" si="22"/>
        <v>0</v>
      </c>
      <c r="BR300" s="57">
        <f t="shared" si="23"/>
        <v>0</v>
      </c>
      <c r="BS300" s="38"/>
      <c r="BT300" s="38"/>
      <c r="BU300" s="26"/>
      <c r="BV300" s="26"/>
      <c r="BW300" s="39">
        <f t="shared" si="24"/>
        <v>8</v>
      </c>
      <c r="BX300" s="78">
        <v>1</v>
      </c>
      <c r="BY300" s="63">
        <v>2</v>
      </c>
      <c r="BZ300" s="7"/>
      <c r="CA300" s="8"/>
      <c r="CB300" s="7"/>
      <c r="CC300" s="7"/>
    </row>
    <row r="301" spans="1:81" ht="16" x14ac:dyDescent="0.2">
      <c r="A301" s="109" t="s">
        <v>288</v>
      </c>
      <c r="B301" s="26">
        <v>40</v>
      </c>
      <c r="C301" s="109" t="s">
        <v>139</v>
      </c>
      <c r="D301" s="26">
        <v>12</v>
      </c>
      <c r="E301" s="26">
        <v>2</v>
      </c>
      <c r="F301" s="26">
        <v>2</v>
      </c>
      <c r="G301" s="26" t="s">
        <v>51</v>
      </c>
      <c r="H301" s="26">
        <v>4</v>
      </c>
      <c r="I301" s="26" t="s">
        <v>51</v>
      </c>
      <c r="J301" s="26" t="s">
        <v>41</v>
      </c>
      <c r="K301" s="26"/>
      <c r="L301" s="26">
        <v>6</v>
      </c>
      <c r="M301" s="40"/>
      <c r="N301" s="36"/>
      <c r="O301" s="36"/>
      <c r="P301" s="36"/>
      <c r="Q301" s="36" t="s">
        <v>40</v>
      </c>
      <c r="R301" s="36">
        <f>2/6</f>
        <v>0.33333333333333331</v>
      </c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 t="s">
        <v>39</v>
      </c>
      <c r="BD301" s="36">
        <f>5/6</f>
        <v>0.83333333333333337</v>
      </c>
      <c r="BE301" s="26"/>
      <c r="BF301" s="26"/>
      <c r="BG301" s="37"/>
      <c r="BH301" s="26"/>
      <c r="BI301" s="26">
        <v>1</v>
      </c>
      <c r="BJ301" s="26"/>
      <c r="BK301" s="26"/>
      <c r="BL301" s="26"/>
      <c r="BM301" s="26"/>
      <c r="BN301" s="26">
        <v>1</v>
      </c>
      <c r="BO301" s="37">
        <f t="shared" si="20"/>
        <v>1</v>
      </c>
      <c r="BP301" s="56">
        <f t="shared" si="21"/>
        <v>0</v>
      </c>
      <c r="BQ301" s="56">
        <f t="shared" si="22"/>
        <v>0</v>
      </c>
      <c r="BR301" s="57">
        <f t="shared" si="23"/>
        <v>1</v>
      </c>
      <c r="BS301" s="38"/>
      <c r="BT301" s="38"/>
      <c r="BU301" s="26"/>
      <c r="BV301" s="26"/>
      <c r="BW301" s="39">
        <f t="shared" si="24"/>
        <v>2</v>
      </c>
      <c r="BX301" s="78">
        <v>2</v>
      </c>
      <c r="BY301" s="63">
        <v>10</v>
      </c>
      <c r="BZ301" s="7"/>
      <c r="CA301" s="8"/>
      <c r="CB301" s="7"/>
      <c r="CC301" s="7"/>
    </row>
    <row r="302" spans="1:81" x14ac:dyDescent="0.2">
      <c r="A302" s="109" t="s">
        <v>288</v>
      </c>
      <c r="B302" s="26">
        <v>40</v>
      </c>
      <c r="C302" s="109" t="s">
        <v>139</v>
      </c>
      <c r="D302" s="26">
        <v>13</v>
      </c>
      <c r="E302" s="26">
        <v>2</v>
      </c>
      <c r="F302" s="26">
        <v>2</v>
      </c>
      <c r="G302" s="26" t="s">
        <v>51</v>
      </c>
      <c r="H302" s="26">
        <v>4</v>
      </c>
      <c r="I302" s="26" t="s">
        <v>51</v>
      </c>
      <c r="J302" s="26" t="s">
        <v>41</v>
      </c>
      <c r="K302" s="26"/>
      <c r="L302" s="26">
        <v>5</v>
      </c>
      <c r="M302" s="40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26"/>
      <c r="BF302" s="26"/>
      <c r="BG302" s="37"/>
      <c r="BH302" s="26"/>
      <c r="BI302" s="26"/>
      <c r="BJ302" s="26"/>
      <c r="BK302" s="26"/>
      <c r="BL302" s="26"/>
      <c r="BM302" s="26"/>
      <c r="BN302" s="26"/>
      <c r="BO302" s="37">
        <f t="shared" si="20"/>
        <v>0</v>
      </c>
      <c r="BP302" s="56">
        <f t="shared" si="21"/>
        <v>0</v>
      </c>
      <c r="BQ302" s="56">
        <f t="shared" si="22"/>
        <v>0</v>
      </c>
      <c r="BR302" s="57">
        <f t="shared" si="23"/>
        <v>0</v>
      </c>
      <c r="BS302" s="38"/>
      <c r="BT302" s="38"/>
      <c r="BU302" s="26"/>
      <c r="BV302" s="26"/>
      <c r="BW302" s="39">
        <f t="shared" si="24"/>
        <v>0</v>
      </c>
      <c r="BX302" s="78">
        <v>0</v>
      </c>
      <c r="BY302" s="63">
        <v>10</v>
      </c>
      <c r="BZ302" s="7"/>
      <c r="CA302" s="8"/>
      <c r="CB302" s="7"/>
      <c r="CC302" s="7"/>
    </row>
    <row r="303" spans="1:81" ht="16" x14ac:dyDescent="0.2">
      <c r="A303" s="111" t="s">
        <v>289</v>
      </c>
      <c r="B303" s="26">
        <v>36</v>
      </c>
      <c r="C303" s="109" t="s">
        <v>140</v>
      </c>
      <c r="D303" s="26">
        <v>1</v>
      </c>
      <c r="E303" s="26">
        <v>2</v>
      </c>
      <c r="F303" s="26">
        <v>4</v>
      </c>
      <c r="G303" s="26" t="s">
        <v>50</v>
      </c>
      <c r="H303" s="26">
        <v>12</v>
      </c>
      <c r="I303" s="26" t="s">
        <v>50</v>
      </c>
      <c r="J303" s="26"/>
      <c r="K303" s="26">
        <v>12</v>
      </c>
      <c r="L303" s="26">
        <v>6</v>
      </c>
      <c r="M303" s="40"/>
      <c r="N303" s="36"/>
      <c r="O303" s="36"/>
      <c r="P303" s="36"/>
      <c r="Q303" s="36" t="s">
        <v>70</v>
      </c>
      <c r="R303" s="36">
        <v>0.71</v>
      </c>
      <c r="S303" s="36" t="s">
        <v>40</v>
      </c>
      <c r="T303" s="36">
        <v>0.36</v>
      </c>
      <c r="U303" s="36"/>
      <c r="V303" s="36"/>
      <c r="W303" s="36"/>
      <c r="X303" s="36"/>
      <c r="Y303" s="36" t="s">
        <v>57</v>
      </c>
      <c r="Z303" s="36">
        <v>0.5</v>
      </c>
      <c r="AA303" s="36" t="s">
        <v>70</v>
      </c>
      <c r="AB303" s="36">
        <v>0.64</v>
      </c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 t="s">
        <v>40</v>
      </c>
      <c r="BB303" s="36">
        <v>0.56999999999999995</v>
      </c>
      <c r="BC303" s="36"/>
      <c r="BD303" s="36"/>
      <c r="BE303" s="26" t="s">
        <v>58</v>
      </c>
      <c r="BF303" s="26" t="s">
        <v>76</v>
      </c>
      <c r="BG303" s="39"/>
      <c r="BH303" s="38"/>
      <c r="BI303" s="38"/>
      <c r="BJ303" s="38"/>
      <c r="BK303" s="38"/>
      <c r="BL303" s="38"/>
      <c r="BM303" s="38"/>
      <c r="BN303" s="38">
        <v>3</v>
      </c>
      <c r="BO303" s="37">
        <f t="shared" si="20"/>
        <v>0</v>
      </c>
      <c r="BP303" s="56">
        <f t="shared" si="21"/>
        <v>0</v>
      </c>
      <c r="BQ303" s="56">
        <f t="shared" si="22"/>
        <v>2</v>
      </c>
      <c r="BR303" s="57">
        <f t="shared" si="23"/>
        <v>3</v>
      </c>
      <c r="BS303" s="38">
        <v>1</v>
      </c>
      <c r="BT303" s="38"/>
      <c r="BU303" s="26"/>
      <c r="BV303" s="26">
        <v>1</v>
      </c>
      <c r="BW303" s="39">
        <f t="shared" si="24"/>
        <v>5</v>
      </c>
      <c r="BX303" s="78">
        <v>4</v>
      </c>
      <c r="BY303" s="63">
        <v>2</v>
      </c>
      <c r="BZ303" s="7"/>
      <c r="CA303" s="8"/>
      <c r="CB303" s="17"/>
      <c r="CC303" s="17"/>
    </row>
    <row r="304" spans="1:81" ht="16" x14ac:dyDescent="0.2">
      <c r="A304" s="111" t="s">
        <v>289</v>
      </c>
      <c r="B304" s="26">
        <v>36</v>
      </c>
      <c r="C304" s="109" t="s">
        <v>140</v>
      </c>
      <c r="D304" s="26">
        <v>2</v>
      </c>
      <c r="E304" s="26">
        <v>2</v>
      </c>
      <c r="F304" s="26">
        <v>4</v>
      </c>
      <c r="G304" s="26" t="s">
        <v>50</v>
      </c>
      <c r="H304" s="26">
        <v>12</v>
      </c>
      <c r="I304" s="26" t="s">
        <v>50</v>
      </c>
      <c r="J304" s="26"/>
      <c r="K304" s="26">
        <v>12</v>
      </c>
      <c r="L304" s="26">
        <v>6</v>
      </c>
      <c r="M304" s="40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 t="s">
        <v>39</v>
      </c>
      <c r="BD304" s="36">
        <v>0.8</v>
      </c>
      <c r="BE304" s="26"/>
      <c r="BF304" s="26"/>
      <c r="BG304" s="39"/>
      <c r="BH304" s="38"/>
      <c r="BI304" s="38">
        <v>1</v>
      </c>
      <c r="BJ304" s="38"/>
      <c r="BK304" s="38"/>
      <c r="BL304" s="38"/>
      <c r="BM304" s="38"/>
      <c r="BN304" s="38"/>
      <c r="BO304" s="37">
        <f t="shared" si="20"/>
        <v>1</v>
      </c>
      <c r="BP304" s="56">
        <f t="shared" si="21"/>
        <v>0</v>
      </c>
      <c r="BQ304" s="56">
        <f t="shared" si="22"/>
        <v>0</v>
      </c>
      <c r="BR304" s="57">
        <f t="shared" si="23"/>
        <v>0</v>
      </c>
      <c r="BS304" s="38"/>
      <c r="BT304" s="38"/>
      <c r="BU304" s="26"/>
      <c r="BV304" s="26"/>
      <c r="BW304" s="39">
        <f t="shared" si="24"/>
        <v>1</v>
      </c>
      <c r="BX304" s="78">
        <v>1</v>
      </c>
      <c r="BY304" s="63">
        <v>2</v>
      </c>
      <c r="BZ304" s="7"/>
      <c r="CA304" s="8"/>
      <c r="CB304" s="17"/>
      <c r="CC304" s="17"/>
    </row>
    <row r="305" spans="1:81" x14ac:dyDescent="0.2">
      <c r="A305" s="111" t="s">
        <v>289</v>
      </c>
      <c r="B305" s="26">
        <v>36</v>
      </c>
      <c r="C305" s="109" t="s">
        <v>140</v>
      </c>
      <c r="D305" s="26">
        <v>4</v>
      </c>
      <c r="E305" s="26">
        <v>2</v>
      </c>
      <c r="F305" s="26">
        <v>2</v>
      </c>
      <c r="G305" s="26" t="s">
        <v>51</v>
      </c>
      <c r="H305" s="26">
        <v>4</v>
      </c>
      <c r="I305" s="26" t="s">
        <v>51</v>
      </c>
      <c r="J305" s="26" t="s">
        <v>69</v>
      </c>
      <c r="K305" s="26"/>
      <c r="L305" s="26">
        <v>5</v>
      </c>
      <c r="M305" s="40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26"/>
      <c r="BF305" s="26"/>
      <c r="BG305" s="39"/>
      <c r="BH305" s="38"/>
      <c r="BI305" s="38"/>
      <c r="BJ305" s="38"/>
      <c r="BK305" s="38"/>
      <c r="BL305" s="38"/>
      <c r="BM305" s="38"/>
      <c r="BN305" s="38"/>
      <c r="BO305" s="37">
        <f t="shared" si="20"/>
        <v>0</v>
      </c>
      <c r="BP305" s="56">
        <f t="shared" si="21"/>
        <v>0</v>
      </c>
      <c r="BQ305" s="56">
        <f t="shared" si="22"/>
        <v>0</v>
      </c>
      <c r="BR305" s="57">
        <f t="shared" si="23"/>
        <v>0</v>
      </c>
      <c r="BS305" s="38"/>
      <c r="BT305" s="38"/>
      <c r="BU305" s="26"/>
      <c r="BV305" s="26"/>
      <c r="BW305" s="39">
        <f t="shared" si="24"/>
        <v>0</v>
      </c>
      <c r="BX305" s="78">
        <v>0</v>
      </c>
      <c r="BY305" s="63">
        <v>12</v>
      </c>
      <c r="BZ305" s="7"/>
      <c r="CA305" s="8"/>
      <c r="CB305" s="17"/>
      <c r="CC305" s="17"/>
    </row>
    <row r="306" spans="1:81" x14ac:dyDescent="0.2">
      <c r="A306" s="111" t="s">
        <v>289</v>
      </c>
      <c r="B306" s="26">
        <v>36</v>
      </c>
      <c r="C306" s="109" t="s">
        <v>140</v>
      </c>
      <c r="D306" s="26">
        <v>5</v>
      </c>
      <c r="E306" s="26">
        <v>2</v>
      </c>
      <c r="F306" s="26">
        <v>2</v>
      </c>
      <c r="G306" s="26" t="s">
        <v>51</v>
      </c>
      <c r="H306" s="26">
        <v>4</v>
      </c>
      <c r="I306" s="26" t="s">
        <v>51</v>
      </c>
      <c r="J306" s="26" t="s">
        <v>42</v>
      </c>
      <c r="K306" s="26"/>
      <c r="L306" s="26">
        <v>5</v>
      </c>
      <c r="M306" s="40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26"/>
      <c r="BF306" s="26"/>
      <c r="BG306" s="39"/>
      <c r="BH306" s="38"/>
      <c r="BI306" s="38"/>
      <c r="BJ306" s="38"/>
      <c r="BK306" s="38"/>
      <c r="BL306" s="38"/>
      <c r="BM306" s="38"/>
      <c r="BN306" s="38"/>
      <c r="BO306" s="37">
        <f t="shared" si="20"/>
        <v>0</v>
      </c>
      <c r="BP306" s="56">
        <f t="shared" si="21"/>
        <v>0</v>
      </c>
      <c r="BQ306" s="56">
        <f t="shared" si="22"/>
        <v>0</v>
      </c>
      <c r="BR306" s="57">
        <f t="shared" si="23"/>
        <v>0</v>
      </c>
      <c r="BS306" s="38"/>
      <c r="BT306" s="38"/>
      <c r="BU306" s="26"/>
      <c r="BV306" s="26"/>
      <c r="BW306" s="39">
        <f t="shared" si="24"/>
        <v>0</v>
      </c>
      <c r="BX306" s="78">
        <v>0</v>
      </c>
      <c r="BY306" s="63">
        <v>8</v>
      </c>
      <c r="BZ306" s="7"/>
      <c r="CA306" s="8"/>
      <c r="CB306" s="17"/>
      <c r="CC306" s="17"/>
    </row>
    <row r="307" spans="1:81" ht="16" x14ac:dyDescent="0.2">
      <c r="A307" s="111" t="s">
        <v>289</v>
      </c>
      <c r="B307" s="26">
        <v>36</v>
      </c>
      <c r="C307" s="109" t="s">
        <v>140</v>
      </c>
      <c r="D307" s="26">
        <v>6</v>
      </c>
      <c r="E307" s="26">
        <v>2</v>
      </c>
      <c r="F307" s="26">
        <v>2</v>
      </c>
      <c r="G307" s="26" t="s">
        <v>51</v>
      </c>
      <c r="H307" s="26">
        <v>4</v>
      </c>
      <c r="I307" s="26" t="s">
        <v>51</v>
      </c>
      <c r="J307" s="26" t="s">
        <v>69</v>
      </c>
      <c r="K307" s="26"/>
      <c r="L307" s="26">
        <v>5</v>
      </c>
      <c r="M307" s="40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 t="s">
        <v>38</v>
      </c>
      <c r="AR307" s="36">
        <f>6.5/7</f>
        <v>0.9285714285714286</v>
      </c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26"/>
      <c r="BF307" s="26"/>
      <c r="BG307" s="39">
        <v>1</v>
      </c>
      <c r="BH307" s="38"/>
      <c r="BI307" s="38"/>
      <c r="BJ307" s="38"/>
      <c r="BK307" s="38"/>
      <c r="BL307" s="38"/>
      <c r="BM307" s="38"/>
      <c r="BN307" s="38"/>
      <c r="BO307" s="37">
        <f t="shared" si="20"/>
        <v>1</v>
      </c>
      <c r="BP307" s="56">
        <f t="shared" si="21"/>
        <v>0</v>
      </c>
      <c r="BQ307" s="56">
        <f t="shared" si="22"/>
        <v>0</v>
      </c>
      <c r="BR307" s="57">
        <f t="shared" si="23"/>
        <v>0</v>
      </c>
      <c r="BS307" s="38"/>
      <c r="BT307" s="38"/>
      <c r="BU307" s="26"/>
      <c r="BV307" s="26"/>
      <c r="BW307" s="39">
        <f t="shared" si="24"/>
        <v>1</v>
      </c>
      <c r="BX307" s="78">
        <v>1</v>
      </c>
      <c r="BY307" s="63">
        <v>12</v>
      </c>
      <c r="BZ307" s="7"/>
      <c r="CA307" s="8"/>
      <c r="CB307" s="17"/>
      <c r="CC307" s="17"/>
    </row>
    <row r="308" spans="1:81" ht="16" x14ac:dyDescent="0.2">
      <c r="A308" s="111" t="s">
        <v>289</v>
      </c>
      <c r="B308" s="26">
        <v>36</v>
      </c>
      <c r="C308" s="109" t="s">
        <v>140</v>
      </c>
      <c r="D308" s="26">
        <v>7</v>
      </c>
      <c r="E308" s="26">
        <v>2</v>
      </c>
      <c r="F308" s="26">
        <v>2</v>
      </c>
      <c r="G308" s="26" t="s">
        <v>51</v>
      </c>
      <c r="H308" s="26">
        <v>4</v>
      </c>
      <c r="I308" s="26" t="s">
        <v>51</v>
      </c>
      <c r="J308" s="26" t="s">
        <v>45</v>
      </c>
      <c r="K308" s="26"/>
      <c r="L308" s="26">
        <v>6</v>
      </c>
      <c r="M308" s="40"/>
      <c r="N308" s="36"/>
      <c r="O308" s="36" t="s">
        <v>57</v>
      </c>
      <c r="P308" s="36">
        <f>4/9</f>
        <v>0.44444444444444442</v>
      </c>
      <c r="Q308" s="36"/>
      <c r="R308" s="36"/>
      <c r="S308" s="36"/>
      <c r="T308" s="36"/>
      <c r="U308" s="36" t="s">
        <v>38</v>
      </c>
      <c r="V308" s="36">
        <f>6/9</f>
        <v>0.66666666666666663</v>
      </c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26"/>
      <c r="BF308" s="26"/>
      <c r="BG308" s="39"/>
      <c r="BH308" s="38">
        <v>1</v>
      </c>
      <c r="BI308" s="38"/>
      <c r="BJ308" s="38"/>
      <c r="BK308" s="38"/>
      <c r="BL308" s="38"/>
      <c r="BM308" s="38"/>
      <c r="BN308" s="38">
        <v>1</v>
      </c>
      <c r="BO308" s="37">
        <f t="shared" si="20"/>
        <v>0</v>
      </c>
      <c r="BP308" s="56">
        <f t="shared" si="21"/>
        <v>1</v>
      </c>
      <c r="BQ308" s="56">
        <f t="shared" si="22"/>
        <v>0</v>
      </c>
      <c r="BR308" s="57">
        <f t="shared" si="23"/>
        <v>1</v>
      </c>
      <c r="BS308" s="38"/>
      <c r="BT308" s="38"/>
      <c r="BU308" s="26"/>
      <c r="BV308" s="26"/>
      <c r="BW308" s="39">
        <f t="shared" si="24"/>
        <v>2</v>
      </c>
      <c r="BX308" s="78">
        <v>4</v>
      </c>
      <c r="BY308" s="63">
        <v>5</v>
      </c>
      <c r="BZ308" s="7"/>
      <c r="CA308" s="8"/>
      <c r="CB308" s="17"/>
      <c r="CC308" s="17"/>
    </row>
    <row r="309" spans="1:81" ht="16" x14ac:dyDescent="0.2">
      <c r="A309" s="111" t="s">
        <v>289</v>
      </c>
      <c r="B309" s="26">
        <v>36</v>
      </c>
      <c r="C309" s="109" t="s">
        <v>140</v>
      </c>
      <c r="D309" s="26">
        <v>8</v>
      </c>
      <c r="E309" s="26">
        <v>2</v>
      </c>
      <c r="F309" s="26">
        <v>2</v>
      </c>
      <c r="G309" s="26" t="s">
        <v>51</v>
      </c>
      <c r="H309" s="26">
        <v>6</v>
      </c>
      <c r="I309" s="26" t="s">
        <v>50</v>
      </c>
      <c r="J309" s="26" t="s">
        <v>44</v>
      </c>
      <c r="K309" s="26"/>
      <c r="L309" s="26">
        <v>6</v>
      </c>
      <c r="M309" s="40"/>
      <c r="N309" s="36"/>
      <c r="O309" s="36"/>
      <c r="P309" s="36"/>
      <c r="Q309" s="36" t="s">
        <v>38</v>
      </c>
      <c r="R309" s="36">
        <f>2.5/10</f>
        <v>0.25</v>
      </c>
      <c r="S309" s="36"/>
      <c r="T309" s="36"/>
      <c r="U309" s="36"/>
      <c r="V309" s="36"/>
      <c r="W309" s="36"/>
      <c r="X309" s="36"/>
      <c r="Y309" s="36"/>
      <c r="Z309" s="36"/>
      <c r="AA309" s="36" t="s">
        <v>39</v>
      </c>
      <c r="AB309" s="36">
        <f>10/10</f>
        <v>1</v>
      </c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 t="s">
        <v>39</v>
      </c>
      <c r="AT309" s="36">
        <f>3/10</f>
        <v>0.3</v>
      </c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26"/>
      <c r="BF309" s="26"/>
      <c r="BG309" s="39"/>
      <c r="BH309" s="38"/>
      <c r="BI309" s="38">
        <v>1</v>
      </c>
      <c r="BJ309" s="38">
        <v>1</v>
      </c>
      <c r="BK309" s="38"/>
      <c r="BL309" s="38"/>
      <c r="BM309" s="38"/>
      <c r="BN309" s="38"/>
      <c r="BO309" s="37">
        <f t="shared" si="20"/>
        <v>1</v>
      </c>
      <c r="BP309" s="56">
        <f t="shared" si="21"/>
        <v>1</v>
      </c>
      <c r="BQ309" s="56">
        <f t="shared" si="22"/>
        <v>0</v>
      </c>
      <c r="BR309" s="57">
        <f t="shared" si="23"/>
        <v>0</v>
      </c>
      <c r="BS309" s="38"/>
      <c r="BT309" s="38"/>
      <c r="BU309" s="26"/>
      <c r="BV309" s="26"/>
      <c r="BW309" s="39">
        <f t="shared" si="24"/>
        <v>2</v>
      </c>
      <c r="BX309" s="78">
        <v>2</v>
      </c>
      <c r="BY309" s="63">
        <v>4</v>
      </c>
      <c r="BZ309" s="7"/>
      <c r="CA309" s="8"/>
      <c r="CB309" s="17"/>
      <c r="CC309" s="17"/>
    </row>
    <row r="310" spans="1:81" ht="16" x14ac:dyDescent="0.2">
      <c r="A310" s="109" t="s">
        <v>289</v>
      </c>
      <c r="B310" s="26">
        <v>36</v>
      </c>
      <c r="C310" s="109" t="s">
        <v>141</v>
      </c>
      <c r="D310" s="26">
        <v>1</v>
      </c>
      <c r="E310" s="26">
        <v>2</v>
      </c>
      <c r="F310" s="26">
        <v>5</v>
      </c>
      <c r="G310" s="26" t="s">
        <v>50</v>
      </c>
      <c r="H310" s="26">
        <v>8</v>
      </c>
      <c r="I310" s="26" t="s">
        <v>50</v>
      </c>
      <c r="J310" s="26"/>
      <c r="K310" s="26" t="s">
        <v>47</v>
      </c>
      <c r="L310" s="26">
        <v>6</v>
      </c>
      <c r="M310" s="40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 t="s">
        <v>39</v>
      </c>
      <c r="Z310" s="36">
        <f>6/16</f>
        <v>0.375</v>
      </c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26"/>
      <c r="BF310" s="26"/>
      <c r="BG310" s="37"/>
      <c r="BH310" s="26"/>
      <c r="BI310" s="26"/>
      <c r="BJ310" s="26">
        <v>1</v>
      </c>
      <c r="BK310" s="26"/>
      <c r="BL310" s="26"/>
      <c r="BM310" s="26"/>
      <c r="BN310" s="26"/>
      <c r="BO310" s="37">
        <f t="shared" si="20"/>
        <v>0</v>
      </c>
      <c r="BP310" s="56">
        <f t="shared" si="21"/>
        <v>1</v>
      </c>
      <c r="BQ310" s="56">
        <f t="shared" si="22"/>
        <v>0</v>
      </c>
      <c r="BR310" s="57">
        <f t="shared" si="23"/>
        <v>0</v>
      </c>
      <c r="BS310" s="38"/>
      <c r="BT310" s="38"/>
      <c r="BU310" s="26"/>
      <c r="BV310" s="26"/>
      <c r="BW310" s="39">
        <f t="shared" si="24"/>
        <v>1</v>
      </c>
      <c r="BX310" s="78">
        <v>3</v>
      </c>
      <c r="BY310" s="63">
        <v>3</v>
      </c>
      <c r="BZ310" s="7"/>
      <c r="CA310" s="8"/>
      <c r="CB310" s="7"/>
      <c r="CC310" s="7"/>
    </row>
    <row r="311" spans="1:81" ht="16" x14ac:dyDescent="0.2">
      <c r="A311" s="109" t="s">
        <v>289</v>
      </c>
      <c r="B311" s="26">
        <v>36</v>
      </c>
      <c r="C311" s="109" t="s">
        <v>141</v>
      </c>
      <c r="D311" s="26">
        <v>3</v>
      </c>
      <c r="E311" s="26">
        <v>2</v>
      </c>
      <c r="F311" s="26">
        <v>3</v>
      </c>
      <c r="G311" s="26" t="s">
        <v>50</v>
      </c>
      <c r="H311" s="26">
        <v>4</v>
      </c>
      <c r="I311" s="26" t="s">
        <v>54</v>
      </c>
      <c r="J311" s="26"/>
      <c r="K311" s="26">
        <v>10</v>
      </c>
      <c r="L311" s="26">
        <v>6</v>
      </c>
      <c r="M311" s="40"/>
      <c r="N311" s="36"/>
      <c r="O311" s="36"/>
      <c r="P311" s="36"/>
      <c r="Q311" s="36" t="s">
        <v>38</v>
      </c>
      <c r="R311" s="36">
        <f>7.5/16</f>
        <v>0.46875</v>
      </c>
      <c r="S311" s="36" t="s">
        <v>39</v>
      </c>
      <c r="T311" s="36">
        <f>8/16</f>
        <v>0.5</v>
      </c>
      <c r="U311" s="36" t="s">
        <v>38</v>
      </c>
      <c r="V311" s="36">
        <f>11/16</f>
        <v>0.6875</v>
      </c>
      <c r="W311" s="36" t="s">
        <v>39</v>
      </c>
      <c r="X311" s="36">
        <f>8/16</f>
        <v>0.5</v>
      </c>
      <c r="Y311" s="36"/>
      <c r="Z311" s="36"/>
      <c r="AA311" s="36" t="s">
        <v>39</v>
      </c>
      <c r="AB311" s="36">
        <f>12.5/16</f>
        <v>0.78125</v>
      </c>
      <c r="AC311" s="36"/>
      <c r="AD311" s="36"/>
      <c r="AE311" s="36"/>
      <c r="AF311" s="36"/>
      <c r="AG311" s="36"/>
      <c r="AH311" s="36"/>
      <c r="AI311" s="36" t="s">
        <v>38</v>
      </c>
      <c r="AJ311" s="36">
        <f>7.5/16</f>
        <v>0.46875</v>
      </c>
      <c r="AK311" s="36" t="s">
        <v>39</v>
      </c>
      <c r="AL311" s="36">
        <f>9.5/16</f>
        <v>0.59375</v>
      </c>
      <c r="AM311" s="36"/>
      <c r="AN311" s="36"/>
      <c r="AO311" s="36"/>
      <c r="AP311" s="36"/>
      <c r="AQ311" s="36"/>
      <c r="AR311" s="36"/>
      <c r="AS311" s="36" t="s">
        <v>38</v>
      </c>
      <c r="AT311" s="36">
        <f>5.5/16</f>
        <v>0.34375</v>
      </c>
      <c r="AU311" s="36"/>
      <c r="AV311" s="36"/>
      <c r="AW311" s="36" t="s">
        <v>38</v>
      </c>
      <c r="AX311" s="36">
        <f>8/16</f>
        <v>0.5</v>
      </c>
      <c r="AY311" s="36"/>
      <c r="AZ311" s="36"/>
      <c r="BA311" s="36"/>
      <c r="BB311" s="36"/>
      <c r="BC311" s="36" t="s">
        <v>39</v>
      </c>
      <c r="BD311" s="36">
        <f>11.5/16</f>
        <v>0.71875</v>
      </c>
      <c r="BE311" s="26"/>
      <c r="BF311" s="26"/>
      <c r="BG311" s="37"/>
      <c r="BH311" s="26">
        <v>5</v>
      </c>
      <c r="BI311" s="26">
        <v>2</v>
      </c>
      <c r="BJ311" s="26">
        <v>3</v>
      </c>
      <c r="BK311" s="26"/>
      <c r="BL311" s="26"/>
      <c r="BM311" s="26"/>
      <c r="BN311" s="26"/>
      <c r="BO311" s="37">
        <f t="shared" si="20"/>
        <v>2</v>
      </c>
      <c r="BP311" s="56">
        <f t="shared" si="21"/>
        <v>8</v>
      </c>
      <c r="BQ311" s="56">
        <f t="shared" si="22"/>
        <v>0</v>
      </c>
      <c r="BR311" s="57">
        <f t="shared" si="23"/>
        <v>0</v>
      </c>
      <c r="BS311" s="38"/>
      <c r="BT311" s="38"/>
      <c r="BU311" s="26"/>
      <c r="BV311" s="26"/>
      <c r="BW311" s="39">
        <f t="shared" si="24"/>
        <v>10</v>
      </c>
      <c r="BX311" s="78">
        <v>2</v>
      </c>
      <c r="BY311" s="63">
        <v>1</v>
      </c>
      <c r="BZ311" s="7"/>
      <c r="CA311" s="8"/>
      <c r="CB311" s="7"/>
      <c r="CC311" s="7"/>
    </row>
    <row r="312" spans="1:81" ht="16" x14ac:dyDescent="0.2">
      <c r="A312" s="109" t="s">
        <v>289</v>
      </c>
      <c r="B312" s="26">
        <v>36</v>
      </c>
      <c r="C312" s="109" t="s">
        <v>141</v>
      </c>
      <c r="D312" s="26">
        <v>4</v>
      </c>
      <c r="E312" s="26">
        <v>2</v>
      </c>
      <c r="F312" s="26">
        <v>2</v>
      </c>
      <c r="G312" s="26" t="s">
        <v>51</v>
      </c>
      <c r="H312" s="26">
        <v>2</v>
      </c>
      <c r="I312" s="26" t="s">
        <v>54</v>
      </c>
      <c r="J312" s="26"/>
      <c r="K312" s="38" t="s">
        <v>63</v>
      </c>
      <c r="L312" s="26">
        <v>6</v>
      </c>
      <c r="M312" s="40"/>
      <c r="N312" s="36"/>
      <c r="O312" s="36"/>
      <c r="P312" s="36"/>
      <c r="Q312" s="36"/>
      <c r="R312" s="36"/>
      <c r="S312" s="36"/>
      <c r="T312" s="36"/>
      <c r="U312" s="36" t="s">
        <v>57</v>
      </c>
      <c r="V312" s="36">
        <f>8/16</f>
        <v>0.5</v>
      </c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 t="s">
        <v>40</v>
      </c>
      <c r="AR312" s="36">
        <f>12/16</f>
        <v>0.75</v>
      </c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26"/>
      <c r="BF312" s="26"/>
      <c r="BG312" s="37"/>
      <c r="BH312" s="26"/>
      <c r="BI312" s="26"/>
      <c r="BJ312" s="26"/>
      <c r="BK312" s="26"/>
      <c r="BL312" s="26"/>
      <c r="BM312" s="26">
        <v>1</v>
      </c>
      <c r="BN312" s="26">
        <v>1</v>
      </c>
      <c r="BO312" s="37">
        <f t="shared" si="20"/>
        <v>0</v>
      </c>
      <c r="BP312" s="56">
        <f t="shared" si="21"/>
        <v>0</v>
      </c>
      <c r="BQ312" s="56">
        <f t="shared" si="22"/>
        <v>1</v>
      </c>
      <c r="BR312" s="57">
        <f t="shared" si="23"/>
        <v>1</v>
      </c>
      <c r="BS312" s="38"/>
      <c r="BT312" s="38"/>
      <c r="BU312" s="26"/>
      <c r="BV312" s="26"/>
      <c r="BW312" s="39">
        <f t="shared" si="24"/>
        <v>2</v>
      </c>
      <c r="BX312" s="78">
        <v>4</v>
      </c>
      <c r="BY312" s="63">
        <v>2</v>
      </c>
      <c r="BZ312" s="7"/>
      <c r="CA312" s="8"/>
      <c r="CB312" s="7"/>
      <c r="CC312" s="7"/>
    </row>
    <row r="313" spans="1:81" x14ac:dyDescent="0.2">
      <c r="A313" s="109" t="s">
        <v>289</v>
      </c>
      <c r="B313" s="26">
        <v>36</v>
      </c>
      <c r="C313" s="109" t="s">
        <v>141</v>
      </c>
      <c r="D313" s="26">
        <v>5</v>
      </c>
      <c r="E313" s="26">
        <v>2</v>
      </c>
      <c r="F313" s="26">
        <v>2</v>
      </c>
      <c r="G313" s="26" t="s">
        <v>51</v>
      </c>
      <c r="H313" s="26">
        <v>4</v>
      </c>
      <c r="I313" s="26" t="s">
        <v>51</v>
      </c>
      <c r="J313" s="26" t="s">
        <v>65</v>
      </c>
      <c r="K313" s="26"/>
      <c r="L313" s="26">
        <v>5</v>
      </c>
      <c r="M313" s="40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26"/>
      <c r="BF313" s="26"/>
      <c r="BG313" s="37"/>
      <c r="BH313" s="26"/>
      <c r="BI313" s="26"/>
      <c r="BJ313" s="26"/>
      <c r="BK313" s="26"/>
      <c r="BL313" s="26"/>
      <c r="BM313" s="26"/>
      <c r="BN313" s="26"/>
      <c r="BO313" s="37">
        <f t="shared" si="20"/>
        <v>0</v>
      </c>
      <c r="BP313" s="56">
        <f t="shared" si="21"/>
        <v>0</v>
      </c>
      <c r="BQ313" s="56">
        <f t="shared" si="22"/>
        <v>0</v>
      </c>
      <c r="BR313" s="57">
        <f t="shared" si="23"/>
        <v>0</v>
      </c>
      <c r="BS313" s="38"/>
      <c r="BT313" s="38"/>
      <c r="BU313" s="26"/>
      <c r="BV313" s="26"/>
      <c r="BW313" s="39">
        <f t="shared" si="24"/>
        <v>0</v>
      </c>
      <c r="BX313" s="78">
        <v>0</v>
      </c>
      <c r="BY313" s="63">
        <v>11</v>
      </c>
      <c r="BZ313" s="7"/>
      <c r="CA313" s="8"/>
      <c r="CB313" s="7"/>
      <c r="CC313" s="7"/>
    </row>
    <row r="314" spans="1:81" ht="16" x14ac:dyDescent="0.2">
      <c r="A314" s="109" t="s">
        <v>289</v>
      </c>
      <c r="B314" s="26">
        <v>36</v>
      </c>
      <c r="C314" s="109" t="s">
        <v>141</v>
      </c>
      <c r="D314" s="26">
        <v>6</v>
      </c>
      <c r="E314" s="26">
        <v>2</v>
      </c>
      <c r="F314" s="26">
        <v>4</v>
      </c>
      <c r="G314" s="26" t="s">
        <v>50</v>
      </c>
      <c r="H314" s="26">
        <v>7</v>
      </c>
      <c r="I314" s="26"/>
      <c r="J314" s="26"/>
      <c r="K314" s="38" t="s">
        <v>63</v>
      </c>
      <c r="L314" s="26">
        <v>6</v>
      </c>
      <c r="M314" s="40"/>
      <c r="N314" s="36"/>
      <c r="O314" s="36"/>
      <c r="P314" s="36"/>
      <c r="Q314" s="36"/>
      <c r="R314" s="36"/>
      <c r="S314" s="36"/>
      <c r="T314" s="36"/>
      <c r="U314" s="36" t="s">
        <v>39</v>
      </c>
      <c r="V314" s="36">
        <f>5.5/16</f>
        <v>0.34375</v>
      </c>
      <c r="W314" s="36"/>
      <c r="X314" s="36"/>
      <c r="Y314" s="36"/>
      <c r="Z314" s="36"/>
      <c r="AA314" s="36"/>
      <c r="AB314" s="36"/>
      <c r="AC314" s="36" t="s">
        <v>39</v>
      </c>
      <c r="AD314" s="36">
        <f>14.5/16</f>
        <v>0.90625</v>
      </c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26"/>
      <c r="BF314" s="26"/>
      <c r="BG314" s="37"/>
      <c r="BH314" s="26"/>
      <c r="BI314" s="26">
        <v>1</v>
      </c>
      <c r="BJ314" s="26">
        <v>1</v>
      </c>
      <c r="BK314" s="26"/>
      <c r="BL314" s="26"/>
      <c r="BM314" s="26"/>
      <c r="BN314" s="26"/>
      <c r="BO314" s="37">
        <f t="shared" si="20"/>
        <v>1</v>
      </c>
      <c r="BP314" s="56">
        <f t="shared" si="21"/>
        <v>1</v>
      </c>
      <c r="BQ314" s="56">
        <f t="shared" si="22"/>
        <v>0</v>
      </c>
      <c r="BR314" s="57">
        <f t="shared" si="23"/>
        <v>0</v>
      </c>
      <c r="BS314" s="38"/>
      <c r="BT314" s="38"/>
      <c r="BU314" s="26"/>
      <c r="BV314" s="26"/>
      <c r="BW314" s="39">
        <f t="shared" si="24"/>
        <v>2</v>
      </c>
      <c r="BX314" s="78">
        <v>2</v>
      </c>
      <c r="BY314" s="63">
        <v>2</v>
      </c>
      <c r="BZ314" s="7"/>
      <c r="CA314" s="8"/>
      <c r="CB314" s="7"/>
      <c r="CC314" s="7"/>
    </row>
    <row r="315" spans="1:81" ht="16" x14ac:dyDescent="0.2">
      <c r="A315" s="109" t="s">
        <v>289</v>
      </c>
      <c r="B315" s="26">
        <v>36</v>
      </c>
      <c r="C315" s="109" t="s">
        <v>141</v>
      </c>
      <c r="D315" s="26">
        <v>7</v>
      </c>
      <c r="E315" s="26">
        <v>2</v>
      </c>
      <c r="F315" s="26">
        <v>4</v>
      </c>
      <c r="G315" s="26" t="s">
        <v>50</v>
      </c>
      <c r="H315" s="26">
        <v>7</v>
      </c>
      <c r="I315" s="26"/>
      <c r="J315" s="26" t="s">
        <v>60</v>
      </c>
      <c r="L315" s="26">
        <v>5</v>
      </c>
      <c r="M315" s="40" t="s">
        <v>38</v>
      </c>
      <c r="N315" s="36">
        <f>7/16</f>
        <v>0.4375</v>
      </c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26"/>
      <c r="BF315" s="26"/>
      <c r="BG315" s="37"/>
      <c r="BH315" s="26">
        <v>1</v>
      </c>
      <c r="BI315" s="26"/>
      <c r="BJ315" s="26"/>
      <c r="BK315" s="26"/>
      <c r="BL315" s="26"/>
      <c r="BM315" s="26"/>
      <c r="BN315" s="26"/>
      <c r="BO315" s="37">
        <f t="shared" si="20"/>
        <v>0</v>
      </c>
      <c r="BP315" s="56">
        <f t="shared" si="21"/>
        <v>1</v>
      </c>
      <c r="BQ315" s="56">
        <f t="shared" si="22"/>
        <v>0</v>
      </c>
      <c r="BR315" s="57">
        <f t="shared" si="23"/>
        <v>0</v>
      </c>
      <c r="BS315" s="38"/>
      <c r="BT315" s="38"/>
      <c r="BU315" s="26"/>
      <c r="BV315" s="26"/>
      <c r="BW315" s="39">
        <f t="shared" si="24"/>
        <v>1</v>
      </c>
      <c r="BX315" s="78">
        <v>3</v>
      </c>
      <c r="BY315" s="63">
        <v>7</v>
      </c>
      <c r="BZ315" s="7"/>
      <c r="CA315" s="8"/>
      <c r="CB315" s="7"/>
      <c r="CC315" s="7"/>
    </row>
    <row r="316" spans="1:81" ht="16" x14ac:dyDescent="0.2">
      <c r="A316" s="111" t="s">
        <v>289</v>
      </c>
      <c r="B316" s="26">
        <v>36</v>
      </c>
      <c r="C316" s="109" t="s">
        <v>141</v>
      </c>
      <c r="D316" s="26">
        <v>8</v>
      </c>
      <c r="E316" s="26">
        <v>2</v>
      </c>
      <c r="F316" s="26">
        <v>2</v>
      </c>
      <c r="G316" s="26" t="s">
        <v>51</v>
      </c>
      <c r="H316" s="26">
        <v>4</v>
      </c>
      <c r="I316" s="26" t="s">
        <v>51</v>
      </c>
      <c r="J316" s="26" t="s">
        <v>65</v>
      </c>
      <c r="L316" s="26">
        <v>5</v>
      </c>
      <c r="M316" s="40" t="s">
        <v>40</v>
      </c>
      <c r="N316" s="36">
        <f>5/16</f>
        <v>0.3125</v>
      </c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 t="s">
        <v>40</v>
      </c>
      <c r="AR316" s="36">
        <f>8.5/16</f>
        <v>0.53125</v>
      </c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26"/>
      <c r="BF316" s="26"/>
      <c r="BG316" s="39"/>
      <c r="BH316" s="38"/>
      <c r="BI316" s="38"/>
      <c r="BJ316" s="38"/>
      <c r="BK316" s="38"/>
      <c r="BL316" s="38"/>
      <c r="BM316" s="38"/>
      <c r="BN316" s="38">
        <v>2</v>
      </c>
      <c r="BO316" s="37">
        <f t="shared" si="20"/>
        <v>0</v>
      </c>
      <c r="BP316" s="56">
        <f t="shared" si="21"/>
        <v>0</v>
      </c>
      <c r="BQ316" s="56">
        <f t="shared" si="22"/>
        <v>0</v>
      </c>
      <c r="BR316" s="57">
        <f t="shared" si="23"/>
        <v>2</v>
      </c>
      <c r="BS316" s="38"/>
      <c r="BT316" s="38"/>
      <c r="BU316" s="26"/>
      <c r="BV316" s="26"/>
      <c r="BW316" s="39">
        <f t="shared" si="24"/>
        <v>2</v>
      </c>
      <c r="BX316" s="78">
        <v>4</v>
      </c>
      <c r="BY316" s="63">
        <v>11</v>
      </c>
      <c r="BZ316" s="7"/>
      <c r="CA316" s="8"/>
      <c r="CB316" s="17"/>
      <c r="CC316" s="17"/>
    </row>
    <row r="317" spans="1:81" x14ac:dyDescent="0.2">
      <c r="A317" s="111" t="s">
        <v>289</v>
      </c>
      <c r="B317" s="26">
        <v>36</v>
      </c>
      <c r="C317" s="109" t="s">
        <v>141</v>
      </c>
      <c r="D317" s="26">
        <v>9</v>
      </c>
      <c r="E317" s="26">
        <v>2</v>
      </c>
      <c r="F317" s="26">
        <v>2</v>
      </c>
      <c r="G317" s="26" t="s">
        <v>51</v>
      </c>
      <c r="H317" s="26">
        <v>4</v>
      </c>
      <c r="I317" s="26" t="s">
        <v>51</v>
      </c>
      <c r="J317" s="26" t="s">
        <v>42</v>
      </c>
      <c r="L317" s="26">
        <v>5</v>
      </c>
      <c r="M317" s="40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26"/>
      <c r="BF317" s="26"/>
      <c r="BG317" s="39"/>
      <c r="BH317" s="38"/>
      <c r="BI317" s="38"/>
      <c r="BJ317" s="38"/>
      <c r="BK317" s="38"/>
      <c r="BL317" s="38"/>
      <c r="BM317" s="38"/>
      <c r="BN317" s="38"/>
      <c r="BO317" s="37">
        <f t="shared" si="20"/>
        <v>0</v>
      </c>
      <c r="BP317" s="56">
        <f t="shared" si="21"/>
        <v>0</v>
      </c>
      <c r="BQ317" s="56">
        <f t="shared" si="22"/>
        <v>0</v>
      </c>
      <c r="BR317" s="57">
        <f t="shared" si="23"/>
        <v>0</v>
      </c>
      <c r="BS317" s="38"/>
      <c r="BT317" s="38"/>
      <c r="BU317" s="26"/>
      <c r="BV317" s="26"/>
      <c r="BW317" s="39">
        <f t="shared" si="24"/>
        <v>0</v>
      </c>
      <c r="BX317" s="78">
        <v>0</v>
      </c>
      <c r="BY317" s="63">
        <v>8</v>
      </c>
      <c r="BZ317" s="7"/>
      <c r="CA317" s="8"/>
      <c r="CB317" s="17"/>
      <c r="CC317" s="17"/>
    </row>
    <row r="318" spans="1:81" x14ac:dyDescent="0.2">
      <c r="A318" s="111" t="s">
        <v>289</v>
      </c>
      <c r="B318" s="26">
        <v>36</v>
      </c>
      <c r="C318" s="109" t="s">
        <v>141</v>
      </c>
      <c r="D318" s="26">
        <v>10</v>
      </c>
      <c r="E318" s="26">
        <v>2</v>
      </c>
      <c r="F318" s="26">
        <v>4</v>
      </c>
      <c r="G318" s="26" t="s">
        <v>50</v>
      </c>
      <c r="H318" s="26">
        <v>6</v>
      </c>
      <c r="I318" s="26" t="s">
        <v>51</v>
      </c>
      <c r="J318" s="26" t="s">
        <v>42</v>
      </c>
      <c r="L318" s="26">
        <v>5</v>
      </c>
      <c r="M318" s="40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26"/>
      <c r="BF318" s="26"/>
      <c r="BG318" s="39"/>
      <c r="BH318" s="38"/>
      <c r="BI318" s="38"/>
      <c r="BJ318" s="38"/>
      <c r="BK318" s="38"/>
      <c r="BL318" s="38"/>
      <c r="BM318" s="38"/>
      <c r="BN318" s="38"/>
      <c r="BO318" s="37">
        <f t="shared" si="20"/>
        <v>0</v>
      </c>
      <c r="BP318" s="56">
        <f t="shared" si="21"/>
        <v>0</v>
      </c>
      <c r="BQ318" s="56">
        <f t="shared" si="22"/>
        <v>0</v>
      </c>
      <c r="BR318" s="57">
        <f t="shared" si="23"/>
        <v>0</v>
      </c>
      <c r="BS318" s="38"/>
      <c r="BT318" s="38"/>
      <c r="BU318" s="26"/>
      <c r="BV318" s="26"/>
      <c r="BW318" s="39">
        <f t="shared" si="24"/>
        <v>0</v>
      </c>
      <c r="BX318" s="78">
        <v>0</v>
      </c>
      <c r="BY318" s="63">
        <v>8</v>
      </c>
      <c r="BZ318" s="7"/>
      <c r="CA318" s="8"/>
      <c r="CB318" s="17"/>
      <c r="CC318" s="17"/>
    </row>
    <row r="319" spans="1:81" ht="16" x14ac:dyDescent="0.2">
      <c r="A319" s="111" t="s">
        <v>289</v>
      </c>
      <c r="B319" s="26">
        <v>36</v>
      </c>
      <c r="C319" s="109" t="s">
        <v>141</v>
      </c>
      <c r="D319" s="26">
        <v>11</v>
      </c>
      <c r="E319" s="26">
        <v>2</v>
      </c>
      <c r="F319" s="26">
        <v>3</v>
      </c>
      <c r="G319" s="26" t="s">
        <v>50</v>
      </c>
      <c r="H319" s="26">
        <v>4</v>
      </c>
      <c r="I319" s="26" t="s">
        <v>54</v>
      </c>
      <c r="J319" s="26" t="s">
        <v>60</v>
      </c>
      <c r="L319" s="26">
        <v>5</v>
      </c>
      <c r="M319" s="40"/>
      <c r="N319" s="36"/>
      <c r="O319" s="36" t="s">
        <v>38</v>
      </c>
      <c r="P319" s="36">
        <f>16/16</f>
        <v>1</v>
      </c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 t="s">
        <v>48</v>
      </c>
      <c r="AD319" s="36">
        <f>8/16</f>
        <v>0.5</v>
      </c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26"/>
      <c r="BF319" s="26"/>
      <c r="BG319" s="39">
        <v>1</v>
      </c>
      <c r="BH319" s="38"/>
      <c r="BI319" s="38"/>
      <c r="BJ319" s="38"/>
      <c r="BK319" s="38"/>
      <c r="BL319" s="38">
        <v>1</v>
      </c>
      <c r="BM319" s="38"/>
      <c r="BN319" s="38"/>
      <c r="BO319" s="37">
        <f t="shared" si="20"/>
        <v>1</v>
      </c>
      <c r="BP319" s="56">
        <f t="shared" si="21"/>
        <v>0</v>
      </c>
      <c r="BQ319" s="56">
        <f t="shared" si="22"/>
        <v>0</v>
      </c>
      <c r="BR319" s="57">
        <f t="shared" si="23"/>
        <v>1</v>
      </c>
      <c r="BS319" s="38"/>
      <c r="BT319" s="38"/>
      <c r="BU319" s="26"/>
      <c r="BV319" s="26"/>
      <c r="BW319" s="39">
        <f t="shared" si="24"/>
        <v>2</v>
      </c>
      <c r="BX319" s="78">
        <v>2</v>
      </c>
      <c r="BY319" s="64">
        <v>7</v>
      </c>
      <c r="BZ319" s="7"/>
      <c r="CA319" s="8"/>
      <c r="CB319" s="17"/>
      <c r="CC319" s="17"/>
    </row>
    <row r="320" spans="1:81" x14ac:dyDescent="0.2">
      <c r="A320" s="111" t="s">
        <v>289</v>
      </c>
      <c r="B320" s="26">
        <v>36</v>
      </c>
      <c r="C320" s="109" t="s">
        <v>141</v>
      </c>
      <c r="D320" s="26">
        <v>12</v>
      </c>
      <c r="E320" s="26">
        <v>2</v>
      </c>
      <c r="F320" s="26">
        <v>2</v>
      </c>
      <c r="G320" s="26" t="s">
        <v>51</v>
      </c>
      <c r="H320" s="26">
        <v>4</v>
      </c>
      <c r="I320" s="26" t="s">
        <v>51</v>
      </c>
      <c r="J320" s="26" t="s">
        <v>41</v>
      </c>
      <c r="L320" s="26">
        <v>5</v>
      </c>
      <c r="M320" s="40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26"/>
      <c r="BF320" s="26"/>
      <c r="BG320" s="39"/>
      <c r="BH320" s="38"/>
      <c r="BI320" s="38"/>
      <c r="BJ320" s="38"/>
      <c r="BK320" s="38"/>
      <c r="BL320" s="38"/>
      <c r="BM320" s="38"/>
      <c r="BN320" s="38"/>
      <c r="BO320" s="37">
        <f t="shared" si="20"/>
        <v>0</v>
      </c>
      <c r="BP320" s="56">
        <f t="shared" si="21"/>
        <v>0</v>
      </c>
      <c r="BQ320" s="56">
        <f t="shared" si="22"/>
        <v>0</v>
      </c>
      <c r="BR320" s="57">
        <f t="shared" si="23"/>
        <v>0</v>
      </c>
      <c r="BS320" s="38"/>
      <c r="BT320" s="38"/>
      <c r="BU320" s="26"/>
      <c r="BV320" s="26"/>
      <c r="BW320" s="39">
        <f t="shared" si="24"/>
        <v>0</v>
      </c>
      <c r="BX320" s="78">
        <v>0</v>
      </c>
      <c r="BY320" s="63">
        <v>10</v>
      </c>
      <c r="BZ320" s="7"/>
      <c r="CA320" s="8"/>
      <c r="CB320" s="17"/>
      <c r="CC320" s="17"/>
    </row>
    <row r="321" spans="1:81" ht="16" x14ac:dyDescent="0.2">
      <c r="A321" s="111" t="s">
        <v>289</v>
      </c>
      <c r="B321" s="26">
        <v>36</v>
      </c>
      <c r="C321" s="109" t="s">
        <v>141</v>
      </c>
      <c r="D321" s="26">
        <v>13</v>
      </c>
      <c r="E321" s="26">
        <v>2</v>
      </c>
      <c r="F321" s="26">
        <v>4</v>
      </c>
      <c r="G321" s="26" t="s">
        <v>50</v>
      </c>
      <c r="H321" s="26">
        <v>7</v>
      </c>
      <c r="I321" s="26"/>
      <c r="J321" s="26" t="s">
        <v>42</v>
      </c>
      <c r="L321" s="26">
        <v>5</v>
      </c>
      <c r="M321" s="40"/>
      <c r="N321" s="36"/>
      <c r="O321" s="36"/>
      <c r="P321" s="36"/>
      <c r="Q321" s="36"/>
      <c r="R321" s="36"/>
      <c r="S321" s="36" t="s">
        <v>40</v>
      </c>
      <c r="T321" s="36">
        <f>6.5/16</f>
        <v>0.40625</v>
      </c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 t="s">
        <v>38</v>
      </c>
      <c r="AP321" s="36">
        <f>15/16</f>
        <v>0.9375</v>
      </c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26"/>
      <c r="BF321" s="26"/>
      <c r="BG321" s="39">
        <v>1</v>
      </c>
      <c r="BH321" s="38"/>
      <c r="BI321" s="38"/>
      <c r="BJ321" s="38"/>
      <c r="BK321" s="38"/>
      <c r="BL321" s="38"/>
      <c r="BM321" s="38"/>
      <c r="BN321" s="38">
        <v>1</v>
      </c>
      <c r="BO321" s="37">
        <f t="shared" si="20"/>
        <v>1</v>
      </c>
      <c r="BP321" s="56">
        <f t="shared" si="21"/>
        <v>0</v>
      </c>
      <c r="BQ321" s="56">
        <f t="shared" si="22"/>
        <v>0</v>
      </c>
      <c r="BR321" s="57">
        <f t="shared" si="23"/>
        <v>1</v>
      </c>
      <c r="BS321" s="38"/>
      <c r="BT321" s="38"/>
      <c r="BU321" s="26"/>
      <c r="BV321" s="26"/>
      <c r="BW321" s="39">
        <f t="shared" si="24"/>
        <v>2</v>
      </c>
      <c r="BX321" s="78">
        <v>2</v>
      </c>
      <c r="BY321" s="63">
        <v>8</v>
      </c>
      <c r="BZ321" s="7"/>
      <c r="CA321" s="8"/>
      <c r="CB321" s="17"/>
      <c r="CC321" s="17"/>
    </row>
    <row r="322" spans="1:81" ht="16" x14ac:dyDescent="0.2">
      <c r="A322" s="109" t="s">
        <v>290</v>
      </c>
      <c r="B322" s="26">
        <v>43</v>
      </c>
      <c r="C322" s="109" t="s">
        <v>142</v>
      </c>
      <c r="D322" s="26">
        <v>1</v>
      </c>
      <c r="E322" s="26">
        <v>2</v>
      </c>
      <c r="F322" s="26">
        <v>2</v>
      </c>
      <c r="G322" s="26" t="s">
        <v>51</v>
      </c>
      <c r="H322" s="26">
        <v>4</v>
      </c>
      <c r="I322" s="26" t="s">
        <v>51</v>
      </c>
      <c r="J322" s="26" t="s">
        <v>41</v>
      </c>
      <c r="L322" s="26">
        <v>5</v>
      </c>
      <c r="M322" s="40"/>
      <c r="N322" s="36"/>
      <c r="O322" s="36"/>
      <c r="P322" s="36"/>
      <c r="Q322" s="36"/>
      <c r="R322" s="36"/>
      <c r="S322" s="36"/>
      <c r="T322" s="36"/>
      <c r="U322" s="36" t="s">
        <v>39</v>
      </c>
      <c r="V322" s="36">
        <f>2/5</f>
        <v>0.4</v>
      </c>
      <c r="W322" s="36"/>
      <c r="X322" s="36"/>
      <c r="Y322" s="36" t="s">
        <v>39</v>
      </c>
      <c r="Z322" s="36">
        <f>5.5/5</f>
        <v>1.1000000000000001</v>
      </c>
      <c r="AA322" s="36" t="s">
        <v>38</v>
      </c>
      <c r="AB322" s="36">
        <f>4/8</f>
        <v>0.5</v>
      </c>
      <c r="AC322" s="36"/>
      <c r="AD322" s="36"/>
      <c r="AE322" s="36"/>
      <c r="AF322" s="36"/>
      <c r="AG322" s="36"/>
      <c r="AH322" s="36"/>
      <c r="AI322" s="36" t="s">
        <v>38</v>
      </c>
      <c r="AJ322" s="36">
        <f>1/5</f>
        <v>0.2</v>
      </c>
      <c r="AK322" s="36"/>
      <c r="AL322" s="36"/>
      <c r="AM322" s="36"/>
      <c r="AN322" s="36"/>
      <c r="AO322" s="36"/>
      <c r="AP322" s="36"/>
      <c r="AQ322" s="36" t="s">
        <v>38</v>
      </c>
      <c r="AR322" s="36">
        <f>3/5</f>
        <v>0.6</v>
      </c>
      <c r="AS322" s="36" t="s">
        <v>38</v>
      </c>
      <c r="AT322" s="36">
        <f>6/5</f>
        <v>1.2</v>
      </c>
      <c r="AU322" s="36"/>
      <c r="AV322" s="36"/>
      <c r="AW322" s="36" t="s">
        <v>38</v>
      </c>
      <c r="AX322" s="36">
        <f>1/5</f>
        <v>0.2</v>
      </c>
      <c r="AY322" s="36"/>
      <c r="AZ322" s="36"/>
      <c r="BA322" s="36"/>
      <c r="BB322" s="36"/>
      <c r="BC322" s="36" t="s">
        <v>39</v>
      </c>
      <c r="BD322" s="36">
        <f>5.5/5</f>
        <v>1.1000000000000001</v>
      </c>
      <c r="BE322" s="26"/>
      <c r="BF322" s="26"/>
      <c r="BG322" s="37">
        <v>1</v>
      </c>
      <c r="BH322" s="26">
        <v>2</v>
      </c>
      <c r="BI322" s="26">
        <v>2</v>
      </c>
      <c r="BJ322" s="26">
        <v>1</v>
      </c>
      <c r="BK322" s="26"/>
      <c r="BL322" s="26"/>
      <c r="BM322" s="26"/>
      <c r="BN322" s="26"/>
      <c r="BO322" s="37">
        <f t="shared" ref="BO322:BO376" si="25">BG322+BI322+BU322</f>
        <v>3</v>
      </c>
      <c r="BP322" s="56">
        <f t="shared" ref="BP322:BP376" si="26">BH322+BJ322</f>
        <v>3</v>
      </c>
      <c r="BQ322" s="56">
        <f t="shared" ref="BQ322:BQ376" si="27">BK322+BM322+BV322+BS322</f>
        <v>0</v>
      </c>
      <c r="BR322" s="57">
        <f t="shared" ref="BR322:BR376" si="28">BL322+BN322+BT322</f>
        <v>0</v>
      </c>
      <c r="BS322" s="38"/>
      <c r="BT322" s="38"/>
      <c r="BU322" s="26"/>
      <c r="BV322" s="26"/>
      <c r="BW322" s="39">
        <f t="shared" ref="BW322:BW380" si="29">SUM(BO322:BR322)</f>
        <v>6</v>
      </c>
      <c r="BX322" s="78">
        <v>2</v>
      </c>
      <c r="BY322" s="63">
        <v>10</v>
      </c>
      <c r="BZ322" s="7"/>
      <c r="CA322" s="8"/>
      <c r="CB322" s="7"/>
      <c r="CC322" s="7"/>
    </row>
    <row r="323" spans="1:81" ht="16" x14ac:dyDescent="0.2">
      <c r="A323" s="109" t="s">
        <v>290</v>
      </c>
      <c r="B323" s="26">
        <v>43</v>
      </c>
      <c r="C323" s="109" t="s">
        <v>142</v>
      </c>
      <c r="D323" s="26">
        <v>2</v>
      </c>
      <c r="E323" s="26">
        <v>2</v>
      </c>
      <c r="F323" s="26">
        <v>2</v>
      </c>
      <c r="G323" s="26" t="s">
        <v>51</v>
      </c>
      <c r="H323" s="26">
        <v>5</v>
      </c>
      <c r="I323" s="26" t="s">
        <v>50</v>
      </c>
      <c r="J323" s="26" t="s">
        <v>37</v>
      </c>
      <c r="L323" s="26">
        <v>5</v>
      </c>
      <c r="M323" s="40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 t="s">
        <v>57</v>
      </c>
      <c r="AH323" s="36">
        <f>8/8</f>
        <v>1</v>
      </c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 t="s">
        <v>39</v>
      </c>
      <c r="AX323" s="36">
        <f>6/8</f>
        <v>0.75</v>
      </c>
      <c r="AY323" s="36"/>
      <c r="AZ323" s="36"/>
      <c r="BA323" s="36"/>
      <c r="BB323" s="36"/>
      <c r="BC323" s="36"/>
      <c r="BD323" s="36"/>
      <c r="BE323" s="26"/>
      <c r="BF323" s="26"/>
      <c r="BG323" s="37"/>
      <c r="BH323" s="26"/>
      <c r="BI323" s="26">
        <v>1</v>
      </c>
      <c r="BJ323" s="26"/>
      <c r="BK323" s="26"/>
      <c r="BL323" s="26"/>
      <c r="BM323" s="26">
        <v>1</v>
      </c>
      <c r="BN323" s="26"/>
      <c r="BO323" s="37">
        <f t="shared" si="25"/>
        <v>1</v>
      </c>
      <c r="BP323" s="56">
        <f t="shared" si="26"/>
        <v>0</v>
      </c>
      <c r="BQ323" s="56">
        <f t="shared" si="27"/>
        <v>1</v>
      </c>
      <c r="BR323" s="57">
        <f t="shared" si="28"/>
        <v>0</v>
      </c>
      <c r="BS323" s="38"/>
      <c r="BT323" s="38"/>
      <c r="BU323" s="26"/>
      <c r="BV323" s="26"/>
      <c r="BW323" s="39">
        <f t="shared" si="29"/>
        <v>2</v>
      </c>
      <c r="BX323" s="78">
        <v>2</v>
      </c>
      <c r="BY323" s="63">
        <v>9</v>
      </c>
      <c r="BZ323" s="7"/>
      <c r="CA323" s="8"/>
      <c r="CB323" s="7"/>
      <c r="CC323" s="7"/>
    </row>
    <row r="324" spans="1:81" ht="16" x14ac:dyDescent="0.2">
      <c r="A324" s="109" t="s">
        <v>290</v>
      </c>
      <c r="B324" s="26">
        <v>43</v>
      </c>
      <c r="C324" s="109" t="s">
        <v>142</v>
      </c>
      <c r="D324" s="26">
        <v>3</v>
      </c>
      <c r="E324" s="26">
        <v>2</v>
      </c>
      <c r="F324" s="26">
        <v>4</v>
      </c>
      <c r="G324" s="26" t="s">
        <v>50</v>
      </c>
      <c r="H324" s="26">
        <v>8</v>
      </c>
      <c r="I324" s="26" t="s">
        <v>51</v>
      </c>
      <c r="J324" s="26"/>
      <c r="K324" s="26">
        <v>8</v>
      </c>
      <c r="L324" s="26">
        <v>7</v>
      </c>
      <c r="M324" s="40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 t="s">
        <v>38</v>
      </c>
      <c r="AL324" s="36">
        <f>8/8</f>
        <v>1</v>
      </c>
      <c r="AM324" s="36"/>
      <c r="AN324" s="36"/>
      <c r="AO324" s="36" t="s">
        <v>38</v>
      </c>
      <c r="AP324" s="36">
        <f>7.5/8</f>
        <v>0.9375</v>
      </c>
      <c r="AQ324" s="36" t="s">
        <v>39</v>
      </c>
      <c r="AR324" s="36">
        <f>6.5/8</f>
        <v>0.8125</v>
      </c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26"/>
      <c r="BF324" s="26"/>
      <c r="BG324" s="37">
        <v>2</v>
      </c>
      <c r="BH324" s="26"/>
      <c r="BI324" s="26">
        <v>1</v>
      </c>
      <c r="BJ324" s="26"/>
      <c r="BK324" s="26"/>
      <c r="BL324" s="26"/>
      <c r="BM324" s="26"/>
      <c r="BN324" s="26"/>
      <c r="BO324" s="37">
        <f t="shared" si="25"/>
        <v>3</v>
      </c>
      <c r="BP324" s="56">
        <f t="shared" si="26"/>
        <v>0</v>
      </c>
      <c r="BQ324" s="56">
        <f t="shared" si="27"/>
        <v>0</v>
      </c>
      <c r="BR324" s="57">
        <f t="shared" si="28"/>
        <v>0</v>
      </c>
      <c r="BS324" s="38"/>
      <c r="BT324" s="38"/>
      <c r="BU324" s="26"/>
      <c r="BV324" s="26"/>
      <c r="BW324" s="39">
        <f t="shared" si="29"/>
        <v>3</v>
      </c>
      <c r="BX324" s="78">
        <v>1</v>
      </c>
      <c r="BY324" s="63">
        <v>1</v>
      </c>
      <c r="BZ324" s="7"/>
      <c r="CA324" s="8"/>
      <c r="CB324" s="7"/>
      <c r="CC324" s="7"/>
    </row>
    <row r="325" spans="1:81" ht="16" x14ac:dyDescent="0.2">
      <c r="A325" s="109" t="s">
        <v>290</v>
      </c>
      <c r="B325" s="26">
        <v>43</v>
      </c>
      <c r="C325" s="109" t="s">
        <v>142</v>
      </c>
      <c r="D325" s="26">
        <v>4</v>
      </c>
      <c r="E325" s="26">
        <v>2</v>
      </c>
      <c r="F325" s="26">
        <v>3</v>
      </c>
      <c r="G325" s="26" t="s">
        <v>50</v>
      </c>
      <c r="H325" s="26">
        <v>5</v>
      </c>
      <c r="I325" s="26" t="s">
        <v>51</v>
      </c>
      <c r="J325" s="26"/>
      <c r="K325" s="38" t="s">
        <v>63</v>
      </c>
      <c r="L325" s="26">
        <v>7</v>
      </c>
      <c r="M325" s="40"/>
      <c r="N325" s="36"/>
      <c r="O325" s="36" t="s">
        <v>39</v>
      </c>
      <c r="P325" s="36">
        <f>3/8</f>
        <v>0.375</v>
      </c>
      <c r="Q325" s="36"/>
      <c r="R325" s="36"/>
      <c r="S325" s="36"/>
      <c r="T325" s="36"/>
      <c r="U325" s="36"/>
      <c r="V325" s="36"/>
      <c r="W325" s="36"/>
      <c r="X325" s="36"/>
      <c r="Y325" s="36" t="s">
        <v>38</v>
      </c>
      <c r="Z325" s="36">
        <f>5.5/8</f>
        <v>0.6875</v>
      </c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 t="s">
        <v>39</v>
      </c>
      <c r="AL325" s="36">
        <f>8/8</f>
        <v>1</v>
      </c>
      <c r="AM325" s="36"/>
      <c r="AN325" s="36"/>
      <c r="AO325" s="36" t="s">
        <v>38</v>
      </c>
      <c r="AP325" s="36">
        <f>7/8</f>
        <v>0.875</v>
      </c>
      <c r="AQ325" s="36"/>
      <c r="AR325" s="36"/>
      <c r="AS325" s="36" t="s">
        <v>38</v>
      </c>
      <c r="AT325" s="36">
        <f>6/8</f>
        <v>0.75</v>
      </c>
      <c r="AU325" s="36" t="s">
        <v>57</v>
      </c>
      <c r="AV325" s="36">
        <f>9/8</f>
        <v>1.125</v>
      </c>
      <c r="AW325" s="36"/>
      <c r="AX325" s="36"/>
      <c r="AY325" s="36" t="s">
        <v>38</v>
      </c>
      <c r="AZ325" s="36">
        <f>7.5/8</f>
        <v>0.9375</v>
      </c>
      <c r="BA325" s="36" t="s">
        <v>39</v>
      </c>
      <c r="BB325" s="36">
        <f>3/8</f>
        <v>0.375</v>
      </c>
      <c r="BC325" s="36"/>
      <c r="BD325" s="36"/>
      <c r="BE325" s="26"/>
      <c r="BF325" s="26"/>
      <c r="BG325" s="37">
        <v>3</v>
      </c>
      <c r="BH325" s="26">
        <v>1</v>
      </c>
      <c r="BI325" s="26">
        <v>1</v>
      </c>
      <c r="BJ325" s="26">
        <v>2</v>
      </c>
      <c r="BK325" s="26"/>
      <c r="BL325" s="26"/>
      <c r="BM325" s="26">
        <v>1</v>
      </c>
      <c r="BN325" s="26"/>
      <c r="BO325" s="37">
        <f t="shared" si="25"/>
        <v>4</v>
      </c>
      <c r="BP325" s="56">
        <f t="shared" si="26"/>
        <v>3</v>
      </c>
      <c r="BQ325" s="56">
        <f t="shared" si="27"/>
        <v>1</v>
      </c>
      <c r="BR325" s="57">
        <f t="shared" si="28"/>
        <v>0</v>
      </c>
      <c r="BS325" s="38"/>
      <c r="BT325" s="38"/>
      <c r="BU325" s="26"/>
      <c r="BV325" s="26"/>
      <c r="BW325" s="39">
        <f t="shared" si="29"/>
        <v>8</v>
      </c>
      <c r="BX325" s="78">
        <v>2</v>
      </c>
      <c r="BY325" s="63">
        <v>2</v>
      </c>
      <c r="BZ325" s="7"/>
      <c r="CA325" s="8"/>
      <c r="CB325" s="7"/>
      <c r="CC325" s="7"/>
    </row>
    <row r="326" spans="1:81" ht="16" x14ac:dyDescent="0.2">
      <c r="A326" s="109" t="s">
        <v>291</v>
      </c>
      <c r="B326" s="26">
        <v>40</v>
      </c>
      <c r="C326" s="109" t="s">
        <v>143</v>
      </c>
      <c r="D326" s="26">
        <v>1</v>
      </c>
      <c r="E326" s="26">
        <v>2</v>
      </c>
      <c r="F326" s="26">
        <v>2</v>
      </c>
      <c r="G326" s="26" t="s">
        <v>51</v>
      </c>
      <c r="H326" s="26">
        <v>4</v>
      </c>
      <c r="I326" s="26" t="s">
        <v>51</v>
      </c>
      <c r="J326" s="26"/>
      <c r="K326" s="26">
        <v>8</v>
      </c>
      <c r="L326" s="26">
        <v>6</v>
      </c>
      <c r="M326" s="40"/>
      <c r="N326" s="36"/>
      <c r="O326" s="36"/>
      <c r="P326" s="36"/>
      <c r="Q326" s="36"/>
      <c r="R326" s="36"/>
      <c r="S326" s="36"/>
      <c r="T326" s="36"/>
      <c r="U326" s="36" t="s">
        <v>39</v>
      </c>
      <c r="V326" s="36">
        <f>2/7</f>
        <v>0.2857142857142857</v>
      </c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 t="s">
        <v>38</v>
      </c>
      <c r="AH326" s="36">
        <f>2/7</f>
        <v>0.2857142857142857</v>
      </c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 t="s">
        <v>39</v>
      </c>
      <c r="AX326" s="36">
        <f>5/7</f>
        <v>0.7142857142857143</v>
      </c>
      <c r="AY326" s="36"/>
      <c r="AZ326" s="36"/>
      <c r="BA326" s="36"/>
      <c r="BB326" s="36"/>
      <c r="BC326" s="36"/>
      <c r="BD326" s="36"/>
      <c r="BE326" s="26"/>
      <c r="BF326" s="26"/>
      <c r="BG326" s="37"/>
      <c r="BH326" s="26"/>
      <c r="BI326" s="26">
        <v>1</v>
      </c>
      <c r="BJ326" s="26"/>
      <c r="BK326" s="26"/>
      <c r="BL326" s="26"/>
      <c r="BM326" s="26"/>
      <c r="BN326" s="26"/>
      <c r="BO326" s="37">
        <f t="shared" si="25"/>
        <v>1</v>
      </c>
      <c r="BP326" s="56">
        <f t="shared" si="26"/>
        <v>0</v>
      </c>
      <c r="BQ326" s="56">
        <f t="shared" si="27"/>
        <v>0</v>
      </c>
      <c r="BR326" s="57">
        <f t="shared" si="28"/>
        <v>0</v>
      </c>
      <c r="BS326" s="38"/>
      <c r="BT326" s="38"/>
      <c r="BU326" s="26"/>
      <c r="BV326" s="26"/>
      <c r="BW326" s="39">
        <f t="shared" si="29"/>
        <v>1</v>
      </c>
      <c r="BX326" s="78">
        <v>1</v>
      </c>
      <c r="BY326" s="63">
        <v>1</v>
      </c>
      <c r="CB326" s="7"/>
      <c r="CC326" s="7"/>
    </row>
    <row r="327" spans="1:81" ht="16" x14ac:dyDescent="0.2">
      <c r="A327" s="109" t="s">
        <v>291</v>
      </c>
      <c r="B327" s="26">
        <v>40</v>
      </c>
      <c r="C327" s="109" t="s">
        <v>143</v>
      </c>
      <c r="D327" s="26">
        <v>2</v>
      </c>
      <c r="E327" s="26">
        <v>2</v>
      </c>
      <c r="F327" s="26" t="s">
        <v>53</v>
      </c>
      <c r="G327" s="26" t="s">
        <v>50</v>
      </c>
      <c r="H327" s="26"/>
      <c r="I327" s="26"/>
      <c r="J327" s="26"/>
      <c r="K327" s="26">
        <v>8</v>
      </c>
      <c r="L327" s="26">
        <v>6</v>
      </c>
      <c r="M327" s="40"/>
      <c r="N327" s="36"/>
      <c r="O327" s="36" t="s">
        <v>57</v>
      </c>
      <c r="P327" s="36">
        <f>3/7</f>
        <v>0.42857142857142855</v>
      </c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 t="s">
        <v>57</v>
      </c>
      <c r="AB327" s="36">
        <f>2.5/7</f>
        <v>0.35714285714285715</v>
      </c>
      <c r="AC327" s="36" t="s">
        <v>38</v>
      </c>
      <c r="AD327" s="36">
        <f>3/7</f>
        <v>0.42857142857142855</v>
      </c>
      <c r="AE327" s="36" t="s">
        <v>38</v>
      </c>
      <c r="AF327" s="36">
        <f>2/7</f>
        <v>0.2857142857142857</v>
      </c>
      <c r="AG327" s="36" t="s">
        <v>38</v>
      </c>
      <c r="AH327" s="36">
        <f>2/7</f>
        <v>0.2857142857142857</v>
      </c>
      <c r="AI327" s="36"/>
      <c r="AJ327" s="36"/>
      <c r="AK327" s="36" t="s">
        <v>39</v>
      </c>
      <c r="AL327" s="36">
        <f>3/7</f>
        <v>0.42857142857142855</v>
      </c>
      <c r="AM327" s="36" t="s">
        <v>39</v>
      </c>
      <c r="AN327" s="36">
        <f>3/7</f>
        <v>0.42857142857142855</v>
      </c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26"/>
      <c r="BF327" s="26"/>
      <c r="BG327" s="37"/>
      <c r="BH327" s="26">
        <v>1</v>
      </c>
      <c r="BI327" s="26"/>
      <c r="BJ327" s="26">
        <v>2</v>
      </c>
      <c r="BK327" s="26"/>
      <c r="BL327" s="26"/>
      <c r="BM327" s="26"/>
      <c r="BN327" s="26">
        <v>2</v>
      </c>
      <c r="BO327" s="37">
        <f t="shared" si="25"/>
        <v>0</v>
      </c>
      <c r="BP327" s="56">
        <f t="shared" si="26"/>
        <v>3</v>
      </c>
      <c r="BQ327" s="56">
        <f t="shared" si="27"/>
        <v>0</v>
      </c>
      <c r="BR327" s="57">
        <f t="shared" si="28"/>
        <v>2</v>
      </c>
      <c r="BS327" s="38"/>
      <c r="BT327" s="38"/>
      <c r="BU327" s="26"/>
      <c r="BV327" s="26"/>
      <c r="BW327" s="39">
        <f t="shared" si="29"/>
        <v>5</v>
      </c>
      <c r="BX327" s="78">
        <v>4</v>
      </c>
      <c r="BY327" s="63">
        <v>1</v>
      </c>
      <c r="BZ327" s="7"/>
      <c r="CA327" s="8"/>
      <c r="CB327" s="7"/>
      <c r="CC327" s="7"/>
    </row>
    <row r="328" spans="1:81" ht="16" x14ac:dyDescent="0.2">
      <c r="A328" s="109" t="s">
        <v>291</v>
      </c>
      <c r="B328" s="26">
        <v>40</v>
      </c>
      <c r="C328" s="109" t="s">
        <v>143</v>
      </c>
      <c r="D328" s="26">
        <v>3</v>
      </c>
      <c r="E328" s="26">
        <v>2</v>
      </c>
      <c r="F328" s="26">
        <v>2</v>
      </c>
      <c r="G328" s="26" t="s">
        <v>51</v>
      </c>
      <c r="H328" s="26">
        <v>4</v>
      </c>
      <c r="I328" s="26" t="s">
        <v>51</v>
      </c>
      <c r="J328" s="26" t="s">
        <v>60</v>
      </c>
      <c r="K328" s="26"/>
      <c r="L328" s="26">
        <v>5</v>
      </c>
      <c r="M328" s="40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 t="s">
        <v>39</v>
      </c>
      <c r="AP328" s="36">
        <f>7/7</f>
        <v>1</v>
      </c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 t="s">
        <v>39</v>
      </c>
      <c r="BB328" s="36">
        <f>7/7</f>
        <v>1</v>
      </c>
      <c r="BC328" s="36"/>
      <c r="BD328" s="36"/>
      <c r="BE328" s="26" t="s">
        <v>39</v>
      </c>
      <c r="BF328" s="26" t="s">
        <v>46</v>
      </c>
      <c r="BG328" s="37"/>
      <c r="BH328" s="26"/>
      <c r="BI328" s="26">
        <v>2</v>
      </c>
      <c r="BJ328" s="26"/>
      <c r="BK328" s="26"/>
      <c r="BL328" s="26"/>
      <c r="BM328" s="26"/>
      <c r="BN328" s="26"/>
      <c r="BO328" s="37">
        <f t="shared" si="25"/>
        <v>3</v>
      </c>
      <c r="BP328" s="56">
        <f t="shared" si="26"/>
        <v>0</v>
      </c>
      <c r="BQ328" s="56">
        <f t="shared" si="27"/>
        <v>0</v>
      </c>
      <c r="BR328" s="57">
        <f t="shared" si="28"/>
        <v>0</v>
      </c>
      <c r="BS328" s="38"/>
      <c r="BT328" s="38"/>
      <c r="BU328" s="26">
        <v>1</v>
      </c>
      <c r="BV328" s="26"/>
      <c r="BW328" s="39">
        <f t="shared" si="29"/>
        <v>3</v>
      </c>
      <c r="BX328" s="78">
        <v>1</v>
      </c>
      <c r="BY328" s="63">
        <v>7</v>
      </c>
      <c r="BZ328" s="7"/>
      <c r="CA328" s="8"/>
      <c r="CC328" s="7"/>
    </row>
    <row r="329" spans="1:81" ht="16" x14ac:dyDescent="0.2">
      <c r="A329" s="109" t="s">
        <v>291</v>
      </c>
      <c r="B329" s="26">
        <v>40</v>
      </c>
      <c r="C329" s="109" t="s">
        <v>143</v>
      </c>
      <c r="D329" s="26">
        <v>4</v>
      </c>
      <c r="E329" s="26">
        <v>2</v>
      </c>
      <c r="F329" s="26">
        <v>2</v>
      </c>
      <c r="G329" s="26" t="s">
        <v>51</v>
      </c>
      <c r="H329" s="26">
        <v>5</v>
      </c>
      <c r="I329" s="26" t="s">
        <v>56</v>
      </c>
      <c r="J329" s="26" t="s">
        <v>60</v>
      </c>
      <c r="K329" s="26"/>
      <c r="L329" s="26">
        <v>5</v>
      </c>
      <c r="M329" s="40" t="s">
        <v>39</v>
      </c>
      <c r="N329" s="36">
        <v>1</v>
      </c>
      <c r="O329" s="36" t="s">
        <v>39</v>
      </c>
      <c r="P329" s="36">
        <v>1</v>
      </c>
      <c r="Q329" s="36"/>
      <c r="R329" s="36"/>
      <c r="S329" s="36" t="s">
        <v>38</v>
      </c>
      <c r="T329" s="36">
        <f>3/7</f>
        <v>0.42857142857142855</v>
      </c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 t="s">
        <v>39</v>
      </c>
      <c r="AP329" s="36">
        <f>2/7</f>
        <v>0.2857142857142857</v>
      </c>
      <c r="AQ329" s="36" t="s">
        <v>38</v>
      </c>
      <c r="AR329" s="36">
        <f>6.5/7</f>
        <v>0.9285714285714286</v>
      </c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26"/>
      <c r="BF329" s="26"/>
      <c r="BG329" s="37">
        <v>1</v>
      </c>
      <c r="BH329" s="26">
        <v>1</v>
      </c>
      <c r="BI329" s="26">
        <v>2</v>
      </c>
      <c r="BJ329" s="26"/>
      <c r="BK329" s="26"/>
      <c r="BL329" s="26"/>
      <c r="BM329" s="26"/>
      <c r="BN329" s="26"/>
      <c r="BO329" s="37">
        <f t="shared" si="25"/>
        <v>3</v>
      </c>
      <c r="BP329" s="56">
        <f t="shared" si="26"/>
        <v>1</v>
      </c>
      <c r="BQ329" s="56">
        <f t="shared" si="27"/>
        <v>0</v>
      </c>
      <c r="BR329" s="57">
        <f t="shared" si="28"/>
        <v>0</v>
      </c>
      <c r="BS329" s="38"/>
      <c r="BT329" s="38"/>
      <c r="BU329" s="26"/>
      <c r="BV329" s="26"/>
      <c r="BW329" s="39">
        <f t="shared" si="29"/>
        <v>4</v>
      </c>
      <c r="BX329" s="78">
        <v>2</v>
      </c>
      <c r="BY329" s="63">
        <v>7</v>
      </c>
      <c r="CB329" s="7"/>
      <c r="CC329" s="7"/>
    </row>
    <row r="330" spans="1:81" ht="16" x14ac:dyDescent="0.2">
      <c r="A330" s="109" t="s">
        <v>291</v>
      </c>
      <c r="B330" s="26">
        <v>40</v>
      </c>
      <c r="C330" s="109" t="s">
        <v>143</v>
      </c>
      <c r="D330" s="26">
        <v>5</v>
      </c>
      <c r="E330" s="26">
        <v>2</v>
      </c>
      <c r="F330" s="26">
        <v>2</v>
      </c>
      <c r="G330" s="26" t="s">
        <v>51</v>
      </c>
      <c r="H330" s="26">
        <v>4</v>
      </c>
      <c r="I330" s="26" t="s">
        <v>51</v>
      </c>
      <c r="J330" s="26" t="s">
        <v>41</v>
      </c>
      <c r="K330" s="26"/>
      <c r="L330" s="26">
        <v>5</v>
      </c>
      <c r="M330" s="40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 t="s">
        <v>39</v>
      </c>
      <c r="AB330" s="36">
        <f>5/7</f>
        <v>0.7142857142857143</v>
      </c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26"/>
      <c r="BF330" s="26"/>
      <c r="BG330" s="37"/>
      <c r="BH330" s="26"/>
      <c r="BI330" s="26">
        <v>1</v>
      </c>
      <c r="BJ330" s="26"/>
      <c r="BK330" s="26"/>
      <c r="BL330" s="26"/>
      <c r="BM330" s="26"/>
      <c r="BN330" s="26"/>
      <c r="BO330" s="37">
        <f t="shared" si="25"/>
        <v>1</v>
      </c>
      <c r="BP330" s="56">
        <f t="shared" si="26"/>
        <v>0</v>
      </c>
      <c r="BQ330" s="56">
        <f t="shared" si="27"/>
        <v>0</v>
      </c>
      <c r="BR330" s="57">
        <f t="shared" si="28"/>
        <v>0</v>
      </c>
      <c r="BS330" s="38"/>
      <c r="BT330" s="38"/>
      <c r="BU330" s="26"/>
      <c r="BV330" s="26"/>
      <c r="BW330" s="39">
        <f t="shared" si="29"/>
        <v>1</v>
      </c>
      <c r="BX330" s="78">
        <v>1</v>
      </c>
      <c r="BY330" s="63">
        <v>10</v>
      </c>
      <c r="BZ330" s="7"/>
      <c r="CA330" s="8"/>
      <c r="CB330" s="7"/>
      <c r="CC330" s="7"/>
    </row>
    <row r="331" spans="1:81" ht="16" x14ac:dyDescent="0.2">
      <c r="A331" s="109" t="s">
        <v>291</v>
      </c>
      <c r="B331" s="26">
        <v>40</v>
      </c>
      <c r="C331" s="109" t="s">
        <v>143</v>
      </c>
      <c r="D331" s="26">
        <v>6</v>
      </c>
      <c r="E331" s="26">
        <v>2</v>
      </c>
      <c r="F331" s="26">
        <v>2</v>
      </c>
      <c r="G331" s="26" t="s">
        <v>51</v>
      </c>
      <c r="H331" s="26">
        <v>5</v>
      </c>
      <c r="I331" s="26" t="s">
        <v>56</v>
      </c>
      <c r="J331" s="26"/>
      <c r="K331" s="38" t="s">
        <v>63</v>
      </c>
      <c r="L331" s="26">
        <v>6</v>
      </c>
      <c r="M331" s="40" t="s">
        <v>70</v>
      </c>
      <c r="N331" s="36">
        <f>4.5/7</f>
        <v>0.6428571428571429</v>
      </c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 t="s">
        <v>61</v>
      </c>
      <c r="AB331" s="36">
        <v>0.56999999999999995</v>
      </c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 t="s">
        <v>38</v>
      </c>
      <c r="AR331" s="36">
        <f>7/7</f>
        <v>1</v>
      </c>
      <c r="AS331" s="36"/>
      <c r="AT331" s="36"/>
      <c r="AU331" s="36"/>
      <c r="AV331" s="36"/>
      <c r="AW331" s="36"/>
      <c r="AX331" s="36"/>
      <c r="AY331" s="36"/>
      <c r="AZ331" s="36"/>
      <c r="BA331" s="36" t="s">
        <v>38</v>
      </c>
      <c r="BB331" s="36">
        <f>7/7</f>
        <v>1</v>
      </c>
      <c r="BC331" s="36"/>
      <c r="BD331" s="36"/>
      <c r="BE331" s="26"/>
      <c r="BF331" s="26"/>
      <c r="BG331" s="37">
        <v>2</v>
      </c>
      <c r="BH331" s="26"/>
      <c r="BI331" s="26"/>
      <c r="BJ331" s="26"/>
      <c r="BK331" s="26"/>
      <c r="BL331" s="26"/>
      <c r="BM331" s="26"/>
      <c r="BN331" s="26"/>
      <c r="BO331" s="37">
        <f t="shared" si="25"/>
        <v>2</v>
      </c>
      <c r="BP331" s="56">
        <f t="shared" si="26"/>
        <v>0</v>
      </c>
      <c r="BQ331" s="56">
        <f t="shared" si="27"/>
        <v>1</v>
      </c>
      <c r="BR331" s="57">
        <f t="shared" si="28"/>
        <v>0</v>
      </c>
      <c r="BS331" s="38">
        <v>1</v>
      </c>
      <c r="BT331" s="38"/>
      <c r="BU331" s="26"/>
      <c r="BV331" s="26"/>
      <c r="BW331" s="39">
        <f t="shared" si="29"/>
        <v>3</v>
      </c>
      <c r="BX331" s="78">
        <v>2</v>
      </c>
      <c r="BY331" s="63">
        <v>2</v>
      </c>
      <c r="BZ331" s="7"/>
      <c r="CA331" s="8"/>
      <c r="CB331" s="7"/>
      <c r="CC331" s="7"/>
    </row>
    <row r="332" spans="1:81" ht="16" x14ac:dyDescent="0.2">
      <c r="A332" s="109" t="s">
        <v>291</v>
      </c>
      <c r="B332" s="26">
        <v>40</v>
      </c>
      <c r="C332" s="109" t="s">
        <v>143</v>
      </c>
      <c r="D332" s="26">
        <v>7</v>
      </c>
      <c r="E332" s="26">
        <v>2</v>
      </c>
      <c r="F332" s="26">
        <v>2</v>
      </c>
      <c r="G332" s="26" t="s">
        <v>51</v>
      </c>
      <c r="H332" s="26">
        <v>5</v>
      </c>
      <c r="I332" s="26" t="s">
        <v>56</v>
      </c>
      <c r="J332" s="26"/>
      <c r="K332" s="26">
        <v>10</v>
      </c>
      <c r="L332" s="26">
        <v>6</v>
      </c>
      <c r="M332" s="40"/>
      <c r="N332" s="36"/>
      <c r="O332" s="36" t="s">
        <v>38</v>
      </c>
      <c r="P332" s="36">
        <f>3/7</f>
        <v>0.42857142857142855</v>
      </c>
      <c r="Q332" s="36"/>
      <c r="R332" s="36"/>
      <c r="S332" s="36"/>
      <c r="T332" s="36"/>
      <c r="U332" s="36"/>
      <c r="V332" s="36"/>
      <c r="W332" s="36" t="s">
        <v>38</v>
      </c>
      <c r="X332" s="36">
        <f>2/7</f>
        <v>0.2857142857142857</v>
      </c>
      <c r="Y332" s="36"/>
      <c r="Z332" s="36"/>
      <c r="AA332" s="36"/>
      <c r="AB332" s="36"/>
      <c r="AC332" s="36"/>
      <c r="AD332" s="36"/>
      <c r="AE332" s="36" t="s">
        <v>38</v>
      </c>
      <c r="AF332" s="36">
        <f>6.5/7</f>
        <v>0.9285714285714286</v>
      </c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26"/>
      <c r="BF332" s="26"/>
      <c r="BG332" s="37">
        <v>1</v>
      </c>
      <c r="BH332" s="26">
        <v>1</v>
      </c>
      <c r="BI332" s="26"/>
      <c r="BJ332" s="26"/>
      <c r="BK332" s="26"/>
      <c r="BL332" s="26"/>
      <c r="BM332" s="26"/>
      <c r="BN332" s="26"/>
      <c r="BO332" s="37">
        <f t="shared" si="25"/>
        <v>1</v>
      </c>
      <c r="BP332" s="56">
        <f t="shared" si="26"/>
        <v>1</v>
      </c>
      <c r="BQ332" s="56">
        <f t="shared" si="27"/>
        <v>0</v>
      </c>
      <c r="BR332" s="57">
        <f t="shared" si="28"/>
        <v>0</v>
      </c>
      <c r="BS332" s="38"/>
      <c r="BT332" s="38"/>
      <c r="BU332" s="26"/>
      <c r="BV332" s="26"/>
      <c r="BW332" s="39">
        <f t="shared" si="29"/>
        <v>2</v>
      </c>
      <c r="BX332" s="78">
        <v>2</v>
      </c>
      <c r="BY332" s="63">
        <v>1</v>
      </c>
      <c r="BZ332" s="7"/>
      <c r="CA332" s="8"/>
      <c r="CB332" s="7"/>
      <c r="CC332" s="7"/>
    </row>
    <row r="333" spans="1:81" ht="16" x14ac:dyDescent="0.2">
      <c r="A333" s="109" t="s">
        <v>291</v>
      </c>
      <c r="B333" s="26">
        <v>40</v>
      </c>
      <c r="C333" s="109" t="s">
        <v>143</v>
      </c>
      <c r="D333" s="26">
        <v>8</v>
      </c>
      <c r="E333" s="26">
        <v>2</v>
      </c>
      <c r="F333" s="26" t="s">
        <v>53</v>
      </c>
      <c r="G333" s="26" t="s">
        <v>50</v>
      </c>
      <c r="H333" s="26"/>
      <c r="I333" s="26"/>
      <c r="J333" s="26"/>
      <c r="K333" s="26">
        <v>10</v>
      </c>
      <c r="L333" s="26">
        <v>6</v>
      </c>
      <c r="M333" s="40"/>
      <c r="N333" s="36"/>
      <c r="O333" s="36"/>
      <c r="P333" s="36"/>
      <c r="Q333" s="36"/>
      <c r="R333" s="36"/>
      <c r="S333" s="36"/>
      <c r="T333" s="36"/>
      <c r="U333" s="36" t="s">
        <v>43</v>
      </c>
      <c r="V333" s="36">
        <f>4.5/8</f>
        <v>0.5625</v>
      </c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 t="s">
        <v>39</v>
      </c>
      <c r="AJ333" s="36">
        <f>3/8</f>
        <v>0.375</v>
      </c>
      <c r="AK333" s="36"/>
      <c r="AL333" s="36"/>
      <c r="AM333" s="36"/>
      <c r="AN333" s="36"/>
      <c r="AO333" s="36"/>
      <c r="AP333" s="36"/>
      <c r="AQ333" s="36" t="s">
        <v>39</v>
      </c>
      <c r="AR333" s="36">
        <f>2.5/8</f>
        <v>0.3125</v>
      </c>
      <c r="AS333" s="36" t="s">
        <v>38</v>
      </c>
      <c r="AT333" s="36">
        <f>3/8</f>
        <v>0.375</v>
      </c>
      <c r="AU333" s="36"/>
      <c r="AV333" s="36"/>
      <c r="AW333" s="36" t="s">
        <v>39</v>
      </c>
      <c r="AX333" s="36">
        <f>4.5/8</f>
        <v>0.5625</v>
      </c>
      <c r="AY333" s="36"/>
      <c r="AZ333" s="36"/>
      <c r="BA333" s="36"/>
      <c r="BB333" s="36"/>
      <c r="BC333" s="36"/>
      <c r="BD333" s="36"/>
      <c r="BE333" s="26"/>
      <c r="BF333" s="26"/>
      <c r="BG333" s="37"/>
      <c r="BH333" s="26">
        <v>1</v>
      </c>
      <c r="BI333" s="26"/>
      <c r="BJ333" s="26">
        <v>3</v>
      </c>
      <c r="BK333" s="26"/>
      <c r="BL333" s="26"/>
      <c r="BM333" s="26"/>
      <c r="BN333" s="26"/>
      <c r="BO333" s="37">
        <f t="shared" si="25"/>
        <v>0</v>
      </c>
      <c r="BP333" s="56">
        <f t="shared" si="26"/>
        <v>4</v>
      </c>
      <c r="BQ333" s="56">
        <f t="shared" si="27"/>
        <v>1</v>
      </c>
      <c r="BR333" s="57">
        <f t="shared" si="28"/>
        <v>0</v>
      </c>
      <c r="BS333" s="38">
        <v>1</v>
      </c>
      <c r="BT333" s="38"/>
      <c r="BU333" s="26"/>
      <c r="BV333" s="26"/>
      <c r="BW333" s="39">
        <f t="shared" si="29"/>
        <v>5</v>
      </c>
      <c r="BX333" s="78">
        <v>4</v>
      </c>
      <c r="BY333" s="63">
        <v>1</v>
      </c>
      <c r="BZ333" s="7"/>
      <c r="CA333" s="8"/>
      <c r="CB333" s="7"/>
      <c r="CC333" s="7"/>
    </row>
    <row r="334" spans="1:81" ht="16" x14ac:dyDescent="0.2">
      <c r="A334" s="111" t="s">
        <v>292</v>
      </c>
      <c r="B334" s="26">
        <v>43</v>
      </c>
      <c r="C334" s="109" t="s">
        <v>144</v>
      </c>
      <c r="D334" s="26">
        <v>1</v>
      </c>
      <c r="E334" s="26">
        <v>2</v>
      </c>
      <c r="F334" s="26"/>
      <c r="G334" s="26"/>
      <c r="H334" s="26"/>
      <c r="I334" s="26"/>
      <c r="J334" s="26"/>
      <c r="K334" s="26" t="s">
        <v>47</v>
      </c>
      <c r="L334" s="26">
        <v>7</v>
      </c>
      <c r="M334" s="40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 t="s">
        <v>39</v>
      </c>
      <c r="AB334" s="36">
        <f>17.5/20</f>
        <v>0.875</v>
      </c>
      <c r="AC334" s="36"/>
      <c r="AD334" s="36"/>
      <c r="AE334" s="36"/>
      <c r="AF334" s="36"/>
      <c r="AG334" s="36" t="s">
        <v>38</v>
      </c>
      <c r="AH334" s="36">
        <f>18/20</f>
        <v>0.9</v>
      </c>
      <c r="AI334" s="36"/>
      <c r="AJ334" s="36"/>
      <c r="AK334" s="36"/>
      <c r="AL334" s="36"/>
      <c r="AM334" s="36" t="s">
        <v>39</v>
      </c>
      <c r="AN334" s="36">
        <f>18.5/20</f>
        <v>0.92500000000000004</v>
      </c>
      <c r="AO334" s="36" t="s">
        <v>38</v>
      </c>
      <c r="AP334" s="36">
        <f>18/20</f>
        <v>0.9</v>
      </c>
      <c r="AQ334" s="36" t="s">
        <v>38</v>
      </c>
      <c r="AR334" s="36">
        <f>18.5/20</f>
        <v>0.92500000000000004</v>
      </c>
      <c r="AS334" s="36"/>
      <c r="AT334" s="36"/>
      <c r="AU334" s="36"/>
      <c r="AV334" s="36"/>
      <c r="AW334" s="36" t="s">
        <v>38</v>
      </c>
      <c r="AX334" s="36">
        <f>16.5/20</f>
        <v>0.82499999999999996</v>
      </c>
      <c r="AY334" s="36" t="s">
        <v>39</v>
      </c>
      <c r="AZ334" s="36">
        <f>19/20</f>
        <v>0.95</v>
      </c>
      <c r="BA334" s="36" t="s">
        <v>39</v>
      </c>
      <c r="BB334" s="36">
        <f>18.5/20</f>
        <v>0.92500000000000004</v>
      </c>
      <c r="BC334" s="36" t="s">
        <v>39</v>
      </c>
      <c r="BD334" s="36">
        <f>20.5/20</f>
        <v>1.0249999999999999</v>
      </c>
      <c r="BE334" s="26" t="s">
        <v>39</v>
      </c>
      <c r="BF334" s="26" t="s">
        <v>46</v>
      </c>
      <c r="BG334" s="39">
        <v>4</v>
      </c>
      <c r="BH334" s="38"/>
      <c r="BI334" s="38">
        <v>5</v>
      </c>
      <c r="BJ334" s="38"/>
      <c r="BK334" s="38"/>
      <c r="BL334" s="38"/>
      <c r="BM334" s="38"/>
      <c r="BN334" s="38"/>
      <c r="BO334" s="37">
        <f t="shared" si="25"/>
        <v>10</v>
      </c>
      <c r="BP334" s="56">
        <f t="shared" si="26"/>
        <v>0</v>
      </c>
      <c r="BQ334" s="56">
        <f t="shared" si="27"/>
        <v>0</v>
      </c>
      <c r="BR334" s="57">
        <f t="shared" si="28"/>
        <v>0</v>
      </c>
      <c r="BS334" s="38"/>
      <c r="BT334" s="38"/>
      <c r="BU334" s="26">
        <v>1</v>
      </c>
      <c r="BV334" s="26"/>
      <c r="BW334" s="39">
        <f t="shared" si="29"/>
        <v>10</v>
      </c>
      <c r="BX334" s="78">
        <v>1</v>
      </c>
      <c r="BY334" s="63">
        <v>3</v>
      </c>
      <c r="BZ334" s="7"/>
      <c r="CA334" s="8"/>
      <c r="CB334" s="17"/>
      <c r="CC334" s="17"/>
    </row>
    <row r="335" spans="1:81" ht="16" x14ac:dyDescent="0.2">
      <c r="A335" s="111" t="s">
        <v>292</v>
      </c>
      <c r="B335" s="26">
        <v>43</v>
      </c>
      <c r="C335" s="109" t="s">
        <v>144</v>
      </c>
      <c r="D335" s="26">
        <v>2</v>
      </c>
      <c r="E335" s="26">
        <v>2</v>
      </c>
      <c r="F335" s="26"/>
      <c r="G335" s="26"/>
      <c r="H335" s="26"/>
      <c r="I335" s="26"/>
      <c r="J335" s="26" t="s">
        <v>41</v>
      </c>
      <c r="K335" s="26"/>
      <c r="L335" s="26">
        <v>5</v>
      </c>
      <c r="M335" s="40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 t="s">
        <v>38</v>
      </c>
      <c r="Z335" s="36">
        <f>19/20</f>
        <v>0.95</v>
      </c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 t="s">
        <v>38</v>
      </c>
      <c r="AP335" s="36">
        <f>19/20</f>
        <v>0.95</v>
      </c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 t="s">
        <v>38</v>
      </c>
      <c r="BB335" s="36">
        <f>19/20</f>
        <v>0.95</v>
      </c>
      <c r="BC335" s="36"/>
      <c r="BD335" s="36"/>
      <c r="BE335" s="26"/>
      <c r="BF335" s="26"/>
      <c r="BG335" s="39">
        <v>3</v>
      </c>
      <c r="BH335" s="38"/>
      <c r="BI335" s="38"/>
      <c r="BJ335" s="38"/>
      <c r="BK335" s="38"/>
      <c r="BL335" s="38"/>
      <c r="BM335" s="38"/>
      <c r="BN335" s="38"/>
      <c r="BO335" s="37">
        <f t="shared" si="25"/>
        <v>3</v>
      </c>
      <c r="BP335" s="56">
        <f t="shared" si="26"/>
        <v>0</v>
      </c>
      <c r="BQ335" s="56">
        <f t="shared" si="27"/>
        <v>0</v>
      </c>
      <c r="BR335" s="57">
        <f t="shared" si="28"/>
        <v>0</v>
      </c>
      <c r="BS335" s="38"/>
      <c r="BT335" s="38"/>
      <c r="BU335" s="26"/>
      <c r="BV335" s="26"/>
      <c r="BW335" s="39">
        <f t="shared" si="29"/>
        <v>3</v>
      </c>
      <c r="BX335" s="78">
        <v>1</v>
      </c>
      <c r="BY335" s="63">
        <v>10</v>
      </c>
      <c r="BZ335" s="7"/>
      <c r="CA335" s="8"/>
      <c r="CB335" s="17"/>
      <c r="CC335" s="17"/>
    </row>
    <row r="336" spans="1:81" ht="16" x14ac:dyDescent="0.2">
      <c r="A336" s="111" t="s">
        <v>292</v>
      </c>
      <c r="B336" s="26">
        <v>43</v>
      </c>
      <c r="C336" s="109" t="s">
        <v>144</v>
      </c>
      <c r="D336" s="26">
        <v>3</v>
      </c>
      <c r="E336" s="26">
        <v>2</v>
      </c>
      <c r="F336" s="26"/>
      <c r="G336" s="26"/>
      <c r="H336" s="26"/>
      <c r="I336" s="26"/>
      <c r="J336" s="26" t="s">
        <v>42</v>
      </c>
      <c r="K336" s="26"/>
      <c r="L336" s="26">
        <v>6</v>
      </c>
      <c r="M336" s="40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 t="s">
        <v>38</v>
      </c>
      <c r="AH336" s="36">
        <f>19/20</f>
        <v>0.95</v>
      </c>
      <c r="AI336" s="36"/>
      <c r="AJ336" s="36"/>
      <c r="AK336" s="36"/>
      <c r="AL336" s="36"/>
      <c r="AM336" s="36" t="s">
        <v>39</v>
      </c>
      <c r="AN336" s="36">
        <f>19.5/20</f>
        <v>0.97499999999999998</v>
      </c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26"/>
      <c r="BF336" s="26"/>
      <c r="BG336" s="39">
        <v>1</v>
      </c>
      <c r="BH336" s="38"/>
      <c r="BI336" s="38">
        <v>1</v>
      </c>
      <c r="BJ336" s="38"/>
      <c r="BK336" s="38"/>
      <c r="BL336" s="38"/>
      <c r="BM336" s="38"/>
      <c r="BN336" s="38"/>
      <c r="BO336" s="37">
        <f t="shared" si="25"/>
        <v>2</v>
      </c>
      <c r="BP336" s="56">
        <f t="shared" si="26"/>
        <v>0</v>
      </c>
      <c r="BQ336" s="56">
        <f t="shared" si="27"/>
        <v>0</v>
      </c>
      <c r="BR336" s="57">
        <f t="shared" si="28"/>
        <v>0</v>
      </c>
      <c r="BS336" s="38"/>
      <c r="BT336" s="38"/>
      <c r="BU336" s="26"/>
      <c r="BV336" s="26"/>
      <c r="BW336" s="39">
        <f t="shared" si="29"/>
        <v>2</v>
      </c>
      <c r="BX336" s="78">
        <v>1</v>
      </c>
      <c r="BY336" s="63">
        <v>8</v>
      </c>
      <c r="BZ336" s="7"/>
      <c r="CA336" s="8"/>
      <c r="CB336" s="17"/>
      <c r="CC336" s="17"/>
    </row>
    <row r="337" spans="1:81" ht="16" x14ac:dyDescent="0.2">
      <c r="A337" s="111" t="s">
        <v>292</v>
      </c>
      <c r="B337" s="26">
        <v>43</v>
      </c>
      <c r="C337" s="109" t="s">
        <v>144</v>
      </c>
      <c r="D337" s="26">
        <v>4</v>
      </c>
      <c r="E337" s="26">
        <v>2</v>
      </c>
      <c r="F337" s="26"/>
      <c r="G337" s="26"/>
      <c r="H337" s="26"/>
      <c r="I337" s="26"/>
      <c r="J337" s="26"/>
      <c r="K337" s="26" t="s">
        <v>47</v>
      </c>
      <c r="L337" s="26">
        <v>7</v>
      </c>
      <c r="M337" s="40"/>
      <c r="N337" s="36"/>
      <c r="O337" s="36" t="s">
        <v>38</v>
      </c>
      <c r="P337" s="36">
        <f>5.5/20</f>
        <v>0.27500000000000002</v>
      </c>
      <c r="Q337" s="36"/>
      <c r="R337" s="36"/>
      <c r="S337" s="36"/>
      <c r="T337" s="36"/>
      <c r="U337" s="36" t="s">
        <v>39</v>
      </c>
      <c r="V337" s="36">
        <f>20/20</f>
        <v>1</v>
      </c>
      <c r="W337" s="36" t="s">
        <v>39</v>
      </c>
      <c r="X337" s="36">
        <f>6/20</f>
        <v>0.3</v>
      </c>
      <c r="Y337" s="36" t="s">
        <v>61</v>
      </c>
      <c r="Z337" s="36">
        <v>0.5</v>
      </c>
      <c r="AA337" s="36"/>
      <c r="AB337" s="36"/>
      <c r="AC337" s="36"/>
      <c r="AD337" s="36"/>
      <c r="AE337" s="36"/>
      <c r="AF337" s="36"/>
      <c r="AG337" s="36" t="s">
        <v>38</v>
      </c>
      <c r="AH337" s="36">
        <f>18/20</f>
        <v>0.9</v>
      </c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 t="s">
        <v>39</v>
      </c>
      <c r="BD337" s="36">
        <f>18/20</f>
        <v>0.9</v>
      </c>
      <c r="BE337" s="26"/>
      <c r="BF337" s="26"/>
      <c r="BG337" s="39">
        <v>1</v>
      </c>
      <c r="BH337" s="38"/>
      <c r="BI337" s="38">
        <v>2</v>
      </c>
      <c r="BJ337" s="38">
        <v>1</v>
      </c>
      <c r="BK337" s="38"/>
      <c r="BL337" s="38"/>
      <c r="BM337" s="38"/>
      <c r="BN337" s="38"/>
      <c r="BO337" s="37">
        <f t="shared" si="25"/>
        <v>3</v>
      </c>
      <c r="BP337" s="56">
        <f t="shared" si="26"/>
        <v>1</v>
      </c>
      <c r="BQ337" s="56">
        <f t="shared" si="27"/>
        <v>1</v>
      </c>
      <c r="BR337" s="57">
        <f t="shared" si="28"/>
        <v>0</v>
      </c>
      <c r="BS337" s="38">
        <v>1</v>
      </c>
      <c r="BT337" s="38"/>
      <c r="BU337" s="26"/>
      <c r="BV337" s="26"/>
      <c r="BW337" s="39">
        <f t="shared" si="29"/>
        <v>5</v>
      </c>
      <c r="BX337" s="78">
        <v>2</v>
      </c>
      <c r="BY337" s="63">
        <v>3</v>
      </c>
      <c r="BZ337" s="7"/>
      <c r="CA337" s="8"/>
      <c r="CB337" s="17"/>
      <c r="CC337" s="17"/>
    </row>
    <row r="338" spans="1:81" ht="16" x14ac:dyDescent="0.2">
      <c r="A338" s="111" t="s">
        <v>292</v>
      </c>
      <c r="B338" s="26">
        <v>43</v>
      </c>
      <c r="C338" s="109" t="s">
        <v>144</v>
      </c>
      <c r="D338" s="26">
        <v>5</v>
      </c>
      <c r="E338" s="26">
        <v>2</v>
      </c>
      <c r="F338" s="26"/>
      <c r="G338" s="26"/>
      <c r="H338" s="26"/>
      <c r="I338" s="26"/>
      <c r="J338" s="26"/>
      <c r="K338" s="26" t="s">
        <v>49</v>
      </c>
      <c r="L338" s="26">
        <v>7</v>
      </c>
      <c r="M338" s="40"/>
      <c r="N338" s="36"/>
      <c r="O338" s="36" t="s">
        <v>38</v>
      </c>
      <c r="P338" s="36">
        <f>16/20</f>
        <v>0.8</v>
      </c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 t="s">
        <v>38</v>
      </c>
      <c r="AJ338" s="36">
        <f>12.5/20</f>
        <v>0.625</v>
      </c>
      <c r="AK338" s="36" t="s">
        <v>38</v>
      </c>
      <c r="AL338" s="36">
        <f>10/20</f>
        <v>0.5</v>
      </c>
      <c r="AM338" s="36"/>
      <c r="AN338" s="36"/>
      <c r="AO338" s="36"/>
      <c r="AP338" s="36"/>
      <c r="AQ338" s="36"/>
      <c r="AR338" s="36"/>
      <c r="AS338" s="36"/>
      <c r="AT338" s="36"/>
      <c r="AU338" s="36" t="s">
        <v>38</v>
      </c>
      <c r="AV338" s="36">
        <f>15.5/20</f>
        <v>0.77500000000000002</v>
      </c>
      <c r="AW338" s="36" t="s">
        <v>38</v>
      </c>
      <c r="AX338" s="36">
        <f>16.5/20</f>
        <v>0.82499999999999996</v>
      </c>
      <c r="AY338" s="36" t="s">
        <v>39</v>
      </c>
      <c r="AZ338" s="36">
        <f>14.5/20</f>
        <v>0.72499999999999998</v>
      </c>
      <c r="BA338" s="36" t="s">
        <v>38</v>
      </c>
      <c r="BB338" s="36">
        <f>12.5/20</f>
        <v>0.625</v>
      </c>
      <c r="BC338" s="36"/>
      <c r="BD338" s="36"/>
      <c r="BE338" s="26"/>
      <c r="BF338" s="26"/>
      <c r="BG338" s="39">
        <v>3</v>
      </c>
      <c r="BH338" s="38">
        <v>3</v>
      </c>
      <c r="BI338" s="38">
        <v>1</v>
      </c>
      <c r="BJ338" s="38"/>
      <c r="BK338" s="38"/>
      <c r="BL338" s="38"/>
      <c r="BM338" s="38"/>
      <c r="BN338" s="38"/>
      <c r="BO338" s="37">
        <f t="shared" si="25"/>
        <v>4</v>
      </c>
      <c r="BP338" s="56">
        <f t="shared" si="26"/>
        <v>3</v>
      </c>
      <c r="BQ338" s="56">
        <f t="shared" si="27"/>
        <v>0</v>
      </c>
      <c r="BR338" s="57">
        <f t="shared" si="28"/>
        <v>0</v>
      </c>
      <c r="BS338" s="38"/>
      <c r="BT338" s="38"/>
      <c r="BU338" s="26"/>
      <c r="BV338" s="26"/>
      <c r="BW338" s="39">
        <f t="shared" si="29"/>
        <v>7</v>
      </c>
      <c r="BX338" s="78">
        <v>2</v>
      </c>
      <c r="BY338" s="63">
        <v>1</v>
      </c>
      <c r="BZ338" s="7"/>
      <c r="CA338" s="8"/>
      <c r="CB338" s="17"/>
      <c r="CC338" s="17"/>
    </row>
    <row r="339" spans="1:81" ht="16" x14ac:dyDescent="0.2">
      <c r="A339" s="111" t="s">
        <v>292</v>
      </c>
      <c r="B339" s="26">
        <v>43</v>
      </c>
      <c r="C339" s="109" t="s">
        <v>144</v>
      </c>
      <c r="D339" s="26">
        <v>7</v>
      </c>
      <c r="E339" s="26">
        <v>2</v>
      </c>
      <c r="F339" s="26"/>
      <c r="G339" s="26"/>
      <c r="H339" s="26"/>
      <c r="I339" s="26"/>
      <c r="J339" s="26"/>
      <c r="K339" s="26" t="s">
        <v>49</v>
      </c>
      <c r="L339" s="26">
        <v>7</v>
      </c>
      <c r="M339" s="40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 t="s">
        <v>38</v>
      </c>
      <c r="Z339" s="36">
        <f>15.5/20</f>
        <v>0.77500000000000002</v>
      </c>
      <c r="AA339" s="36"/>
      <c r="AB339" s="36"/>
      <c r="AC339" s="36"/>
      <c r="AD339" s="36"/>
      <c r="AE339" s="36"/>
      <c r="AF339" s="36"/>
      <c r="AG339" s="36"/>
      <c r="AH339" s="36"/>
      <c r="AI339" s="36" t="s">
        <v>39</v>
      </c>
      <c r="AJ339" s="36">
        <f>11/20</f>
        <v>0.55000000000000004</v>
      </c>
      <c r="AK339" s="36" t="s">
        <v>39</v>
      </c>
      <c r="AL339" s="36">
        <f>14.5/20</f>
        <v>0.72499999999999998</v>
      </c>
      <c r="AM339" s="36"/>
      <c r="AN339" s="36"/>
      <c r="AO339" s="36"/>
      <c r="AP339" s="36"/>
      <c r="AQ339" s="36" t="s">
        <v>39</v>
      </c>
      <c r="AR339" s="36">
        <f>7/20</f>
        <v>0.35</v>
      </c>
      <c r="AS339" s="36"/>
      <c r="AT339" s="36"/>
      <c r="AU339" s="36"/>
      <c r="AV339" s="36"/>
      <c r="AW339" s="36"/>
      <c r="AX339" s="36"/>
      <c r="AY339" s="36" t="s">
        <v>39</v>
      </c>
      <c r="AZ339" s="36">
        <f>10.5/20</f>
        <v>0.52500000000000002</v>
      </c>
      <c r="BA339" s="36"/>
      <c r="BB339" s="36"/>
      <c r="BC339" s="36"/>
      <c r="BD339" s="36"/>
      <c r="BE339" s="26" t="s">
        <v>39</v>
      </c>
      <c r="BF339" s="26" t="s">
        <v>46</v>
      </c>
      <c r="BG339" s="39">
        <v>1</v>
      </c>
      <c r="BH339" s="38"/>
      <c r="BI339" s="38">
        <v>1</v>
      </c>
      <c r="BJ339" s="38">
        <v>3</v>
      </c>
      <c r="BK339" s="38"/>
      <c r="BL339" s="38"/>
      <c r="BM339" s="38"/>
      <c r="BN339" s="38"/>
      <c r="BO339" s="37">
        <f t="shared" si="25"/>
        <v>3</v>
      </c>
      <c r="BP339" s="56">
        <f t="shared" si="26"/>
        <v>3</v>
      </c>
      <c r="BQ339" s="56">
        <f t="shared" si="27"/>
        <v>0</v>
      </c>
      <c r="BR339" s="57">
        <f t="shared" si="28"/>
        <v>0</v>
      </c>
      <c r="BS339" s="38"/>
      <c r="BT339" s="38"/>
      <c r="BU339" s="26">
        <v>1</v>
      </c>
      <c r="BV339" s="26"/>
      <c r="BW339" s="39">
        <f t="shared" si="29"/>
        <v>6</v>
      </c>
      <c r="BX339" s="78">
        <v>2</v>
      </c>
      <c r="BY339" s="63">
        <v>1</v>
      </c>
      <c r="BZ339" s="7"/>
      <c r="CA339" s="8"/>
      <c r="CB339" s="17"/>
      <c r="CC339" s="17"/>
    </row>
    <row r="340" spans="1:81" ht="16" x14ac:dyDescent="0.2">
      <c r="A340" s="111" t="s">
        <v>292</v>
      </c>
      <c r="B340" s="26">
        <v>43</v>
      </c>
      <c r="C340" s="109" t="s">
        <v>144</v>
      </c>
      <c r="D340" s="26">
        <v>8</v>
      </c>
      <c r="E340" s="26">
        <v>2</v>
      </c>
      <c r="F340" s="26"/>
      <c r="G340" s="26"/>
      <c r="H340" s="26"/>
      <c r="I340" s="26"/>
      <c r="J340" s="26"/>
      <c r="K340" s="26" t="s">
        <v>49</v>
      </c>
      <c r="L340" s="26">
        <v>7</v>
      </c>
      <c r="M340" s="40"/>
      <c r="N340" s="36"/>
      <c r="O340" s="36"/>
      <c r="P340" s="36"/>
      <c r="Q340" s="36" t="s">
        <v>38</v>
      </c>
      <c r="R340" s="36">
        <f>11.5/20</f>
        <v>0.57499999999999996</v>
      </c>
      <c r="S340" s="36"/>
      <c r="T340" s="36"/>
      <c r="U340" s="36"/>
      <c r="V340" s="36"/>
      <c r="W340" s="36" t="s">
        <v>39</v>
      </c>
      <c r="X340" s="36">
        <f>13.5/20</f>
        <v>0.67500000000000004</v>
      </c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26"/>
      <c r="BF340" s="26"/>
      <c r="BG340" s="39"/>
      <c r="BH340" s="38">
        <v>1</v>
      </c>
      <c r="BI340" s="38"/>
      <c r="BJ340" s="38">
        <v>1</v>
      </c>
      <c r="BK340" s="38"/>
      <c r="BL340" s="38"/>
      <c r="BM340" s="38"/>
      <c r="BN340" s="38"/>
      <c r="BO340" s="37">
        <f t="shared" si="25"/>
        <v>0</v>
      </c>
      <c r="BP340" s="56">
        <f t="shared" si="26"/>
        <v>2</v>
      </c>
      <c r="BQ340" s="56">
        <f t="shared" si="27"/>
        <v>0</v>
      </c>
      <c r="BR340" s="57">
        <f t="shared" si="28"/>
        <v>0</v>
      </c>
      <c r="BS340" s="38"/>
      <c r="BT340" s="38"/>
      <c r="BU340" s="26"/>
      <c r="BV340" s="26"/>
      <c r="BW340" s="39">
        <f t="shared" si="29"/>
        <v>2</v>
      </c>
      <c r="BX340" s="78">
        <v>3</v>
      </c>
      <c r="BY340" s="63">
        <v>1</v>
      </c>
      <c r="BZ340" s="7"/>
      <c r="CA340" s="8"/>
      <c r="CB340" s="17"/>
      <c r="CC340" s="17"/>
    </row>
    <row r="341" spans="1:81" ht="16" x14ac:dyDescent="0.2">
      <c r="A341" s="111" t="s">
        <v>292</v>
      </c>
      <c r="B341" s="26">
        <v>43</v>
      </c>
      <c r="C341" s="109" t="s">
        <v>144</v>
      </c>
      <c r="D341" s="26">
        <v>9</v>
      </c>
      <c r="E341" s="26">
        <v>2</v>
      </c>
      <c r="F341" s="26"/>
      <c r="G341" s="26"/>
      <c r="H341" s="26"/>
      <c r="I341" s="26"/>
      <c r="J341" s="26" t="s">
        <v>44</v>
      </c>
      <c r="K341" s="26"/>
      <c r="L341" s="26">
        <v>7</v>
      </c>
      <c r="M341" s="40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 t="s">
        <v>39</v>
      </c>
      <c r="AB341" s="36">
        <f>9.5/10</f>
        <v>0.95</v>
      </c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 t="s">
        <v>39</v>
      </c>
      <c r="AT341" s="36">
        <f>9/10</f>
        <v>0.9</v>
      </c>
      <c r="AU341" s="36" t="s">
        <v>40</v>
      </c>
      <c r="AV341" s="36">
        <f>8.5/10</f>
        <v>0.85</v>
      </c>
      <c r="AW341" s="36"/>
      <c r="AX341" s="36"/>
      <c r="AY341" s="36"/>
      <c r="AZ341" s="36"/>
      <c r="BA341" s="36" t="s">
        <v>39</v>
      </c>
      <c r="BB341" s="36">
        <f>10/10</f>
        <v>1</v>
      </c>
      <c r="BC341" s="36"/>
      <c r="BD341" s="36"/>
      <c r="BE341" s="26"/>
      <c r="BF341" s="26"/>
      <c r="BG341" s="39"/>
      <c r="BH341" s="38"/>
      <c r="BI341" s="38">
        <v>3</v>
      </c>
      <c r="BJ341" s="38"/>
      <c r="BK341" s="38"/>
      <c r="BL341" s="38"/>
      <c r="BM341" s="38">
        <v>1</v>
      </c>
      <c r="BN341" s="38"/>
      <c r="BO341" s="37">
        <f t="shared" si="25"/>
        <v>3</v>
      </c>
      <c r="BP341" s="56">
        <f t="shared" si="26"/>
        <v>0</v>
      </c>
      <c r="BQ341" s="56">
        <f t="shared" si="27"/>
        <v>1</v>
      </c>
      <c r="BR341" s="57">
        <f t="shared" si="28"/>
        <v>0</v>
      </c>
      <c r="BS341" s="38"/>
      <c r="BT341" s="38"/>
      <c r="BU341" s="26"/>
      <c r="BV341" s="26"/>
      <c r="BW341" s="39">
        <f t="shared" si="29"/>
        <v>4</v>
      </c>
      <c r="BX341" s="78">
        <v>2</v>
      </c>
      <c r="BY341" s="63">
        <v>4</v>
      </c>
      <c r="BZ341" s="7"/>
      <c r="CA341" s="8"/>
      <c r="CB341" s="17"/>
      <c r="CC341" s="17"/>
    </row>
    <row r="342" spans="1:81" ht="16" x14ac:dyDescent="0.2">
      <c r="A342" s="109" t="s">
        <v>293</v>
      </c>
      <c r="B342" s="26">
        <v>36</v>
      </c>
      <c r="C342" s="109" t="s">
        <v>145</v>
      </c>
      <c r="D342" s="26">
        <v>2</v>
      </c>
      <c r="E342" s="26">
        <v>2</v>
      </c>
      <c r="F342" s="26">
        <v>1</v>
      </c>
      <c r="G342" s="26" t="s">
        <v>54</v>
      </c>
      <c r="H342" s="26">
        <v>1</v>
      </c>
      <c r="I342" s="26" t="s">
        <v>54</v>
      </c>
      <c r="J342" s="26"/>
      <c r="K342" s="26">
        <v>1</v>
      </c>
      <c r="L342" s="26">
        <v>6</v>
      </c>
      <c r="M342" s="40" t="s">
        <v>39</v>
      </c>
      <c r="N342" s="36">
        <f>2.5/7.5</f>
        <v>0.33333333333333331</v>
      </c>
      <c r="O342" s="36"/>
      <c r="P342" s="36"/>
      <c r="Q342" s="36"/>
      <c r="R342" s="36"/>
      <c r="S342" s="36"/>
      <c r="T342" s="36"/>
      <c r="U342" s="36" t="s">
        <v>39</v>
      </c>
      <c r="V342" s="36">
        <f>3/7.5</f>
        <v>0.4</v>
      </c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26" t="s">
        <v>39</v>
      </c>
      <c r="BF342" s="26" t="s">
        <v>46</v>
      </c>
      <c r="BG342" s="37"/>
      <c r="BH342" s="26"/>
      <c r="BI342" s="26"/>
      <c r="BJ342" s="26">
        <v>2</v>
      </c>
      <c r="BK342" s="26"/>
      <c r="BL342" s="26"/>
      <c r="BM342" s="26"/>
      <c r="BN342" s="26"/>
      <c r="BO342" s="37">
        <f t="shared" si="25"/>
        <v>1</v>
      </c>
      <c r="BP342" s="56">
        <f t="shared" si="26"/>
        <v>2</v>
      </c>
      <c r="BQ342" s="56">
        <f t="shared" si="27"/>
        <v>0</v>
      </c>
      <c r="BR342" s="57">
        <f t="shared" si="28"/>
        <v>0</v>
      </c>
      <c r="BS342" s="38"/>
      <c r="BT342" s="38"/>
      <c r="BU342" s="26">
        <v>1</v>
      </c>
      <c r="BV342" s="26"/>
      <c r="BW342" s="39">
        <f t="shared" si="29"/>
        <v>3</v>
      </c>
      <c r="BX342" s="78">
        <v>2</v>
      </c>
      <c r="BY342" s="63">
        <v>1</v>
      </c>
      <c r="BZ342" s="7"/>
      <c r="CA342" s="8"/>
      <c r="CB342" s="7"/>
      <c r="CC342" s="7"/>
    </row>
    <row r="343" spans="1:81" ht="16" x14ac:dyDescent="0.2">
      <c r="A343" s="109" t="s">
        <v>293</v>
      </c>
      <c r="B343" s="26">
        <v>36</v>
      </c>
      <c r="C343" s="109" t="s">
        <v>145</v>
      </c>
      <c r="D343" s="26">
        <v>3</v>
      </c>
      <c r="E343" s="26">
        <v>2</v>
      </c>
      <c r="F343" s="26">
        <v>2</v>
      </c>
      <c r="G343" s="26" t="s">
        <v>51</v>
      </c>
      <c r="H343" s="26">
        <v>4</v>
      </c>
      <c r="I343" s="26" t="s">
        <v>51</v>
      </c>
      <c r="J343" s="26"/>
      <c r="K343" s="26" t="s">
        <v>47</v>
      </c>
      <c r="L343" s="26">
        <v>6</v>
      </c>
      <c r="M343" s="40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 t="s">
        <v>39</v>
      </c>
      <c r="AP343" s="36">
        <f>3/8</f>
        <v>0.375</v>
      </c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 t="s">
        <v>39</v>
      </c>
      <c r="BB343" s="36">
        <f>8/8</f>
        <v>1</v>
      </c>
      <c r="BC343" s="36"/>
      <c r="BD343" s="36"/>
      <c r="BE343" s="26"/>
      <c r="BF343" s="26"/>
      <c r="BG343" s="37"/>
      <c r="BH343" s="26"/>
      <c r="BI343" s="26">
        <v>1</v>
      </c>
      <c r="BJ343" s="26">
        <v>1</v>
      </c>
      <c r="BK343" s="26"/>
      <c r="BL343" s="26"/>
      <c r="BM343" s="26"/>
      <c r="BN343" s="26"/>
      <c r="BO343" s="37">
        <f t="shared" si="25"/>
        <v>1</v>
      </c>
      <c r="BP343" s="56">
        <f t="shared" si="26"/>
        <v>1</v>
      </c>
      <c r="BQ343" s="56">
        <f t="shared" si="27"/>
        <v>0</v>
      </c>
      <c r="BR343" s="57">
        <f t="shared" si="28"/>
        <v>0</v>
      </c>
      <c r="BS343" s="38"/>
      <c r="BT343" s="38"/>
      <c r="BU343" s="26"/>
      <c r="BV343" s="26"/>
      <c r="BW343" s="39">
        <f t="shared" si="29"/>
        <v>2</v>
      </c>
      <c r="BX343" s="78">
        <v>2</v>
      </c>
      <c r="BY343" s="63">
        <v>3</v>
      </c>
      <c r="BZ343" s="7"/>
      <c r="CA343" s="8"/>
      <c r="CB343" s="7"/>
      <c r="CC343" s="7"/>
    </row>
    <row r="344" spans="1:81" ht="16" x14ac:dyDescent="0.2">
      <c r="A344" s="109" t="s">
        <v>293</v>
      </c>
      <c r="B344" s="26">
        <v>36</v>
      </c>
      <c r="C344" s="109" t="s">
        <v>145</v>
      </c>
      <c r="D344" s="26">
        <v>5</v>
      </c>
      <c r="E344" s="26">
        <v>2</v>
      </c>
      <c r="F344" s="26">
        <v>2</v>
      </c>
      <c r="G344" s="26" t="s">
        <v>51</v>
      </c>
      <c r="H344" s="26">
        <v>4</v>
      </c>
      <c r="I344" s="26" t="s">
        <v>51</v>
      </c>
      <c r="J344" s="26" t="s">
        <v>41</v>
      </c>
      <c r="K344" s="26"/>
      <c r="L344" s="26">
        <v>6</v>
      </c>
      <c r="M344" s="40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 t="s">
        <v>38</v>
      </c>
      <c r="BD344" s="36">
        <f>16/16</f>
        <v>1</v>
      </c>
      <c r="BE344" s="26"/>
      <c r="BF344" s="26"/>
      <c r="BG344" s="37">
        <v>1</v>
      </c>
      <c r="BH344" s="26"/>
      <c r="BI344" s="26"/>
      <c r="BJ344" s="26"/>
      <c r="BK344" s="26"/>
      <c r="BL344" s="26"/>
      <c r="BM344" s="26"/>
      <c r="BN344" s="26"/>
      <c r="BO344" s="37">
        <f t="shared" si="25"/>
        <v>1</v>
      </c>
      <c r="BP344" s="56">
        <f t="shared" si="26"/>
        <v>0</v>
      </c>
      <c r="BQ344" s="56">
        <f t="shared" si="27"/>
        <v>0</v>
      </c>
      <c r="BR344" s="57">
        <f t="shared" si="28"/>
        <v>0</v>
      </c>
      <c r="BS344" s="38"/>
      <c r="BT344" s="38"/>
      <c r="BU344" s="26"/>
      <c r="BV344" s="26"/>
      <c r="BW344" s="39">
        <f t="shared" si="29"/>
        <v>1</v>
      </c>
      <c r="BX344" s="78">
        <v>1</v>
      </c>
      <c r="BY344" s="63">
        <v>10</v>
      </c>
      <c r="BZ344" s="7"/>
      <c r="CA344" s="8"/>
      <c r="CB344" s="7"/>
      <c r="CC344" s="7"/>
    </row>
    <row r="345" spans="1:81" ht="16" x14ac:dyDescent="0.2">
      <c r="A345" s="111" t="s">
        <v>294</v>
      </c>
      <c r="B345" s="26">
        <v>42</v>
      </c>
      <c r="C345" s="109" t="s">
        <v>146</v>
      </c>
      <c r="D345" s="26">
        <v>1</v>
      </c>
      <c r="E345" s="26">
        <v>2</v>
      </c>
      <c r="F345" s="26">
        <v>2</v>
      </c>
      <c r="G345" s="26" t="s">
        <v>51</v>
      </c>
      <c r="H345" s="26">
        <v>4</v>
      </c>
      <c r="I345" s="26" t="s">
        <v>51</v>
      </c>
      <c r="J345" s="26" t="s">
        <v>42</v>
      </c>
      <c r="K345" s="26"/>
      <c r="L345" s="26">
        <v>5</v>
      </c>
      <c r="M345" s="40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 t="s">
        <v>39</v>
      </c>
      <c r="Z345" s="36">
        <f>10/10</f>
        <v>1</v>
      </c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 t="s">
        <v>38</v>
      </c>
      <c r="AX345" s="36">
        <f>8.5/10</f>
        <v>0.85</v>
      </c>
      <c r="AY345" s="36"/>
      <c r="AZ345" s="36"/>
      <c r="BA345" s="36"/>
      <c r="BB345" s="36"/>
      <c r="BC345" s="36"/>
      <c r="BD345" s="36"/>
      <c r="BE345" s="26"/>
      <c r="BF345" s="26"/>
      <c r="BG345" s="39">
        <v>1</v>
      </c>
      <c r="BH345" s="38"/>
      <c r="BI345" s="38">
        <v>1</v>
      </c>
      <c r="BJ345" s="38"/>
      <c r="BK345" s="38"/>
      <c r="BL345" s="38"/>
      <c r="BM345" s="38"/>
      <c r="BN345" s="38"/>
      <c r="BO345" s="37">
        <f t="shared" si="25"/>
        <v>2</v>
      </c>
      <c r="BP345" s="56">
        <f t="shared" si="26"/>
        <v>0</v>
      </c>
      <c r="BQ345" s="56">
        <f t="shared" si="27"/>
        <v>0</v>
      </c>
      <c r="BR345" s="57">
        <f t="shared" si="28"/>
        <v>0</v>
      </c>
      <c r="BS345" s="38"/>
      <c r="BT345" s="38"/>
      <c r="BU345" s="26"/>
      <c r="BV345" s="26"/>
      <c r="BW345" s="39">
        <f t="shared" si="29"/>
        <v>2</v>
      </c>
      <c r="BX345" s="78">
        <v>1</v>
      </c>
      <c r="BY345" s="63">
        <v>8</v>
      </c>
      <c r="BZ345" s="7"/>
      <c r="CA345" s="8"/>
      <c r="CB345" s="17"/>
      <c r="CC345" s="17"/>
    </row>
    <row r="346" spans="1:81" ht="16" x14ac:dyDescent="0.2">
      <c r="A346" s="111" t="s">
        <v>294</v>
      </c>
      <c r="B346" s="26">
        <v>42</v>
      </c>
      <c r="C346" s="109" t="s">
        <v>146</v>
      </c>
      <c r="D346" s="26">
        <v>3</v>
      </c>
      <c r="E346" s="26">
        <v>2</v>
      </c>
      <c r="F346" s="26">
        <v>2</v>
      </c>
      <c r="G346" s="26" t="s">
        <v>51</v>
      </c>
      <c r="H346" s="26">
        <v>4</v>
      </c>
      <c r="I346" s="26" t="s">
        <v>51</v>
      </c>
      <c r="J346" s="26"/>
      <c r="K346" s="26" t="s">
        <v>47</v>
      </c>
      <c r="L346" s="26">
        <v>6</v>
      </c>
      <c r="M346" s="40" t="s">
        <v>48</v>
      </c>
      <c r="N346" s="36">
        <f>17/10</f>
        <v>1.7</v>
      </c>
      <c r="O346" s="36"/>
      <c r="P346" s="36"/>
      <c r="Q346" s="36"/>
      <c r="R346" s="36"/>
      <c r="S346" s="36"/>
      <c r="T346" s="36"/>
      <c r="U346" s="36" t="s">
        <v>39</v>
      </c>
      <c r="V346" s="36">
        <f>10/10</f>
        <v>1</v>
      </c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 t="s">
        <v>38</v>
      </c>
      <c r="AX346" s="36">
        <f>8/10</f>
        <v>0.8</v>
      </c>
      <c r="AY346" s="36"/>
      <c r="AZ346" s="36"/>
      <c r="BA346" s="36"/>
      <c r="BB346" s="36"/>
      <c r="BC346" s="36"/>
      <c r="BD346" s="36"/>
      <c r="BE346" s="26"/>
      <c r="BF346" s="26"/>
      <c r="BG346" s="39">
        <v>1</v>
      </c>
      <c r="BH346" s="38"/>
      <c r="BI346" s="38">
        <v>1</v>
      </c>
      <c r="BJ346" s="38"/>
      <c r="BK346" s="38">
        <v>1</v>
      </c>
      <c r="BL346" s="38"/>
      <c r="BM346" s="38"/>
      <c r="BN346" s="38"/>
      <c r="BO346" s="37">
        <f t="shared" si="25"/>
        <v>2</v>
      </c>
      <c r="BP346" s="56">
        <f t="shared" si="26"/>
        <v>0</v>
      </c>
      <c r="BQ346" s="56">
        <f t="shared" si="27"/>
        <v>1</v>
      </c>
      <c r="BR346" s="57">
        <f t="shared" si="28"/>
        <v>0</v>
      </c>
      <c r="BS346" s="38"/>
      <c r="BT346" s="38"/>
      <c r="BU346" s="26"/>
      <c r="BV346" s="26"/>
      <c r="BW346" s="39">
        <f t="shared" si="29"/>
        <v>3</v>
      </c>
      <c r="BX346" s="78">
        <v>2</v>
      </c>
      <c r="BY346" s="63">
        <v>3</v>
      </c>
      <c r="BZ346" s="7"/>
      <c r="CA346" s="8"/>
      <c r="CB346" s="17"/>
      <c r="CC346" s="17"/>
    </row>
    <row r="347" spans="1:81" ht="16" x14ac:dyDescent="0.2">
      <c r="A347" s="111" t="s">
        <v>294</v>
      </c>
      <c r="B347" s="26">
        <v>42</v>
      </c>
      <c r="C347" s="109" t="s">
        <v>146</v>
      </c>
      <c r="D347" s="26">
        <v>6</v>
      </c>
      <c r="E347" s="26">
        <v>2</v>
      </c>
      <c r="F347" s="26">
        <v>3</v>
      </c>
      <c r="G347" s="26" t="s">
        <v>50</v>
      </c>
      <c r="H347" s="26">
        <v>8</v>
      </c>
      <c r="I347" s="26" t="s">
        <v>50</v>
      </c>
      <c r="J347" s="26"/>
      <c r="K347" s="26">
        <v>12</v>
      </c>
      <c r="L347" s="26">
        <v>6</v>
      </c>
      <c r="M347" s="40"/>
      <c r="N347" s="36"/>
      <c r="O347" s="36"/>
      <c r="P347" s="36"/>
      <c r="Q347" s="36" t="s">
        <v>38</v>
      </c>
      <c r="R347" s="36">
        <f>7/7</f>
        <v>1</v>
      </c>
      <c r="S347" s="36"/>
      <c r="T347" s="36"/>
      <c r="U347" s="36"/>
      <c r="V347" s="36"/>
      <c r="W347" s="36"/>
      <c r="X347" s="36"/>
      <c r="Y347" s="36"/>
      <c r="Z347" s="36"/>
      <c r="AA347" s="36" t="s">
        <v>38</v>
      </c>
      <c r="AB347" s="36">
        <v>0.36</v>
      </c>
      <c r="AC347" s="36"/>
      <c r="AD347" s="36"/>
      <c r="AE347" s="36" t="s">
        <v>38</v>
      </c>
      <c r="AF347" s="36">
        <f>2.5/7</f>
        <v>0.35714285714285715</v>
      </c>
      <c r="AG347" s="36"/>
      <c r="AH347" s="36"/>
      <c r="AI347" s="36" t="s">
        <v>38</v>
      </c>
      <c r="AJ347" s="36">
        <f>2/7</f>
        <v>0.2857142857142857</v>
      </c>
      <c r="AK347" s="36" t="s">
        <v>39</v>
      </c>
      <c r="AL347" s="36">
        <f>4.5/7</f>
        <v>0.6428571428571429</v>
      </c>
      <c r="AM347" s="36" t="s">
        <v>38</v>
      </c>
      <c r="AN347" s="36">
        <f>5.5/7</f>
        <v>0.7857142857142857</v>
      </c>
      <c r="AO347" s="36"/>
      <c r="AP347" s="36"/>
      <c r="AQ347" s="36" t="s">
        <v>38</v>
      </c>
      <c r="AR347" s="36">
        <f>3/7</f>
        <v>0.42857142857142855</v>
      </c>
      <c r="AS347" s="36" t="s">
        <v>70</v>
      </c>
      <c r="AT347" s="36">
        <f>2.5/7</f>
        <v>0.35714285714285715</v>
      </c>
      <c r="AU347" s="36"/>
      <c r="AV347" s="36"/>
      <c r="AW347" s="36" t="s">
        <v>38</v>
      </c>
      <c r="AX347" s="36">
        <f>2.5/7</f>
        <v>0.35714285714285715</v>
      </c>
      <c r="AY347" s="36"/>
      <c r="AZ347" s="36"/>
      <c r="BA347" s="36"/>
      <c r="BB347" s="36"/>
      <c r="BC347" s="36" t="s">
        <v>38</v>
      </c>
      <c r="BD347" s="36">
        <f>8.5/7</f>
        <v>1.2142857142857142</v>
      </c>
      <c r="BE347" s="26"/>
      <c r="BF347" s="26"/>
      <c r="BG347" s="39">
        <v>3</v>
      </c>
      <c r="BH347" s="38">
        <v>4</v>
      </c>
      <c r="BI347" s="38"/>
      <c r="BJ347" s="38">
        <v>1</v>
      </c>
      <c r="BK347" s="38"/>
      <c r="BL347" s="38"/>
      <c r="BM347" s="38"/>
      <c r="BN347" s="38"/>
      <c r="BO347" s="37">
        <f t="shared" si="25"/>
        <v>3</v>
      </c>
      <c r="BP347" s="56">
        <f t="shared" si="26"/>
        <v>5</v>
      </c>
      <c r="BQ347" s="56">
        <f t="shared" si="27"/>
        <v>1</v>
      </c>
      <c r="BR347" s="57">
        <f t="shared" si="28"/>
        <v>0</v>
      </c>
      <c r="BS347" s="38">
        <v>1</v>
      </c>
      <c r="BT347" s="38"/>
      <c r="BU347" s="26"/>
      <c r="BV347" s="26"/>
      <c r="BW347" s="39">
        <f t="shared" si="29"/>
        <v>9</v>
      </c>
      <c r="BX347" s="78">
        <v>2</v>
      </c>
      <c r="BY347" s="63">
        <v>2</v>
      </c>
      <c r="BZ347" s="7"/>
      <c r="CA347" s="8"/>
      <c r="CB347" s="17"/>
      <c r="CC347" s="17"/>
    </row>
    <row r="348" spans="1:81" x14ac:dyDescent="0.2">
      <c r="A348" s="111" t="s">
        <v>294</v>
      </c>
      <c r="B348" s="26">
        <v>42</v>
      </c>
      <c r="C348" s="109" t="s">
        <v>146</v>
      </c>
      <c r="D348" s="26">
        <v>11</v>
      </c>
      <c r="E348" s="26">
        <v>2</v>
      </c>
      <c r="F348" s="26">
        <v>2</v>
      </c>
      <c r="G348" s="26" t="s">
        <v>51</v>
      </c>
      <c r="H348" s="26">
        <v>4</v>
      </c>
      <c r="I348" s="26" t="s">
        <v>51</v>
      </c>
      <c r="J348" s="26" t="s">
        <v>37</v>
      </c>
      <c r="K348" s="26"/>
      <c r="L348" s="26">
        <v>6</v>
      </c>
      <c r="M348" s="40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26"/>
      <c r="BF348" s="26"/>
      <c r="BG348" s="39"/>
      <c r="BH348" s="38"/>
      <c r="BI348" s="38"/>
      <c r="BJ348" s="38"/>
      <c r="BK348" s="38"/>
      <c r="BL348" s="38"/>
      <c r="BM348" s="38"/>
      <c r="BN348" s="38"/>
      <c r="BO348" s="37">
        <f t="shared" si="25"/>
        <v>0</v>
      </c>
      <c r="BP348" s="56">
        <f t="shared" si="26"/>
        <v>0</v>
      </c>
      <c r="BQ348" s="56">
        <f t="shared" si="27"/>
        <v>0</v>
      </c>
      <c r="BR348" s="57">
        <f t="shared" si="28"/>
        <v>0</v>
      </c>
      <c r="BS348" s="38"/>
      <c r="BT348" s="38"/>
      <c r="BU348" s="26"/>
      <c r="BV348" s="26"/>
      <c r="BW348" s="39">
        <f t="shared" si="29"/>
        <v>0</v>
      </c>
      <c r="BX348" s="78">
        <v>0</v>
      </c>
      <c r="BY348" s="63">
        <v>9</v>
      </c>
      <c r="BZ348" s="7"/>
      <c r="CA348" s="8"/>
      <c r="CB348" s="17"/>
      <c r="CC348" s="17"/>
    </row>
    <row r="349" spans="1:81" ht="16" x14ac:dyDescent="0.2">
      <c r="A349" s="111" t="s">
        <v>294</v>
      </c>
      <c r="B349" s="26">
        <v>42</v>
      </c>
      <c r="C349" s="109" t="s">
        <v>146</v>
      </c>
      <c r="D349" s="26">
        <v>12</v>
      </c>
      <c r="E349" s="26">
        <v>2</v>
      </c>
      <c r="F349" s="26">
        <v>2</v>
      </c>
      <c r="G349" s="26" t="s">
        <v>51</v>
      </c>
      <c r="H349" s="26">
        <v>4</v>
      </c>
      <c r="I349" s="26" t="s">
        <v>51</v>
      </c>
      <c r="J349" s="26"/>
      <c r="K349" s="38" t="s">
        <v>63</v>
      </c>
      <c r="L349" s="26">
        <v>6</v>
      </c>
      <c r="M349" s="40" t="s">
        <v>38</v>
      </c>
      <c r="N349" s="36">
        <f>4.5/7.5</f>
        <v>0.6</v>
      </c>
      <c r="O349" s="36"/>
      <c r="P349" s="36"/>
      <c r="Q349" s="36"/>
      <c r="R349" s="36"/>
      <c r="S349" s="36"/>
      <c r="T349" s="36"/>
      <c r="U349" s="36"/>
      <c r="V349" s="36"/>
      <c r="W349" s="36" t="s">
        <v>39</v>
      </c>
      <c r="X349" s="36">
        <f>3/7.5</f>
        <v>0.4</v>
      </c>
      <c r="Y349" s="36"/>
      <c r="Z349" s="36"/>
      <c r="AA349" s="36" t="s">
        <v>39</v>
      </c>
      <c r="AB349" s="36">
        <f>5/7.5</f>
        <v>0.66666666666666663</v>
      </c>
      <c r="AC349" s="36" t="s">
        <v>40</v>
      </c>
      <c r="AD349" s="36">
        <f>2.5/7.5</f>
        <v>0.33333333333333331</v>
      </c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 t="s">
        <v>39</v>
      </c>
      <c r="AP349" s="36">
        <f>5.5/7.5</f>
        <v>0.73333333333333328</v>
      </c>
      <c r="AQ349" s="36"/>
      <c r="AR349" s="36"/>
      <c r="AS349" s="36" t="s">
        <v>55</v>
      </c>
      <c r="AT349" s="36">
        <f>3/7.5</f>
        <v>0.4</v>
      </c>
      <c r="AU349" s="36" t="s">
        <v>38</v>
      </c>
      <c r="AV349" s="36">
        <f>3/7.5</f>
        <v>0.4</v>
      </c>
      <c r="AW349" s="36"/>
      <c r="AX349" s="36"/>
      <c r="AY349" s="36" t="s">
        <v>38</v>
      </c>
      <c r="AZ349" s="36">
        <f>3/7.5</f>
        <v>0.4</v>
      </c>
      <c r="BA349" s="36"/>
      <c r="BB349" s="36"/>
      <c r="BC349" s="36" t="s">
        <v>39</v>
      </c>
      <c r="BD349" s="36">
        <f>2/7.5</f>
        <v>0.26666666666666666</v>
      </c>
      <c r="BE349" s="26"/>
      <c r="BF349" s="26"/>
      <c r="BG349" s="39"/>
      <c r="BH349" s="38">
        <v>3</v>
      </c>
      <c r="BI349" s="38">
        <v>1</v>
      </c>
      <c r="BJ349" s="38">
        <v>2</v>
      </c>
      <c r="BK349" s="38"/>
      <c r="BL349" s="38">
        <v>1</v>
      </c>
      <c r="BM349" s="38"/>
      <c r="BN349" s="38">
        <v>1</v>
      </c>
      <c r="BO349" s="37">
        <f t="shared" si="25"/>
        <v>1</v>
      </c>
      <c r="BP349" s="56">
        <f t="shared" si="26"/>
        <v>5</v>
      </c>
      <c r="BQ349" s="56">
        <f t="shared" si="27"/>
        <v>0</v>
      </c>
      <c r="BR349" s="57">
        <f t="shared" si="28"/>
        <v>2</v>
      </c>
      <c r="BS349" s="38"/>
      <c r="BT349" s="38"/>
      <c r="BU349" s="26"/>
      <c r="BV349" s="26"/>
      <c r="BW349" s="39">
        <f t="shared" si="29"/>
        <v>8</v>
      </c>
      <c r="BX349" s="78">
        <v>2</v>
      </c>
      <c r="BY349" s="63">
        <v>2</v>
      </c>
      <c r="BZ349" s="7"/>
      <c r="CA349" s="8"/>
      <c r="CB349" s="17"/>
      <c r="CC349" s="17"/>
    </row>
    <row r="350" spans="1:81" ht="16" x14ac:dyDescent="0.2">
      <c r="A350" s="111" t="s">
        <v>294</v>
      </c>
      <c r="B350" s="26">
        <v>42</v>
      </c>
      <c r="C350" s="109" t="s">
        <v>146</v>
      </c>
      <c r="D350" s="26">
        <v>13</v>
      </c>
      <c r="E350" s="26">
        <v>2</v>
      </c>
      <c r="F350" s="26">
        <v>1</v>
      </c>
      <c r="G350" s="26" t="s">
        <v>54</v>
      </c>
      <c r="H350" s="26">
        <v>1</v>
      </c>
      <c r="I350" s="26" t="s">
        <v>54</v>
      </c>
      <c r="J350" s="26"/>
      <c r="K350" s="26">
        <v>1</v>
      </c>
      <c r="L350" s="26">
        <v>6</v>
      </c>
      <c r="M350" s="40"/>
      <c r="N350" s="36"/>
      <c r="O350" s="36"/>
      <c r="P350" s="36"/>
      <c r="Q350" s="36"/>
      <c r="R350" s="36"/>
      <c r="S350" s="36"/>
      <c r="T350" s="36"/>
      <c r="U350" s="36" t="s">
        <v>39</v>
      </c>
      <c r="V350" s="36">
        <f>2.5/8.5</f>
        <v>0.29411764705882354</v>
      </c>
      <c r="W350" s="36"/>
      <c r="X350" s="36"/>
      <c r="Y350" s="36" t="s">
        <v>48</v>
      </c>
      <c r="Z350" s="36">
        <v>0.41</v>
      </c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 t="s">
        <v>39</v>
      </c>
      <c r="AN350" s="36">
        <f>3/8.5</f>
        <v>0.35294117647058826</v>
      </c>
      <c r="AO350" s="36" t="s">
        <v>40</v>
      </c>
      <c r="AP350" s="36">
        <f>5/8.5</f>
        <v>0.58823529411764708</v>
      </c>
      <c r="AQ350" s="36" t="s">
        <v>70</v>
      </c>
      <c r="AR350" s="36">
        <f>4.5/8.5</f>
        <v>0.52941176470588236</v>
      </c>
      <c r="AS350" s="36" t="s">
        <v>38</v>
      </c>
      <c r="AT350" s="36">
        <f>2/8.5</f>
        <v>0.23529411764705882</v>
      </c>
      <c r="AU350" s="36"/>
      <c r="AV350" s="36"/>
      <c r="AW350" s="36"/>
      <c r="AX350" s="36"/>
      <c r="AY350" s="36" t="s">
        <v>38</v>
      </c>
      <c r="AZ350" s="36">
        <f>2.5/8.5</f>
        <v>0.29411764705882354</v>
      </c>
      <c r="BA350" s="36" t="s">
        <v>38</v>
      </c>
      <c r="BB350" s="36">
        <f>2.5/8.5</f>
        <v>0.29411764705882354</v>
      </c>
      <c r="BC350" s="36"/>
      <c r="BD350" s="36"/>
      <c r="BE350" s="26"/>
      <c r="BF350" s="26"/>
      <c r="BG350" s="39"/>
      <c r="BH350" s="38"/>
      <c r="BI350" s="38"/>
      <c r="BJ350" s="38">
        <v>1</v>
      </c>
      <c r="BK350" s="38"/>
      <c r="BL350" s="38">
        <v>1</v>
      </c>
      <c r="BM350" s="38"/>
      <c r="BN350" s="38">
        <v>1</v>
      </c>
      <c r="BO350" s="37">
        <f t="shared" si="25"/>
        <v>0</v>
      </c>
      <c r="BP350" s="56">
        <f t="shared" si="26"/>
        <v>1</v>
      </c>
      <c r="BQ350" s="56">
        <f t="shared" si="27"/>
        <v>1</v>
      </c>
      <c r="BR350" s="57">
        <f t="shared" si="28"/>
        <v>2</v>
      </c>
      <c r="BS350" s="38">
        <v>1</v>
      </c>
      <c r="BT350" s="38"/>
      <c r="BU350" s="26"/>
      <c r="BV350" s="26"/>
      <c r="BW350" s="39">
        <f t="shared" si="29"/>
        <v>4</v>
      </c>
      <c r="BX350" s="78">
        <v>4</v>
      </c>
      <c r="BY350" s="63">
        <v>1</v>
      </c>
      <c r="BZ350" s="7"/>
      <c r="CA350" s="8"/>
      <c r="CB350" s="17"/>
      <c r="CC350" s="17"/>
    </row>
    <row r="351" spans="1:81" ht="16" x14ac:dyDescent="0.2">
      <c r="A351" s="109" t="s">
        <v>294</v>
      </c>
      <c r="B351" s="26">
        <v>43</v>
      </c>
      <c r="C351" s="109" t="s">
        <v>147</v>
      </c>
      <c r="D351" s="38">
        <v>2</v>
      </c>
      <c r="E351" s="38">
        <v>2</v>
      </c>
      <c r="F351" s="38">
        <v>2</v>
      </c>
      <c r="G351" s="38" t="s">
        <v>51</v>
      </c>
      <c r="H351" s="38">
        <v>4</v>
      </c>
      <c r="I351" s="38" t="s">
        <v>51</v>
      </c>
      <c r="J351" s="38" t="s">
        <v>65</v>
      </c>
      <c r="K351" s="38"/>
      <c r="L351" s="38">
        <v>5</v>
      </c>
      <c r="M351" s="40"/>
      <c r="N351" s="36"/>
      <c r="O351" s="36"/>
      <c r="P351" s="36"/>
      <c r="Q351" s="36"/>
      <c r="R351" s="36"/>
      <c r="S351" s="36"/>
      <c r="T351" s="36"/>
      <c r="U351" s="36" t="s">
        <v>38</v>
      </c>
      <c r="V351" s="36">
        <f>16/16</f>
        <v>1</v>
      </c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 t="s">
        <v>39</v>
      </c>
      <c r="BB351" s="36">
        <f>16/16</f>
        <v>1</v>
      </c>
      <c r="BC351" s="36"/>
      <c r="BD351" s="36"/>
      <c r="BE351" s="38"/>
      <c r="BF351" s="38"/>
      <c r="BG351" s="43">
        <v>1</v>
      </c>
      <c r="BI351" s="41">
        <v>1</v>
      </c>
      <c r="BO351" s="37">
        <f t="shared" si="25"/>
        <v>2</v>
      </c>
      <c r="BP351" s="56">
        <f t="shared" si="26"/>
        <v>0</v>
      </c>
      <c r="BQ351" s="56">
        <f t="shared" si="27"/>
        <v>0</v>
      </c>
      <c r="BR351" s="57">
        <f t="shared" si="28"/>
        <v>0</v>
      </c>
      <c r="BS351" s="38"/>
      <c r="BT351" s="38"/>
      <c r="BU351" s="26"/>
      <c r="BV351" s="26"/>
      <c r="BW351" s="39">
        <f t="shared" si="29"/>
        <v>2</v>
      </c>
      <c r="BX351" s="78">
        <v>1</v>
      </c>
      <c r="BY351" s="63">
        <v>11</v>
      </c>
      <c r="BZ351" s="7"/>
      <c r="CA351" s="8"/>
      <c r="CB351" s="7"/>
      <c r="CC351" s="7"/>
    </row>
    <row r="352" spans="1:81" ht="16" x14ac:dyDescent="0.2">
      <c r="A352" s="109" t="s">
        <v>294</v>
      </c>
      <c r="B352" s="26">
        <v>43</v>
      </c>
      <c r="C352" s="109" t="s">
        <v>147</v>
      </c>
      <c r="D352" s="38">
        <v>3</v>
      </c>
      <c r="E352" s="38">
        <v>2</v>
      </c>
      <c r="F352" s="38">
        <v>2</v>
      </c>
      <c r="G352" s="38" t="s">
        <v>51</v>
      </c>
      <c r="H352" s="38">
        <v>4</v>
      </c>
      <c r="I352" s="38" t="s">
        <v>51</v>
      </c>
      <c r="J352" s="38" t="s">
        <v>60</v>
      </c>
      <c r="K352" s="38"/>
      <c r="L352" s="38">
        <v>6</v>
      </c>
      <c r="M352" s="40"/>
      <c r="N352" s="36"/>
      <c r="O352" s="36" t="s">
        <v>38</v>
      </c>
      <c r="P352" s="36">
        <f>11/16</f>
        <v>0.6875</v>
      </c>
      <c r="Q352" s="36"/>
      <c r="R352" s="36"/>
      <c r="S352" s="36"/>
      <c r="T352" s="36"/>
      <c r="U352" s="36" t="s">
        <v>38</v>
      </c>
      <c r="V352" s="36">
        <f>14/16</f>
        <v>0.875</v>
      </c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8"/>
      <c r="BF352" s="38"/>
      <c r="BG352" s="43">
        <v>1</v>
      </c>
      <c r="BH352" s="41">
        <v>1</v>
      </c>
      <c r="BO352" s="37">
        <f t="shared" si="25"/>
        <v>1</v>
      </c>
      <c r="BP352" s="56">
        <f t="shared" si="26"/>
        <v>1</v>
      </c>
      <c r="BQ352" s="56">
        <f t="shared" si="27"/>
        <v>0</v>
      </c>
      <c r="BR352" s="57">
        <f t="shared" si="28"/>
        <v>0</v>
      </c>
      <c r="BS352" s="38"/>
      <c r="BT352" s="38"/>
      <c r="BU352" s="26"/>
      <c r="BV352" s="26"/>
      <c r="BW352" s="39">
        <f t="shared" si="29"/>
        <v>2</v>
      </c>
      <c r="BX352" s="78">
        <v>2</v>
      </c>
      <c r="BY352" s="63">
        <v>7</v>
      </c>
      <c r="BZ352" s="7"/>
      <c r="CA352" s="8"/>
      <c r="CB352" s="7"/>
      <c r="CC352" s="7"/>
    </row>
    <row r="353" spans="1:81" ht="16" x14ac:dyDescent="0.2">
      <c r="A353" s="109" t="s">
        <v>294</v>
      </c>
      <c r="B353" s="26">
        <v>43</v>
      </c>
      <c r="C353" s="109" t="s">
        <v>147</v>
      </c>
      <c r="D353" s="38">
        <v>5</v>
      </c>
      <c r="E353" s="38">
        <v>2</v>
      </c>
      <c r="F353" s="38">
        <v>4</v>
      </c>
      <c r="G353" s="38" t="s">
        <v>50</v>
      </c>
      <c r="H353" s="38"/>
      <c r="I353" s="38"/>
      <c r="J353" s="38" t="s">
        <v>42</v>
      </c>
      <c r="K353" s="38"/>
      <c r="L353" s="38">
        <v>5</v>
      </c>
      <c r="M353" s="40"/>
      <c r="N353" s="36"/>
      <c r="O353" s="36"/>
      <c r="P353" s="36"/>
      <c r="Q353" s="36" t="s">
        <v>38</v>
      </c>
      <c r="R353" s="36">
        <f>7/16</f>
        <v>0.4375</v>
      </c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 t="s">
        <v>38</v>
      </c>
      <c r="AT353" s="36">
        <f>6/16</f>
        <v>0.375</v>
      </c>
      <c r="AU353" s="36"/>
      <c r="AV353" s="36"/>
      <c r="AW353" s="36"/>
      <c r="AX353" s="36"/>
      <c r="AY353" s="36"/>
      <c r="AZ353" s="36"/>
      <c r="BA353" s="36"/>
      <c r="BB353" s="36"/>
      <c r="BC353" s="36" t="s">
        <v>38</v>
      </c>
      <c r="BD353" s="36">
        <f>14/16</f>
        <v>0.875</v>
      </c>
      <c r="BE353" s="38"/>
      <c r="BF353" s="38"/>
      <c r="BG353" s="43">
        <v>1</v>
      </c>
      <c r="BH353" s="41">
        <v>2</v>
      </c>
      <c r="BO353" s="37">
        <f t="shared" si="25"/>
        <v>1</v>
      </c>
      <c r="BP353" s="56">
        <f t="shared" si="26"/>
        <v>2</v>
      </c>
      <c r="BQ353" s="56">
        <f t="shared" si="27"/>
        <v>0</v>
      </c>
      <c r="BR353" s="57">
        <f t="shared" si="28"/>
        <v>0</v>
      </c>
      <c r="BS353" s="38"/>
      <c r="BT353" s="38"/>
      <c r="BU353" s="26"/>
      <c r="BV353" s="26"/>
      <c r="BW353" s="39">
        <f t="shared" si="29"/>
        <v>3</v>
      </c>
      <c r="BX353" s="78">
        <v>2</v>
      </c>
      <c r="BY353" s="63">
        <v>8</v>
      </c>
      <c r="BZ353" s="7"/>
      <c r="CA353" s="19"/>
      <c r="CB353" s="7"/>
      <c r="CC353" s="7"/>
    </row>
    <row r="354" spans="1:81" ht="16" x14ac:dyDescent="0.2">
      <c r="A354" s="109" t="s">
        <v>294</v>
      </c>
      <c r="B354" s="26">
        <v>43</v>
      </c>
      <c r="C354" s="109" t="s">
        <v>147</v>
      </c>
      <c r="D354" s="38">
        <v>6</v>
      </c>
      <c r="E354" s="38">
        <v>2</v>
      </c>
      <c r="F354" s="38">
        <v>2</v>
      </c>
      <c r="G354" s="38" t="s">
        <v>51</v>
      </c>
      <c r="H354" s="38">
        <v>5</v>
      </c>
      <c r="I354" s="38" t="s">
        <v>50</v>
      </c>
      <c r="J354" s="38"/>
      <c r="K354" s="38">
        <v>8</v>
      </c>
      <c r="L354" s="38">
        <v>6</v>
      </c>
      <c r="M354" s="40"/>
      <c r="N354" s="36"/>
      <c r="O354" s="36"/>
      <c r="P354" s="36"/>
      <c r="Q354" s="36"/>
      <c r="R354" s="36"/>
      <c r="S354" s="36"/>
      <c r="T354" s="36"/>
      <c r="U354" s="36"/>
      <c r="V354" s="36"/>
      <c r="W354" s="36" t="s">
        <v>38</v>
      </c>
      <c r="X354" s="36">
        <f>6/10</f>
        <v>0.6</v>
      </c>
      <c r="Y354" s="36" t="s">
        <v>38</v>
      </c>
      <c r="Z354" s="36">
        <f>5/10</f>
        <v>0.5</v>
      </c>
      <c r="AA354" s="36"/>
      <c r="AB354" s="36"/>
      <c r="AC354" s="36"/>
      <c r="AD354" s="36"/>
      <c r="AE354" s="36"/>
      <c r="AF354" s="36"/>
      <c r="AG354" s="36"/>
      <c r="AH354" s="36"/>
      <c r="AI354" s="36" t="s">
        <v>39</v>
      </c>
      <c r="AJ354" s="36">
        <f>6.5/10</f>
        <v>0.65</v>
      </c>
      <c r="AK354" s="36"/>
      <c r="AL354" s="36"/>
      <c r="AM354" s="36"/>
      <c r="AN354" s="36"/>
      <c r="AO354" s="36" t="s">
        <v>38</v>
      </c>
      <c r="AP354" s="36">
        <f>4/10</f>
        <v>0.4</v>
      </c>
      <c r="AQ354" s="36"/>
      <c r="AR354" s="36"/>
      <c r="AS354" s="36" t="s">
        <v>38</v>
      </c>
      <c r="AT354" s="36">
        <f>4/10</f>
        <v>0.4</v>
      </c>
      <c r="AU354" s="36" t="s">
        <v>38</v>
      </c>
      <c r="AV354" s="36">
        <f>4.5/10</f>
        <v>0.45</v>
      </c>
      <c r="AW354" s="36"/>
      <c r="AX354" s="36"/>
      <c r="AY354" s="36"/>
      <c r="AZ354" s="36"/>
      <c r="BA354" s="36"/>
      <c r="BB354" s="36"/>
      <c r="BC354" s="36"/>
      <c r="BD354" s="36"/>
      <c r="BE354" s="38"/>
      <c r="BF354" s="38"/>
      <c r="BG354" s="37"/>
      <c r="BH354" s="26">
        <v>5</v>
      </c>
      <c r="BI354" s="26"/>
      <c r="BJ354" s="26">
        <v>1</v>
      </c>
      <c r="BK354" s="26"/>
      <c r="BL354" s="26"/>
      <c r="BM354" s="26"/>
      <c r="BN354" s="26"/>
      <c r="BO354" s="37">
        <f t="shared" si="25"/>
        <v>0</v>
      </c>
      <c r="BP354" s="56">
        <f t="shared" si="26"/>
        <v>6</v>
      </c>
      <c r="BQ354" s="56">
        <f t="shared" si="27"/>
        <v>0</v>
      </c>
      <c r="BR354" s="57">
        <f t="shared" si="28"/>
        <v>0</v>
      </c>
      <c r="BS354" s="38"/>
      <c r="BT354" s="38"/>
      <c r="BU354" s="26"/>
      <c r="BV354" s="26"/>
      <c r="BW354" s="39">
        <f t="shared" si="29"/>
        <v>6</v>
      </c>
      <c r="BX354" s="78">
        <v>3</v>
      </c>
      <c r="BY354" s="63">
        <v>1</v>
      </c>
      <c r="CB354" s="7"/>
      <c r="CC354" s="7"/>
    </row>
    <row r="355" spans="1:81" ht="16" x14ac:dyDescent="0.2">
      <c r="A355" s="109" t="s">
        <v>294</v>
      </c>
      <c r="B355" s="26">
        <v>43</v>
      </c>
      <c r="C355" s="109" t="s">
        <v>147</v>
      </c>
      <c r="D355" s="38">
        <v>8</v>
      </c>
      <c r="E355" s="38">
        <v>2</v>
      </c>
      <c r="F355" s="38">
        <v>2</v>
      </c>
      <c r="G355" s="38" t="s">
        <v>51</v>
      </c>
      <c r="H355" s="38">
        <v>6</v>
      </c>
      <c r="I355" s="38" t="s">
        <v>50</v>
      </c>
      <c r="J355" s="38"/>
      <c r="K355" s="38" t="s">
        <v>63</v>
      </c>
      <c r="L355" s="38">
        <v>6</v>
      </c>
      <c r="M355" s="40"/>
      <c r="N355" s="36"/>
      <c r="O355" s="36" t="s">
        <v>39</v>
      </c>
      <c r="P355" s="36">
        <f>4/8.5</f>
        <v>0.47058823529411764</v>
      </c>
      <c r="Q355" s="36"/>
      <c r="R355" s="36"/>
      <c r="S355" s="36" t="s">
        <v>39</v>
      </c>
      <c r="T355" s="36">
        <f>3/8.5</f>
        <v>0.35294117647058826</v>
      </c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 t="s">
        <v>39</v>
      </c>
      <c r="AH355" s="36">
        <f>4/8.5</f>
        <v>0.47058823529411764</v>
      </c>
      <c r="AI355" s="36"/>
      <c r="AJ355" s="36"/>
      <c r="AK355" s="36"/>
      <c r="AL355" s="36"/>
      <c r="AM355" s="36"/>
      <c r="AN355" s="36"/>
      <c r="AO355" s="36"/>
      <c r="AP355" s="36"/>
      <c r="AQ355" s="36" t="s">
        <v>38</v>
      </c>
      <c r="AR355" s="36">
        <f>3/8.5</f>
        <v>0.35294117647058826</v>
      </c>
      <c r="AS355" s="36" t="s">
        <v>39</v>
      </c>
      <c r="AT355" s="36">
        <f>7/8.5</f>
        <v>0.82352941176470584</v>
      </c>
      <c r="AU355" s="36"/>
      <c r="AV355" s="36"/>
      <c r="AW355" s="36"/>
      <c r="AX355" s="36"/>
      <c r="AY355" s="36"/>
      <c r="AZ355" s="36"/>
      <c r="BA355" s="36" t="s">
        <v>39</v>
      </c>
      <c r="BB355" s="36">
        <f>8.5/8.5</f>
        <v>1</v>
      </c>
      <c r="BC355" s="36"/>
      <c r="BD355" s="36"/>
      <c r="BE355" s="38"/>
      <c r="BF355" s="38"/>
      <c r="BG355" s="37"/>
      <c r="BH355" s="26">
        <v>1</v>
      </c>
      <c r="BI355" s="26">
        <v>2</v>
      </c>
      <c r="BJ355" s="26">
        <v>3</v>
      </c>
      <c r="BK355" s="26"/>
      <c r="BL355" s="26"/>
      <c r="BM355" s="26"/>
      <c r="BO355" s="37">
        <f t="shared" si="25"/>
        <v>2</v>
      </c>
      <c r="BP355" s="56">
        <f t="shared" si="26"/>
        <v>4</v>
      </c>
      <c r="BQ355" s="56">
        <f t="shared" si="27"/>
        <v>0</v>
      </c>
      <c r="BR355" s="57">
        <f t="shared" si="28"/>
        <v>0</v>
      </c>
      <c r="BS355" s="38"/>
      <c r="BT355" s="38"/>
      <c r="BU355" s="26"/>
      <c r="BV355" s="26"/>
      <c r="BW355" s="39">
        <f t="shared" si="29"/>
        <v>6</v>
      </c>
      <c r="BX355" s="78">
        <v>2</v>
      </c>
      <c r="BY355" s="63">
        <v>2</v>
      </c>
    </row>
    <row r="356" spans="1:81" ht="16" x14ac:dyDescent="0.2">
      <c r="A356" s="109" t="s">
        <v>294</v>
      </c>
      <c r="B356" s="26">
        <v>43</v>
      </c>
      <c r="C356" s="109" t="s">
        <v>147</v>
      </c>
      <c r="D356" s="38">
        <v>9</v>
      </c>
      <c r="E356" s="38">
        <v>2</v>
      </c>
      <c r="F356" s="38">
        <v>3</v>
      </c>
      <c r="G356" s="38" t="s">
        <v>50</v>
      </c>
      <c r="H356" s="38" t="s">
        <v>77</v>
      </c>
      <c r="I356" s="38" t="s">
        <v>50</v>
      </c>
      <c r="J356" s="38"/>
      <c r="K356" s="38" t="s">
        <v>63</v>
      </c>
      <c r="L356" s="38">
        <v>6</v>
      </c>
      <c r="M356" s="40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 t="s">
        <v>38</v>
      </c>
      <c r="AP356" s="36">
        <v>0.64</v>
      </c>
      <c r="AQ356" s="36"/>
      <c r="AR356" s="36"/>
      <c r="AS356" s="36"/>
      <c r="AT356" s="36"/>
      <c r="AU356" s="36" t="s">
        <v>38</v>
      </c>
      <c r="AV356" s="36">
        <v>0.52</v>
      </c>
      <c r="AW356" s="36"/>
      <c r="AX356" s="36"/>
      <c r="AY356" s="36"/>
      <c r="AZ356" s="36"/>
      <c r="BA356" s="36"/>
      <c r="BB356" s="36"/>
      <c r="BD356" s="36"/>
      <c r="BE356" s="38" t="s">
        <v>38</v>
      </c>
      <c r="BF356" s="38" t="s">
        <v>67</v>
      </c>
      <c r="BG356" s="37"/>
      <c r="BH356" s="26">
        <v>2</v>
      </c>
      <c r="BI356" s="26"/>
      <c r="BJ356" s="26"/>
      <c r="BK356" s="26"/>
      <c r="BL356" s="26"/>
      <c r="BM356" s="26"/>
      <c r="BN356" s="26"/>
      <c r="BO356" s="37">
        <f t="shared" si="25"/>
        <v>1</v>
      </c>
      <c r="BP356" s="56">
        <f t="shared" si="26"/>
        <v>2</v>
      </c>
      <c r="BQ356" s="56">
        <f t="shared" si="27"/>
        <v>0</v>
      </c>
      <c r="BR356" s="57">
        <f t="shared" si="28"/>
        <v>0</v>
      </c>
      <c r="BS356" s="38"/>
      <c r="BT356" s="38"/>
      <c r="BU356" s="26">
        <v>1</v>
      </c>
      <c r="BV356" s="26"/>
      <c r="BW356" s="39">
        <f t="shared" si="29"/>
        <v>3</v>
      </c>
      <c r="BX356" s="78">
        <v>2</v>
      </c>
      <c r="BY356" s="63">
        <v>2</v>
      </c>
      <c r="BZ356" s="7"/>
      <c r="CA356" s="8"/>
      <c r="CB356" s="7"/>
      <c r="CC356" s="7"/>
    </row>
    <row r="357" spans="1:81" ht="16" x14ac:dyDescent="0.2">
      <c r="A357" s="109" t="s">
        <v>294</v>
      </c>
      <c r="B357" s="26">
        <v>43</v>
      </c>
      <c r="C357" s="109" t="s">
        <v>147</v>
      </c>
      <c r="D357" s="38">
        <v>10</v>
      </c>
      <c r="E357" s="38">
        <v>2</v>
      </c>
      <c r="F357" s="38">
        <v>2</v>
      </c>
      <c r="G357" s="38" t="s">
        <v>51</v>
      </c>
      <c r="H357" s="38">
        <v>4</v>
      </c>
      <c r="I357" s="38" t="s">
        <v>51</v>
      </c>
      <c r="J357" s="38"/>
      <c r="K357" s="38" t="s">
        <v>63</v>
      </c>
      <c r="L357" s="38">
        <v>6</v>
      </c>
      <c r="M357" s="40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 t="s">
        <v>39</v>
      </c>
      <c r="BB357" s="36">
        <f>8.5/9</f>
        <v>0.94444444444444442</v>
      </c>
      <c r="BC357" s="36" t="s">
        <v>39</v>
      </c>
      <c r="BD357" s="36">
        <f>8.5/9</f>
        <v>0.94444444444444442</v>
      </c>
      <c r="BE357" s="38"/>
      <c r="BF357" s="38"/>
      <c r="BG357" s="37"/>
      <c r="BH357" s="26"/>
      <c r="BI357" s="26">
        <v>2</v>
      </c>
      <c r="BJ357" s="26"/>
      <c r="BK357" s="26"/>
      <c r="BL357" s="26"/>
      <c r="BM357" s="26"/>
      <c r="BN357" s="26"/>
      <c r="BO357" s="37">
        <f t="shared" si="25"/>
        <v>2</v>
      </c>
      <c r="BP357" s="56">
        <f t="shared" si="26"/>
        <v>0</v>
      </c>
      <c r="BQ357" s="56">
        <f t="shared" si="27"/>
        <v>0</v>
      </c>
      <c r="BR357" s="57">
        <f t="shared" si="28"/>
        <v>0</v>
      </c>
      <c r="BS357" s="38"/>
      <c r="BT357" s="38"/>
      <c r="BU357" s="26"/>
      <c r="BV357" s="26"/>
      <c r="BW357" s="39">
        <f t="shared" si="29"/>
        <v>2</v>
      </c>
      <c r="BX357" s="78">
        <v>1</v>
      </c>
      <c r="BY357" s="63">
        <v>2</v>
      </c>
      <c r="BZ357" s="7"/>
      <c r="CA357" s="8"/>
      <c r="CB357" s="7"/>
      <c r="CC357" s="7"/>
    </row>
    <row r="358" spans="1:81" ht="16" x14ac:dyDescent="0.2">
      <c r="A358" s="109" t="s">
        <v>294</v>
      </c>
      <c r="B358" s="26">
        <v>43</v>
      </c>
      <c r="C358" s="109" t="s">
        <v>147</v>
      </c>
      <c r="D358" s="38">
        <v>13</v>
      </c>
      <c r="E358" s="38">
        <v>2</v>
      </c>
      <c r="F358" s="38">
        <v>2</v>
      </c>
      <c r="G358" s="38" t="s">
        <v>51</v>
      </c>
      <c r="H358" s="38">
        <v>4</v>
      </c>
      <c r="I358" s="38" t="s">
        <v>51</v>
      </c>
      <c r="J358" s="38" t="s">
        <v>41</v>
      </c>
      <c r="K358" s="38"/>
      <c r="L358" s="38">
        <v>5</v>
      </c>
      <c r="M358" s="40"/>
      <c r="N358" s="36"/>
      <c r="O358" s="36"/>
      <c r="P358" s="36"/>
      <c r="Q358" s="36"/>
      <c r="R358" s="36"/>
      <c r="S358" s="36"/>
      <c r="T358" s="36"/>
      <c r="U358" s="36" t="s">
        <v>38</v>
      </c>
      <c r="V358" s="36">
        <f>10.5/16</f>
        <v>0.65625</v>
      </c>
      <c r="W358" s="36"/>
      <c r="X358" s="36"/>
      <c r="Y358" s="36"/>
      <c r="Z358" s="36"/>
      <c r="AA358" s="36" t="s">
        <v>39</v>
      </c>
      <c r="AB358" s="36">
        <f>8/16</f>
        <v>0.5</v>
      </c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 t="s">
        <v>38</v>
      </c>
      <c r="AN358" s="36">
        <f>7.5/16</f>
        <v>0.46875</v>
      </c>
      <c r="AO358" s="36" t="s">
        <v>39</v>
      </c>
      <c r="AP358" s="36">
        <f>7.5/16</f>
        <v>0.46875</v>
      </c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 t="s">
        <v>39</v>
      </c>
      <c r="BD358" s="36">
        <f>6.5/16</f>
        <v>0.40625</v>
      </c>
      <c r="BE358" s="38"/>
      <c r="BF358" s="38"/>
      <c r="BG358" s="37"/>
      <c r="BH358" s="26">
        <v>2</v>
      </c>
      <c r="BI358" s="26"/>
      <c r="BJ358" s="26">
        <v>3</v>
      </c>
      <c r="BK358" s="26"/>
      <c r="BL358" s="26"/>
      <c r="BM358" s="26"/>
      <c r="BN358" s="26"/>
      <c r="BO358" s="37">
        <f t="shared" si="25"/>
        <v>0</v>
      </c>
      <c r="BP358" s="56">
        <f t="shared" si="26"/>
        <v>5</v>
      </c>
      <c r="BQ358" s="56">
        <f t="shared" si="27"/>
        <v>0</v>
      </c>
      <c r="BR358" s="57">
        <f t="shared" si="28"/>
        <v>0</v>
      </c>
      <c r="BS358" s="38"/>
      <c r="BT358" s="38"/>
      <c r="BU358" s="26"/>
      <c r="BV358" s="26"/>
      <c r="BW358" s="39">
        <f t="shared" si="29"/>
        <v>5</v>
      </c>
      <c r="BX358" s="78">
        <v>3</v>
      </c>
      <c r="BY358" s="63">
        <v>10</v>
      </c>
      <c r="BZ358" s="7"/>
      <c r="CA358" s="8"/>
      <c r="CB358" s="7"/>
      <c r="CC358" s="7"/>
    </row>
    <row r="359" spans="1:81" ht="16" x14ac:dyDescent="0.2">
      <c r="A359" s="109" t="s">
        <v>294</v>
      </c>
      <c r="B359" s="26">
        <v>43</v>
      </c>
      <c r="C359" s="109" t="s">
        <v>148</v>
      </c>
      <c r="D359" s="38">
        <v>1</v>
      </c>
      <c r="E359" s="38">
        <v>2</v>
      </c>
      <c r="F359" s="38">
        <v>2</v>
      </c>
      <c r="G359" s="38" t="s">
        <v>51</v>
      </c>
      <c r="H359" s="38">
        <v>4</v>
      </c>
      <c r="I359" s="38" t="s">
        <v>51</v>
      </c>
      <c r="J359" s="38" t="s">
        <v>60</v>
      </c>
      <c r="K359" s="38"/>
      <c r="L359" s="38">
        <v>6</v>
      </c>
      <c r="M359" s="40"/>
      <c r="N359" s="36"/>
      <c r="O359" s="36"/>
      <c r="P359" s="36"/>
      <c r="Q359" s="36"/>
      <c r="R359" s="36"/>
      <c r="S359" s="36"/>
      <c r="T359" s="36"/>
      <c r="U359" s="36" t="s">
        <v>39</v>
      </c>
      <c r="V359" s="36">
        <f>7.5/18</f>
        <v>0.41666666666666669</v>
      </c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 t="s">
        <v>38</v>
      </c>
      <c r="AN359" s="36">
        <f>19.5/18</f>
        <v>1.0833333333333333</v>
      </c>
      <c r="AO359" s="36" t="s">
        <v>39</v>
      </c>
      <c r="AP359" s="36">
        <f>7/18</f>
        <v>0.3888888888888889</v>
      </c>
      <c r="AQ359" s="36"/>
      <c r="AR359" s="36"/>
      <c r="AS359" s="36"/>
      <c r="AT359" s="36"/>
      <c r="AU359" s="36"/>
      <c r="AV359" s="36"/>
      <c r="AW359" s="36" t="s">
        <v>38</v>
      </c>
      <c r="AX359" s="36">
        <f>8.5/18</f>
        <v>0.47222222222222221</v>
      </c>
      <c r="AY359" s="36" t="s">
        <v>39</v>
      </c>
      <c r="AZ359" s="36">
        <f>6.5/18</f>
        <v>0.3611111111111111</v>
      </c>
      <c r="BA359" s="36"/>
      <c r="BB359" s="36"/>
      <c r="BC359" s="36"/>
      <c r="BD359" s="36"/>
      <c r="BE359" s="38"/>
      <c r="BF359" s="38"/>
      <c r="BG359" s="37">
        <v>1</v>
      </c>
      <c r="BH359" s="26">
        <v>1</v>
      </c>
      <c r="BI359" s="26"/>
      <c r="BJ359" s="26">
        <v>3</v>
      </c>
      <c r="BK359" s="26"/>
      <c r="BL359" s="26"/>
      <c r="BM359" s="26"/>
      <c r="BN359" s="26"/>
      <c r="BO359" s="37">
        <f t="shared" si="25"/>
        <v>1</v>
      </c>
      <c r="BP359" s="56">
        <f t="shared" si="26"/>
        <v>4</v>
      </c>
      <c r="BQ359" s="56">
        <f t="shared" si="27"/>
        <v>0</v>
      </c>
      <c r="BR359" s="57">
        <f t="shared" si="28"/>
        <v>0</v>
      </c>
      <c r="BS359" s="38"/>
      <c r="BT359" s="38"/>
      <c r="BU359" s="26"/>
      <c r="BV359" s="26"/>
      <c r="BW359" s="39">
        <f t="shared" si="29"/>
        <v>5</v>
      </c>
      <c r="BX359" s="78">
        <v>2</v>
      </c>
      <c r="BY359" s="63">
        <v>7</v>
      </c>
      <c r="BZ359" s="7"/>
      <c r="CA359" s="8"/>
      <c r="CB359" s="7"/>
      <c r="CC359" s="7"/>
    </row>
    <row r="360" spans="1:81" ht="16" x14ac:dyDescent="0.2">
      <c r="A360" s="109" t="s">
        <v>294</v>
      </c>
      <c r="B360" s="26">
        <v>43</v>
      </c>
      <c r="C360" s="109" t="s">
        <v>148</v>
      </c>
      <c r="D360" s="38">
        <v>3</v>
      </c>
      <c r="E360" s="38">
        <v>2</v>
      </c>
      <c r="F360" s="38">
        <v>2</v>
      </c>
      <c r="G360" s="38" t="s">
        <v>51</v>
      </c>
      <c r="H360" s="38">
        <v>4</v>
      </c>
      <c r="I360" s="38" t="s">
        <v>51</v>
      </c>
      <c r="J360" s="38" t="s">
        <v>42</v>
      </c>
      <c r="K360" s="38"/>
      <c r="L360" s="38">
        <v>5</v>
      </c>
      <c r="M360" s="40"/>
      <c r="N360" s="36"/>
      <c r="O360" s="36"/>
      <c r="P360" s="36"/>
      <c r="Q360" s="36" t="s">
        <v>40</v>
      </c>
      <c r="R360" s="36">
        <f>18/18</f>
        <v>1</v>
      </c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 t="s">
        <v>38</v>
      </c>
      <c r="AV360" s="36">
        <f>6/18</f>
        <v>0.33333333333333331</v>
      </c>
      <c r="AW360" s="36"/>
      <c r="AX360" s="36"/>
      <c r="AY360" s="36"/>
      <c r="AZ360" s="36"/>
      <c r="BA360" s="36"/>
      <c r="BB360" s="36"/>
      <c r="BC360" s="36" t="s">
        <v>39</v>
      </c>
      <c r="BD360" s="36">
        <f>15/18</f>
        <v>0.83333333333333337</v>
      </c>
      <c r="BE360" s="38"/>
      <c r="BF360" s="38"/>
      <c r="BG360" s="37"/>
      <c r="BH360" s="26">
        <v>1</v>
      </c>
      <c r="BI360" s="26">
        <v>1</v>
      </c>
      <c r="BJ360" s="26"/>
      <c r="BK360" s="26"/>
      <c r="BL360" s="26"/>
      <c r="BM360" s="26">
        <v>1</v>
      </c>
      <c r="BN360" s="26"/>
      <c r="BO360" s="37">
        <f t="shared" si="25"/>
        <v>1</v>
      </c>
      <c r="BP360" s="56">
        <f t="shared" si="26"/>
        <v>1</v>
      </c>
      <c r="BQ360" s="56">
        <f t="shared" si="27"/>
        <v>1</v>
      </c>
      <c r="BR360" s="57">
        <f t="shared" si="28"/>
        <v>0</v>
      </c>
      <c r="BS360" s="38"/>
      <c r="BT360" s="38"/>
      <c r="BU360" s="26"/>
      <c r="BV360" s="26"/>
      <c r="BW360" s="39">
        <f t="shared" si="29"/>
        <v>3</v>
      </c>
      <c r="BX360" s="78">
        <v>2</v>
      </c>
      <c r="BY360" s="63">
        <v>8</v>
      </c>
      <c r="BZ360" s="7"/>
      <c r="CA360" s="8"/>
      <c r="CB360" s="7"/>
      <c r="CC360" s="7"/>
    </row>
    <row r="361" spans="1:81" ht="16" x14ac:dyDescent="0.2">
      <c r="A361" s="109" t="s">
        <v>294</v>
      </c>
      <c r="B361" s="26">
        <v>43</v>
      </c>
      <c r="C361" s="109" t="s">
        <v>148</v>
      </c>
      <c r="D361" s="38">
        <v>5</v>
      </c>
      <c r="E361" s="38">
        <v>2</v>
      </c>
      <c r="F361" s="38">
        <v>2</v>
      </c>
      <c r="G361" s="38" t="s">
        <v>51</v>
      </c>
      <c r="H361" s="38">
        <v>4</v>
      </c>
      <c r="I361" s="38" t="s">
        <v>51</v>
      </c>
      <c r="J361" s="38" t="s">
        <v>42</v>
      </c>
      <c r="K361" s="38"/>
      <c r="L361" s="38">
        <v>6</v>
      </c>
      <c r="M361" s="40"/>
      <c r="N361" s="36"/>
      <c r="O361" s="36"/>
      <c r="P361" s="36"/>
      <c r="Q361" s="36" t="s">
        <v>38</v>
      </c>
      <c r="R361" s="36">
        <f>19/18</f>
        <v>1.0555555555555556</v>
      </c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 t="s">
        <v>39</v>
      </c>
      <c r="AH361" s="36">
        <f>19/18</f>
        <v>1.0555555555555556</v>
      </c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 t="s">
        <v>38</v>
      </c>
      <c r="BB361" s="36">
        <f>17/18</f>
        <v>0.94444444444444442</v>
      </c>
      <c r="BC361" s="36"/>
      <c r="BD361" s="36"/>
      <c r="BE361" s="38"/>
      <c r="BF361" s="38"/>
      <c r="BG361" s="37">
        <v>2</v>
      </c>
      <c r="BH361" s="26"/>
      <c r="BI361" s="26">
        <v>1</v>
      </c>
      <c r="BJ361" s="26"/>
      <c r="BK361" s="26"/>
      <c r="BL361" s="26"/>
      <c r="BM361" s="26"/>
      <c r="BN361" s="26"/>
      <c r="BO361" s="37">
        <f t="shared" si="25"/>
        <v>3</v>
      </c>
      <c r="BP361" s="56">
        <f t="shared" si="26"/>
        <v>0</v>
      </c>
      <c r="BQ361" s="56">
        <f t="shared" si="27"/>
        <v>0</v>
      </c>
      <c r="BR361" s="57">
        <f t="shared" si="28"/>
        <v>0</v>
      </c>
      <c r="BS361" s="38"/>
      <c r="BT361" s="38"/>
      <c r="BU361" s="26"/>
      <c r="BV361" s="26"/>
      <c r="BW361" s="39">
        <f t="shared" si="29"/>
        <v>3</v>
      </c>
      <c r="BX361" s="78">
        <v>1</v>
      </c>
      <c r="BY361" s="63">
        <v>8</v>
      </c>
      <c r="BZ361" s="7"/>
      <c r="CA361" s="8"/>
      <c r="CB361" s="7"/>
      <c r="CC361" s="7"/>
    </row>
    <row r="362" spans="1:81" ht="16" x14ac:dyDescent="0.2">
      <c r="A362" s="109" t="s">
        <v>294</v>
      </c>
      <c r="B362" s="26">
        <v>43</v>
      </c>
      <c r="C362" s="109" t="s">
        <v>149</v>
      </c>
      <c r="D362" s="38">
        <v>1</v>
      </c>
      <c r="E362" s="38">
        <v>2</v>
      </c>
      <c r="F362" s="38">
        <v>2</v>
      </c>
      <c r="G362" s="38" t="s">
        <v>51</v>
      </c>
      <c r="H362" s="38">
        <v>4</v>
      </c>
      <c r="I362" s="38" t="s">
        <v>51</v>
      </c>
      <c r="J362" s="38" t="s">
        <v>42</v>
      </c>
      <c r="K362" s="38"/>
      <c r="L362" s="38">
        <v>5</v>
      </c>
      <c r="M362" s="40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 t="s">
        <v>39</v>
      </c>
      <c r="AR362" s="36">
        <f>13/16</f>
        <v>0.8125</v>
      </c>
      <c r="AS362" s="36"/>
      <c r="AT362" s="36"/>
      <c r="AU362" s="36"/>
      <c r="AV362" s="36"/>
      <c r="AW362" s="36"/>
      <c r="AX362" s="36"/>
      <c r="AY362" s="36" t="s">
        <v>39</v>
      </c>
      <c r="AZ362" s="36">
        <f>14.5/16</f>
        <v>0.90625</v>
      </c>
      <c r="BA362" s="36" t="s">
        <v>39</v>
      </c>
      <c r="BB362" s="36">
        <f>16.5/16</f>
        <v>1.03125</v>
      </c>
      <c r="BC362" s="36"/>
      <c r="BD362" s="36"/>
      <c r="BE362" s="38"/>
      <c r="BF362" s="38"/>
      <c r="BG362" s="39"/>
      <c r="BH362" s="38"/>
      <c r="BI362" s="38">
        <v>3</v>
      </c>
      <c r="BJ362" s="38"/>
      <c r="BK362" s="38"/>
      <c r="BL362" s="38"/>
      <c r="BM362" s="38"/>
      <c r="BN362" s="38"/>
      <c r="BO362" s="37">
        <f t="shared" si="25"/>
        <v>3</v>
      </c>
      <c r="BP362" s="56">
        <f t="shared" si="26"/>
        <v>0</v>
      </c>
      <c r="BQ362" s="56">
        <f t="shared" si="27"/>
        <v>0</v>
      </c>
      <c r="BR362" s="57">
        <f t="shared" si="28"/>
        <v>0</v>
      </c>
      <c r="BS362" s="38"/>
      <c r="BT362" s="38"/>
      <c r="BU362" s="26"/>
      <c r="BV362" s="26"/>
      <c r="BW362" s="39">
        <f t="shared" si="29"/>
        <v>3</v>
      </c>
      <c r="BX362" s="78">
        <v>1</v>
      </c>
      <c r="BY362" s="63">
        <v>8</v>
      </c>
      <c r="BZ362" s="7"/>
      <c r="CA362" s="8"/>
      <c r="CB362" s="7"/>
      <c r="CC362" s="7"/>
    </row>
    <row r="363" spans="1:81" ht="16" x14ac:dyDescent="0.2">
      <c r="A363" s="109" t="s">
        <v>294</v>
      </c>
      <c r="B363" s="26">
        <v>43</v>
      </c>
      <c r="C363" s="109" t="s">
        <v>149</v>
      </c>
      <c r="D363" s="38">
        <v>4</v>
      </c>
      <c r="E363" s="38">
        <v>2</v>
      </c>
      <c r="F363" s="38">
        <v>2</v>
      </c>
      <c r="G363" s="38" t="s">
        <v>51</v>
      </c>
      <c r="H363" s="38">
        <v>3</v>
      </c>
      <c r="I363" s="38" t="s">
        <v>54</v>
      </c>
      <c r="J363" s="38" t="s">
        <v>42</v>
      </c>
      <c r="K363" s="38"/>
      <c r="L363" s="38">
        <v>5</v>
      </c>
      <c r="M363" s="40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 t="s">
        <v>55</v>
      </c>
      <c r="AR363" s="36">
        <f>8/16</f>
        <v>0.5</v>
      </c>
      <c r="AS363" s="36" t="s">
        <v>38</v>
      </c>
      <c r="AT363" s="36">
        <f>15/16</f>
        <v>0.9375</v>
      </c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8"/>
      <c r="BF363" s="38"/>
      <c r="BG363" s="39">
        <v>1</v>
      </c>
      <c r="BH363" s="38"/>
      <c r="BI363" s="38"/>
      <c r="BJ363" s="38"/>
      <c r="BK363" s="38"/>
      <c r="BL363" s="38">
        <v>1</v>
      </c>
      <c r="BM363" s="38"/>
      <c r="BN363" s="38"/>
      <c r="BO363" s="37">
        <f t="shared" si="25"/>
        <v>1</v>
      </c>
      <c r="BP363" s="56">
        <f t="shared" si="26"/>
        <v>0</v>
      </c>
      <c r="BQ363" s="56">
        <f t="shared" si="27"/>
        <v>0</v>
      </c>
      <c r="BR363" s="57">
        <f t="shared" si="28"/>
        <v>1</v>
      </c>
      <c r="BS363" s="38"/>
      <c r="BT363" s="38"/>
      <c r="BU363" s="26"/>
      <c r="BV363" s="26"/>
      <c r="BW363" s="39">
        <f t="shared" si="29"/>
        <v>2</v>
      </c>
      <c r="BX363" s="78">
        <v>2</v>
      </c>
      <c r="BY363" s="63">
        <v>8</v>
      </c>
      <c r="BZ363" s="7"/>
      <c r="CA363" s="8"/>
      <c r="CB363" s="7"/>
      <c r="CC363" s="7"/>
    </row>
    <row r="364" spans="1:81" ht="16" x14ac:dyDescent="0.2">
      <c r="A364" s="109" t="s">
        <v>294</v>
      </c>
      <c r="B364" s="38">
        <v>43</v>
      </c>
      <c r="C364" s="109" t="s">
        <v>150</v>
      </c>
      <c r="D364" s="38">
        <v>1</v>
      </c>
      <c r="E364" s="38">
        <v>2</v>
      </c>
      <c r="F364" s="38">
        <v>2</v>
      </c>
      <c r="G364" s="38" t="s">
        <v>51</v>
      </c>
      <c r="H364" s="38">
        <v>4</v>
      </c>
      <c r="I364" s="38" t="s">
        <v>51</v>
      </c>
      <c r="J364" s="38" t="s">
        <v>65</v>
      </c>
      <c r="K364" s="38"/>
      <c r="L364" s="38">
        <v>5</v>
      </c>
      <c r="M364" s="40"/>
      <c r="N364" s="36"/>
      <c r="O364" s="36" t="s">
        <v>38</v>
      </c>
      <c r="P364" s="36">
        <f>16.5/16</f>
        <v>1.03125</v>
      </c>
      <c r="Q364" s="36"/>
      <c r="R364" s="36"/>
      <c r="S364" s="36"/>
      <c r="T364" s="36"/>
      <c r="U364" s="36"/>
      <c r="V364" s="36"/>
      <c r="W364" s="36" t="s">
        <v>38</v>
      </c>
      <c r="X364" s="36">
        <f>11.5/16</f>
        <v>0.71875</v>
      </c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8"/>
      <c r="BF364" s="38"/>
      <c r="BG364" s="37">
        <v>2</v>
      </c>
      <c r="BH364" s="26"/>
      <c r="BI364" s="26"/>
      <c r="BJ364" s="26"/>
      <c r="BK364" s="26"/>
      <c r="BL364" s="26"/>
      <c r="BM364" s="26"/>
      <c r="BN364" s="26"/>
      <c r="BO364" s="37">
        <f t="shared" si="25"/>
        <v>2</v>
      </c>
      <c r="BP364" s="56">
        <f t="shared" si="26"/>
        <v>0</v>
      </c>
      <c r="BQ364" s="56">
        <f t="shared" si="27"/>
        <v>0</v>
      </c>
      <c r="BR364" s="57">
        <f t="shared" si="28"/>
        <v>0</v>
      </c>
      <c r="BS364" s="38"/>
      <c r="BT364" s="38"/>
      <c r="BU364" s="26"/>
      <c r="BV364" s="26"/>
      <c r="BW364" s="39">
        <f t="shared" si="29"/>
        <v>2</v>
      </c>
      <c r="BX364" s="78">
        <v>1</v>
      </c>
      <c r="BY364" s="63">
        <v>11</v>
      </c>
      <c r="BZ364" s="7"/>
      <c r="CA364" s="8"/>
      <c r="CB364" s="7"/>
      <c r="CC364" s="7"/>
    </row>
    <row r="365" spans="1:81" ht="16" x14ac:dyDescent="0.2">
      <c r="A365" s="109" t="s">
        <v>295</v>
      </c>
      <c r="B365" s="26">
        <v>44</v>
      </c>
      <c r="C365" s="109" t="s">
        <v>151</v>
      </c>
      <c r="D365" s="38">
        <v>22</v>
      </c>
      <c r="E365" s="38">
        <v>2</v>
      </c>
      <c r="F365" s="38">
        <v>2</v>
      </c>
      <c r="G365" s="38" t="s">
        <v>51</v>
      </c>
      <c r="H365" s="38">
        <v>4</v>
      </c>
      <c r="I365" s="38" t="s">
        <v>51</v>
      </c>
      <c r="J365" s="38" t="s">
        <v>42</v>
      </c>
      <c r="K365" s="26"/>
      <c r="L365" s="38">
        <v>6</v>
      </c>
      <c r="M365" s="40"/>
      <c r="N365" s="36"/>
      <c r="O365" s="36"/>
      <c r="P365" s="36"/>
      <c r="Q365" s="36"/>
      <c r="R365" s="36"/>
      <c r="S365" s="36"/>
      <c r="T365" s="36"/>
      <c r="U365" s="36" t="s">
        <v>38</v>
      </c>
      <c r="V365" s="36">
        <f>8/9</f>
        <v>0.88888888888888884</v>
      </c>
      <c r="W365" s="36"/>
      <c r="X365" s="36"/>
      <c r="Y365" s="36" t="s">
        <v>38</v>
      </c>
      <c r="Z365" s="36">
        <f>8.5/9</f>
        <v>0.94444444444444442</v>
      </c>
      <c r="AA365" s="36"/>
      <c r="AB365" s="36"/>
      <c r="AC365" s="36"/>
      <c r="AD365" s="36"/>
      <c r="AE365" s="36" t="s">
        <v>40</v>
      </c>
      <c r="AF365" s="36">
        <f>7.5/9</f>
        <v>0.83333333333333337</v>
      </c>
      <c r="AG365" s="36"/>
      <c r="AH365" s="36"/>
      <c r="AI365" s="36"/>
      <c r="AJ365" s="36"/>
      <c r="AK365" s="36"/>
      <c r="AL365" s="36"/>
      <c r="AM365" s="36" t="s">
        <v>38</v>
      </c>
      <c r="AN365" s="36">
        <f>7.5/9</f>
        <v>0.83333333333333337</v>
      </c>
      <c r="AO365" s="36"/>
      <c r="AP365" s="36"/>
      <c r="AQ365" s="36" t="s">
        <v>38</v>
      </c>
      <c r="AR365" s="36">
        <f>7.5/9</f>
        <v>0.83333333333333337</v>
      </c>
      <c r="AS365" s="36"/>
      <c r="AT365" s="36"/>
      <c r="AU365" s="36" t="s">
        <v>38</v>
      </c>
      <c r="AV365" s="36">
        <v>1</v>
      </c>
      <c r="AW365" s="36" t="s">
        <v>38</v>
      </c>
      <c r="AX365" s="36">
        <f>6/9</f>
        <v>0.66666666666666663</v>
      </c>
      <c r="AY365" s="36"/>
      <c r="AZ365" s="36"/>
      <c r="BA365" s="36" t="s">
        <v>39</v>
      </c>
      <c r="BB365" s="36">
        <f>9/9</f>
        <v>1</v>
      </c>
      <c r="BC365" s="36"/>
      <c r="BD365" s="36"/>
      <c r="BE365" s="38"/>
      <c r="BF365" s="38"/>
      <c r="BG365" s="43">
        <v>5</v>
      </c>
      <c r="BH365" s="41">
        <v>1</v>
      </c>
      <c r="BI365" s="41">
        <v>1</v>
      </c>
      <c r="BM365" s="41">
        <v>1</v>
      </c>
      <c r="BO365" s="37">
        <f t="shared" si="25"/>
        <v>6</v>
      </c>
      <c r="BP365" s="56">
        <f t="shared" si="26"/>
        <v>1</v>
      </c>
      <c r="BQ365" s="56">
        <f t="shared" si="27"/>
        <v>1</v>
      </c>
      <c r="BR365" s="57">
        <f t="shared" si="28"/>
        <v>0</v>
      </c>
      <c r="BS365" s="38"/>
      <c r="BT365" s="38"/>
      <c r="BU365" s="26"/>
      <c r="BV365" s="26"/>
      <c r="BW365" s="39">
        <f t="shared" si="29"/>
        <v>8</v>
      </c>
      <c r="BX365" s="78">
        <v>2</v>
      </c>
      <c r="BY365" s="63">
        <v>8</v>
      </c>
      <c r="BZ365" s="7"/>
      <c r="CA365" s="19"/>
      <c r="CB365" s="7"/>
      <c r="CC365" s="7"/>
    </row>
    <row r="366" spans="1:81" ht="16" x14ac:dyDescent="0.2">
      <c r="A366" s="109" t="s">
        <v>295</v>
      </c>
      <c r="B366" s="26">
        <v>44</v>
      </c>
      <c r="C366" s="109" t="s">
        <v>151</v>
      </c>
      <c r="D366" s="38">
        <v>23</v>
      </c>
      <c r="E366" s="38">
        <v>2</v>
      </c>
      <c r="F366" s="38">
        <v>2</v>
      </c>
      <c r="G366" s="38" t="s">
        <v>51</v>
      </c>
      <c r="H366" s="38">
        <v>4</v>
      </c>
      <c r="I366" s="38" t="s">
        <v>51</v>
      </c>
      <c r="J366" s="38" t="s">
        <v>41</v>
      </c>
      <c r="K366" s="26"/>
      <c r="L366" s="38">
        <v>6</v>
      </c>
      <c r="M366" s="40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 t="s">
        <v>38</v>
      </c>
      <c r="AR366" s="36">
        <f>7.5/8</f>
        <v>0.9375</v>
      </c>
      <c r="AS366" s="36"/>
      <c r="AT366" s="36"/>
      <c r="AU366" s="36"/>
      <c r="AV366" s="36"/>
      <c r="AW366" s="36" t="s">
        <v>38</v>
      </c>
      <c r="AX366" s="36">
        <f>6.5/8</f>
        <v>0.8125</v>
      </c>
      <c r="AY366" s="36" t="s">
        <v>38</v>
      </c>
      <c r="AZ366" s="36">
        <f>7/8</f>
        <v>0.875</v>
      </c>
      <c r="BA366" s="36"/>
      <c r="BB366" s="36"/>
      <c r="BC366" s="36" t="s">
        <v>39</v>
      </c>
      <c r="BD366" s="36">
        <f>8/8</f>
        <v>1</v>
      </c>
      <c r="BE366" s="38"/>
      <c r="BF366" s="38"/>
      <c r="BG366" s="43">
        <v>3</v>
      </c>
      <c r="BI366" s="41">
        <v>1</v>
      </c>
      <c r="BO366" s="37">
        <f t="shared" si="25"/>
        <v>4</v>
      </c>
      <c r="BP366" s="56">
        <f t="shared" si="26"/>
        <v>0</v>
      </c>
      <c r="BQ366" s="56">
        <f t="shared" si="27"/>
        <v>0</v>
      </c>
      <c r="BR366" s="57">
        <f t="shared" si="28"/>
        <v>0</v>
      </c>
      <c r="BS366" s="38"/>
      <c r="BT366" s="38"/>
      <c r="BU366" s="26"/>
      <c r="BV366" s="26"/>
      <c r="BW366" s="39">
        <f t="shared" si="29"/>
        <v>4</v>
      </c>
      <c r="BX366" s="78">
        <v>1</v>
      </c>
      <c r="BY366" s="63">
        <v>10</v>
      </c>
      <c r="BZ366" s="7"/>
      <c r="CA366" s="19"/>
      <c r="CB366" s="7"/>
      <c r="CC366" s="7"/>
    </row>
    <row r="367" spans="1:81" ht="16" x14ac:dyDescent="0.2">
      <c r="A367" s="109" t="s">
        <v>295</v>
      </c>
      <c r="B367" s="26">
        <v>44</v>
      </c>
      <c r="C367" s="106" t="s">
        <v>152</v>
      </c>
      <c r="D367" s="38">
        <v>1</v>
      </c>
      <c r="E367" s="38">
        <v>2</v>
      </c>
      <c r="F367" s="38">
        <v>2</v>
      </c>
      <c r="G367" s="38" t="s">
        <v>51</v>
      </c>
      <c r="H367" s="38">
        <v>4</v>
      </c>
      <c r="I367" s="38" t="s">
        <v>51</v>
      </c>
      <c r="J367" s="38" t="s">
        <v>60</v>
      </c>
      <c r="K367" s="26"/>
      <c r="L367" s="38">
        <v>6</v>
      </c>
      <c r="M367" s="40"/>
      <c r="N367" s="36"/>
      <c r="O367" s="36"/>
      <c r="P367" s="36"/>
      <c r="Q367" s="36"/>
      <c r="R367" s="36"/>
      <c r="S367" s="36"/>
      <c r="T367" s="36"/>
      <c r="U367" s="36"/>
      <c r="V367" s="36"/>
      <c r="W367" s="36" t="s">
        <v>38</v>
      </c>
      <c r="X367" s="36">
        <f>8.5/8.5</f>
        <v>1</v>
      </c>
      <c r="Y367" s="36"/>
      <c r="Z367" s="36"/>
      <c r="AA367" s="36"/>
      <c r="AB367" s="36"/>
      <c r="AC367" s="36"/>
      <c r="AD367" s="36"/>
      <c r="AE367" s="36" t="s">
        <v>38</v>
      </c>
      <c r="AF367" s="36">
        <f>8.5/8.5</f>
        <v>1</v>
      </c>
      <c r="AG367" s="36"/>
      <c r="AH367" s="36"/>
      <c r="AI367" s="36" t="s">
        <v>38</v>
      </c>
      <c r="AJ367" s="36">
        <f>8.5/8.5</f>
        <v>1</v>
      </c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 t="s">
        <v>38</v>
      </c>
      <c r="AV367" s="36">
        <f>8.5/8.5</f>
        <v>1</v>
      </c>
      <c r="AW367" s="36"/>
      <c r="AX367" s="36"/>
      <c r="AY367" s="36"/>
      <c r="AZ367" s="36"/>
      <c r="BA367" s="36"/>
      <c r="BB367" s="36"/>
      <c r="BC367" s="36"/>
      <c r="BD367" s="36"/>
      <c r="BE367" s="38"/>
      <c r="BF367" s="38"/>
      <c r="BG367" s="43">
        <v>4</v>
      </c>
      <c r="BO367" s="37">
        <f t="shared" si="25"/>
        <v>4</v>
      </c>
      <c r="BP367" s="56">
        <f t="shared" si="26"/>
        <v>0</v>
      </c>
      <c r="BQ367" s="56">
        <f t="shared" si="27"/>
        <v>0</v>
      </c>
      <c r="BR367" s="57">
        <f t="shared" si="28"/>
        <v>0</v>
      </c>
      <c r="BS367" s="38"/>
      <c r="BT367" s="38"/>
      <c r="BU367" s="26"/>
      <c r="BV367" s="26"/>
      <c r="BW367" s="39">
        <f t="shared" si="29"/>
        <v>4</v>
      </c>
      <c r="BX367" s="78">
        <v>1</v>
      </c>
      <c r="BY367" s="63">
        <v>7</v>
      </c>
      <c r="BZ367" s="7"/>
      <c r="CA367" s="19"/>
      <c r="CB367" s="7"/>
      <c r="CC367" s="7"/>
    </row>
    <row r="368" spans="1:81" x14ac:dyDescent="0.2">
      <c r="A368" s="109" t="s">
        <v>295</v>
      </c>
      <c r="B368" s="26">
        <v>44</v>
      </c>
      <c r="C368" s="106" t="s">
        <v>152</v>
      </c>
      <c r="D368" s="38">
        <v>2</v>
      </c>
      <c r="E368" s="38">
        <v>2</v>
      </c>
      <c r="F368" s="38">
        <v>2</v>
      </c>
      <c r="G368" s="38" t="s">
        <v>51</v>
      </c>
      <c r="H368" s="38">
        <v>4</v>
      </c>
      <c r="I368" s="38" t="s">
        <v>51</v>
      </c>
      <c r="J368" s="38" t="s">
        <v>65</v>
      </c>
      <c r="K368" s="26"/>
      <c r="L368" s="38">
        <v>6</v>
      </c>
      <c r="M368" s="40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8"/>
      <c r="BF368" s="38"/>
      <c r="BG368" s="43"/>
      <c r="BO368" s="37">
        <f t="shared" si="25"/>
        <v>0</v>
      </c>
      <c r="BP368" s="56">
        <f t="shared" si="26"/>
        <v>0</v>
      </c>
      <c r="BQ368" s="56">
        <f t="shared" si="27"/>
        <v>0</v>
      </c>
      <c r="BR368" s="57">
        <f t="shared" si="28"/>
        <v>0</v>
      </c>
      <c r="BS368" s="38"/>
      <c r="BT368" s="38"/>
      <c r="BU368" s="26"/>
      <c r="BV368" s="26"/>
      <c r="BW368" s="39">
        <f t="shared" si="29"/>
        <v>0</v>
      </c>
      <c r="BX368" s="78">
        <v>0</v>
      </c>
      <c r="BY368" s="63">
        <v>11</v>
      </c>
      <c r="BZ368" s="7"/>
      <c r="CA368" s="19"/>
      <c r="CB368" s="7"/>
      <c r="CC368" s="7"/>
    </row>
    <row r="369" spans="1:81" ht="16" x14ac:dyDescent="0.2">
      <c r="A369" s="109" t="s">
        <v>295</v>
      </c>
      <c r="B369" s="26">
        <v>44</v>
      </c>
      <c r="C369" s="106" t="s">
        <v>152</v>
      </c>
      <c r="D369" s="38">
        <v>7</v>
      </c>
      <c r="E369" s="38">
        <v>2</v>
      </c>
      <c r="F369" s="38">
        <v>2</v>
      </c>
      <c r="G369" s="38" t="s">
        <v>51</v>
      </c>
      <c r="H369" s="38">
        <v>4</v>
      </c>
      <c r="I369" s="38" t="s">
        <v>51</v>
      </c>
      <c r="J369" s="38" t="s">
        <v>42</v>
      </c>
      <c r="K369" s="26"/>
      <c r="L369" s="38">
        <v>6</v>
      </c>
      <c r="M369" s="40"/>
      <c r="N369" s="36"/>
      <c r="O369" s="36"/>
      <c r="P369" s="36"/>
      <c r="Q369" s="36"/>
      <c r="R369" s="36"/>
      <c r="S369" s="36"/>
      <c r="T369" s="36"/>
      <c r="U369" s="36" t="s">
        <v>38</v>
      </c>
      <c r="V369" s="36">
        <f>2.5/8</f>
        <v>0.3125</v>
      </c>
      <c r="W369" s="36"/>
      <c r="X369" s="36"/>
      <c r="Y369" s="36"/>
      <c r="Z369" s="36"/>
      <c r="AA369" s="36" t="s">
        <v>39</v>
      </c>
      <c r="AB369" s="36">
        <f>3/8</f>
        <v>0.375</v>
      </c>
      <c r="AC369" s="36"/>
      <c r="AD369" s="36"/>
      <c r="AE369" s="36"/>
      <c r="AF369" s="36"/>
      <c r="AG369" s="36" t="s">
        <v>38</v>
      </c>
      <c r="AH369" s="36">
        <f>11/8</f>
        <v>1.375</v>
      </c>
      <c r="AI369" s="36"/>
      <c r="AJ369" s="36"/>
      <c r="AK369" s="36" t="s">
        <v>38</v>
      </c>
      <c r="AL369" s="36">
        <f>8/8</f>
        <v>1</v>
      </c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 t="s">
        <v>39</v>
      </c>
      <c r="AX369" s="36">
        <f>7.5/8</f>
        <v>0.9375</v>
      </c>
      <c r="AY369" s="36"/>
      <c r="AZ369" s="36"/>
      <c r="BA369" s="36"/>
      <c r="BB369" s="36"/>
      <c r="BC369" s="36"/>
      <c r="BD369" s="36"/>
      <c r="BE369" s="38"/>
      <c r="BF369" s="38"/>
      <c r="BG369" s="43">
        <v>2</v>
      </c>
      <c r="BH369" s="41">
        <v>1</v>
      </c>
      <c r="BI369" s="41">
        <v>1</v>
      </c>
      <c r="BJ369" s="41">
        <v>1</v>
      </c>
      <c r="BO369" s="37">
        <f t="shared" si="25"/>
        <v>3</v>
      </c>
      <c r="BP369" s="56">
        <f t="shared" si="26"/>
        <v>2</v>
      </c>
      <c r="BQ369" s="56">
        <f t="shared" si="27"/>
        <v>0</v>
      </c>
      <c r="BR369" s="57">
        <f t="shared" si="28"/>
        <v>0</v>
      </c>
      <c r="BS369" s="38"/>
      <c r="BT369" s="38"/>
      <c r="BU369" s="26"/>
      <c r="BV369" s="26"/>
      <c r="BW369" s="39">
        <f t="shared" si="29"/>
        <v>5</v>
      </c>
      <c r="BX369" s="78">
        <v>2</v>
      </c>
      <c r="BY369" s="63">
        <v>8</v>
      </c>
      <c r="BZ369" s="7"/>
      <c r="CA369" s="19"/>
      <c r="CB369" s="7"/>
      <c r="CC369" s="7"/>
    </row>
    <row r="370" spans="1:81" ht="16" x14ac:dyDescent="0.2">
      <c r="A370" s="109" t="s">
        <v>296</v>
      </c>
      <c r="B370" s="26">
        <v>38</v>
      </c>
      <c r="C370" s="109" t="s">
        <v>153</v>
      </c>
      <c r="D370" s="26">
        <v>1</v>
      </c>
      <c r="E370" s="26">
        <v>2</v>
      </c>
      <c r="F370" s="26">
        <v>2</v>
      </c>
      <c r="G370" s="26" t="s">
        <v>51</v>
      </c>
      <c r="H370" s="26">
        <v>4</v>
      </c>
      <c r="I370" s="26" t="s">
        <v>51</v>
      </c>
      <c r="J370" s="26" t="s">
        <v>41</v>
      </c>
      <c r="K370" s="26"/>
      <c r="L370" s="26">
        <v>5</v>
      </c>
      <c r="M370" s="40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 t="s">
        <v>39</v>
      </c>
      <c r="AL370" s="36">
        <f>8/8.5</f>
        <v>0.94117647058823528</v>
      </c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26"/>
      <c r="BF370" s="26"/>
      <c r="BG370" s="37"/>
      <c r="BH370" s="26"/>
      <c r="BI370" s="26">
        <v>1</v>
      </c>
      <c r="BJ370" s="26"/>
      <c r="BK370" s="26"/>
      <c r="BL370" s="26"/>
      <c r="BM370" s="26"/>
      <c r="BN370" s="26"/>
      <c r="BO370" s="37">
        <f t="shared" si="25"/>
        <v>1</v>
      </c>
      <c r="BP370" s="56">
        <f t="shared" si="26"/>
        <v>0</v>
      </c>
      <c r="BQ370" s="56">
        <f t="shared" si="27"/>
        <v>0</v>
      </c>
      <c r="BR370" s="57">
        <f t="shared" si="28"/>
        <v>0</v>
      </c>
      <c r="BS370" s="38"/>
      <c r="BT370" s="38"/>
      <c r="BU370" s="26"/>
      <c r="BV370" s="26"/>
      <c r="BW370" s="39">
        <f t="shared" si="29"/>
        <v>1</v>
      </c>
      <c r="BX370" s="78">
        <v>1</v>
      </c>
      <c r="BY370" s="63">
        <v>10</v>
      </c>
      <c r="BZ370" s="7"/>
      <c r="CA370" s="8"/>
      <c r="CB370" s="7"/>
      <c r="CC370" s="7"/>
    </row>
    <row r="371" spans="1:81" ht="16" x14ac:dyDescent="0.2">
      <c r="A371" s="109" t="s">
        <v>296</v>
      </c>
      <c r="B371" s="26">
        <v>38</v>
      </c>
      <c r="C371" s="109" t="s">
        <v>153</v>
      </c>
      <c r="D371" s="26">
        <v>8</v>
      </c>
      <c r="E371" s="26">
        <v>2</v>
      </c>
      <c r="F371" s="26">
        <v>2</v>
      </c>
      <c r="G371" s="26" t="s">
        <v>51</v>
      </c>
      <c r="H371" s="26">
        <v>4</v>
      </c>
      <c r="I371" s="26" t="s">
        <v>51</v>
      </c>
      <c r="J371" s="26" t="s">
        <v>45</v>
      </c>
      <c r="K371" s="26"/>
      <c r="L371" s="26">
        <v>6</v>
      </c>
      <c r="M371" s="40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 t="s">
        <v>39</v>
      </c>
      <c r="AL371" s="36">
        <f>8/9</f>
        <v>0.88888888888888884</v>
      </c>
      <c r="AM371" s="36"/>
      <c r="AN371" s="36"/>
      <c r="AO371" s="36"/>
      <c r="AP371" s="36"/>
      <c r="AQ371" s="36" t="s">
        <v>38</v>
      </c>
      <c r="AR371" s="36">
        <f>8/9</f>
        <v>0.88888888888888884</v>
      </c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 t="s">
        <v>38</v>
      </c>
      <c r="BD371" s="36">
        <f>8.5/9</f>
        <v>0.94444444444444442</v>
      </c>
      <c r="BE371" s="26"/>
      <c r="BF371" s="26"/>
      <c r="BG371" s="37">
        <v>2</v>
      </c>
      <c r="BH371" s="26"/>
      <c r="BI371" s="26">
        <v>1</v>
      </c>
      <c r="BJ371" s="26"/>
      <c r="BK371" s="26"/>
      <c r="BL371" s="26"/>
      <c r="BM371" s="26"/>
      <c r="BN371" s="26"/>
      <c r="BO371" s="37">
        <f t="shared" si="25"/>
        <v>3</v>
      </c>
      <c r="BP371" s="56">
        <f t="shared" si="26"/>
        <v>0</v>
      </c>
      <c r="BQ371" s="56">
        <f t="shared" si="27"/>
        <v>0</v>
      </c>
      <c r="BR371" s="57">
        <f t="shared" si="28"/>
        <v>0</v>
      </c>
      <c r="BS371" s="38"/>
      <c r="BT371" s="38"/>
      <c r="BU371" s="26"/>
      <c r="BV371" s="26"/>
      <c r="BW371" s="39">
        <f t="shared" si="29"/>
        <v>3</v>
      </c>
      <c r="BX371" s="78">
        <v>1</v>
      </c>
      <c r="BY371" s="63">
        <v>5</v>
      </c>
      <c r="BZ371" s="7"/>
      <c r="CA371" s="8"/>
      <c r="CB371" s="7"/>
      <c r="CC371" s="7"/>
    </row>
    <row r="372" spans="1:81" x14ac:dyDescent="0.2">
      <c r="A372" s="109" t="s">
        <v>296</v>
      </c>
      <c r="B372" s="26">
        <v>38</v>
      </c>
      <c r="C372" s="109" t="s">
        <v>153</v>
      </c>
      <c r="D372" s="26">
        <v>9</v>
      </c>
      <c r="E372" s="26">
        <v>2</v>
      </c>
      <c r="F372" s="26">
        <v>2</v>
      </c>
      <c r="G372" s="26" t="s">
        <v>51</v>
      </c>
      <c r="H372" s="26">
        <v>4</v>
      </c>
      <c r="I372" s="26" t="s">
        <v>51</v>
      </c>
      <c r="J372" s="26" t="s">
        <v>41</v>
      </c>
      <c r="K372" s="26"/>
      <c r="L372" s="26">
        <v>5</v>
      </c>
      <c r="M372" s="40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26"/>
      <c r="BF372" s="26"/>
      <c r="BG372" s="37"/>
      <c r="BH372" s="26"/>
      <c r="BI372" s="26"/>
      <c r="BJ372" s="26"/>
      <c r="BK372" s="26"/>
      <c r="BL372" s="26"/>
      <c r="BM372" s="26"/>
      <c r="BN372" s="26"/>
      <c r="BO372" s="37">
        <f t="shared" si="25"/>
        <v>0</v>
      </c>
      <c r="BP372" s="56">
        <f t="shared" si="26"/>
        <v>0</v>
      </c>
      <c r="BQ372" s="56">
        <f t="shared" si="27"/>
        <v>0</v>
      </c>
      <c r="BR372" s="57">
        <f t="shared" si="28"/>
        <v>0</v>
      </c>
      <c r="BS372" s="38"/>
      <c r="BT372" s="38"/>
      <c r="BU372" s="26"/>
      <c r="BV372" s="26"/>
      <c r="BW372" s="39">
        <f t="shared" si="29"/>
        <v>0</v>
      </c>
      <c r="BX372" s="78">
        <v>0</v>
      </c>
      <c r="BY372" s="63">
        <v>10</v>
      </c>
      <c r="BZ372" s="7"/>
      <c r="CA372" s="8"/>
      <c r="CB372" s="7"/>
      <c r="CC372" s="7"/>
    </row>
    <row r="373" spans="1:81" ht="16" x14ac:dyDescent="0.2">
      <c r="A373" s="109" t="s">
        <v>296</v>
      </c>
      <c r="B373" s="26">
        <v>38</v>
      </c>
      <c r="C373" s="109" t="s">
        <v>153</v>
      </c>
      <c r="D373" s="26">
        <v>10</v>
      </c>
      <c r="E373" s="26">
        <v>2</v>
      </c>
      <c r="F373" s="26">
        <v>2</v>
      </c>
      <c r="G373" s="26" t="s">
        <v>51</v>
      </c>
      <c r="H373" s="26">
        <v>4</v>
      </c>
      <c r="I373" s="26" t="s">
        <v>51</v>
      </c>
      <c r="J373" s="26" t="s">
        <v>65</v>
      </c>
      <c r="K373" s="26"/>
      <c r="L373" s="26">
        <v>5</v>
      </c>
      <c r="M373" s="40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 t="s">
        <v>38</v>
      </c>
      <c r="Z373" s="36">
        <f>10/10</f>
        <v>1</v>
      </c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26"/>
      <c r="BF373" s="26"/>
      <c r="BG373" s="39">
        <v>1</v>
      </c>
      <c r="BH373" s="38"/>
      <c r="BI373" s="38"/>
      <c r="BJ373" s="38"/>
      <c r="BK373" s="38"/>
      <c r="BL373" s="38"/>
      <c r="BM373" s="38"/>
      <c r="BN373" s="38"/>
      <c r="BO373" s="37">
        <f t="shared" si="25"/>
        <v>1</v>
      </c>
      <c r="BP373" s="56">
        <f t="shared" si="26"/>
        <v>0</v>
      </c>
      <c r="BQ373" s="56">
        <f t="shared" si="27"/>
        <v>0</v>
      </c>
      <c r="BR373" s="57">
        <f t="shared" si="28"/>
        <v>0</v>
      </c>
      <c r="BS373" s="38"/>
      <c r="BT373" s="38"/>
      <c r="BU373" s="26"/>
      <c r="BV373" s="26"/>
      <c r="BW373" s="39">
        <f t="shared" si="29"/>
        <v>1</v>
      </c>
      <c r="BX373" s="78">
        <v>1</v>
      </c>
      <c r="BY373" s="63">
        <v>11</v>
      </c>
      <c r="BZ373" s="7"/>
      <c r="CA373" s="8"/>
      <c r="CB373" s="7"/>
      <c r="CC373" s="7"/>
    </row>
    <row r="374" spans="1:81" ht="16" x14ac:dyDescent="0.2">
      <c r="A374" s="109" t="s">
        <v>296</v>
      </c>
      <c r="B374" s="26">
        <v>38</v>
      </c>
      <c r="C374" s="109" t="s">
        <v>153</v>
      </c>
      <c r="D374" s="26">
        <v>12</v>
      </c>
      <c r="E374" s="26">
        <v>2</v>
      </c>
      <c r="F374" s="26">
        <v>2</v>
      </c>
      <c r="G374" s="26" t="s">
        <v>51</v>
      </c>
      <c r="H374" s="26">
        <v>5</v>
      </c>
      <c r="I374" s="26" t="s">
        <v>56</v>
      </c>
      <c r="J374" s="26" t="s">
        <v>60</v>
      </c>
      <c r="K374" s="26"/>
      <c r="L374" s="26">
        <v>6</v>
      </c>
      <c r="M374" s="40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 t="s">
        <v>39</v>
      </c>
      <c r="AP374" s="36">
        <f>8.5/8.5</f>
        <v>1</v>
      </c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26"/>
      <c r="BF374" s="26"/>
      <c r="BG374" s="39"/>
      <c r="BH374" s="38"/>
      <c r="BI374" s="38">
        <v>1</v>
      </c>
      <c r="BJ374" s="38"/>
      <c r="BK374" s="38"/>
      <c r="BL374" s="38"/>
      <c r="BM374" s="38"/>
      <c r="BN374" s="38"/>
      <c r="BO374" s="37">
        <f t="shared" si="25"/>
        <v>1</v>
      </c>
      <c r="BP374" s="56">
        <f t="shared" si="26"/>
        <v>0</v>
      </c>
      <c r="BQ374" s="56">
        <f t="shared" si="27"/>
        <v>0</v>
      </c>
      <c r="BR374" s="57">
        <f t="shared" si="28"/>
        <v>0</v>
      </c>
      <c r="BS374" s="38"/>
      <c r="BT374" s="38"/>
      <c r="BU374" s="26"/>
      <c r="BV374" s="26"/>
      <c r="BW374" s="39">
        <f t="shared" si="29"/>
        <v>1</v>
      </c>
      <c r="BX374" s="78">
        <v>1</v>
      </c>
      <c r="BY374" s="63">
        <v>7</v>
      </c>
      <c r="BZ374" s="7"/>
      <c r="CA374" s="8"/>
      <c r="CB374" s="7"/>
      <c r="CC374" s="7"/>
    </row>
    <row r="375" spans="1:81" ht="16" x14ac:dyDescent="0.2">
      <c r="A375" s="109" t="s">
        <v>296</v>
      </c>
      <c r="B375" s="26">
        <v>38</v>
      </c>
      <c r="C375" s="109" t="s">
        <v>153</v>
      </c>
      <c r="D375" s="26">
        <v>14</v>
      </c>
      <c r="E375" s="26">
        <v>2</v>
      </c>
      <c r="F375" s="26">
        <v>2</v>
      </c>
      <c r="G375" s="26" t="s">
        <v>51</v>
      </c>
      <c r="H375" s="26">
        <v>4</v>
      </c>
      <c r="I375" s="26" t="s">
        <v>51</v>
      </c>
      <c r="J375" s="26" t="s">
        <v>65</v>
      </c>
      <c r="K375" s="26"/>
      <c r="L375" s="26">
        <v>5</v>
      </c>
      <c r="M375" s="40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 t="s">
        <v>38</v>
      </c>
      <c r="BD375" s="36">
        <f>10/10</f>
        <v>1</v>
      </c>
      <c r="BE375" s="26"/>
      <c r="BF375" s="26"/>
      <c r="BG375" s="39">
        <v>1</v>
      </c>
      <c r="BH375" s="38"/>
      <c r="BI375" s="38"/>
      <c r="BJ375" s="38"/>
      <c r="BK375" s="38"/>
      <c r="BL375" s="38"/>
      <c r="BM375" s="38"/>
      <c r="BN375" s="38"/>
      <c r="BO375" s="37">
        <f t="shared" si="25"/>
        <v>1</v>
      </c>
      <c r="BP375" s="56">
        <f t="shared" si="26"/>
        <v>0</v>
      </c>
      <c r="BQ375" s="56">
        <f t="shared" si="27"/>
        <v>0</v>
      </c>
      <c r="BR375" s="57">
        <f t="shared" si="28"/>
        <v>0</v>
      </c>
      <c r="BS375" s="38"/>
      <c r="BT375" s="38"/>
      <c r="BU375" s="26"/>
      <c r="BV375" s="26"/>
      <c r="BW375" s="39">
        <f t="shared" si="29"/>
        <v>1</v>
      </c>
      <c r="BX375" s="78">
        <v>1</v>
      </c>
      <c r="BY375" s="63">
        <v>11</v>
      </c>
      <c r="BZ375" s="7"/>
      <c r="CA375" s="8"/>
      <c r="CB375" s="7"/>
      <c r="CC375" s="7"/>
    </row>
    <row r="376" spans="1:81" x14ac:dyDescent="0.2">
      <c r="A376" s="109" t="s">
        <v>296</v>
      </c>
      <c r="B376" s="26">
        <v>38</v>
      </c>
      <c r="C376" s="109" t="s">
        <v>153</v>
      </c>
      <c r="D376" s="26">
        <v>16</v>
      </c>
      <c r="E376" s="26">
        <v>2</v>
      </c>
      <c r="F376" s="26">
        <v>2</v>
      </c>
      <c r="G376" s="26" t="s">
        <v>51</v>
      </c>
      <c r="H376" s="26">
        <v>5</v>
      </c>
      <c r="I376" s="26" t="s">
        <v>56</v>
      </c>
      <c r="J376" s="26" t="s">
        <v>44</v>
      </c>
      <c r="K376" s="26"/>
      <c r="L376" s="26">
        <v>6</v>
      </c>
      <c r="M376" s="40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26"/>
      <c r="BF376" s="26"/>
      <c r="BG376" s="37"/>
      <c r="BH376" s="26"/>
      <c r="BI376" s="26"/>
      <c r="BJ376" s="26"/>
      <c r="BK376" s="26"/>
      <c r="BL376" s="26"/>
      <c r="BM376" s="26"/>
      <c r="BN376" s="26"/>
      <c r="BO376" s="37">
        <f t="shared" si="25"/>
        <v>0</v>
      </c>
      <c r="BP376" s="56">
        <f t="shared" si="26"/>
        <v>0</v>
      </c>
      <c r="BQ376" s="56">
        <f t="shared" si="27"/>
        <v>0</v>
      </c>
      <c r="BR376" s="57">
        <f t="shared" si="28"/>
        <v>0</v>
      </c>
      <c r="BS376" s="38"/>
      <c r="BT376" s="38"/>
      <c r="BU376" s="26"/>
      <c r="BV376" s="26"/>
      <c r="BW376" s="39">
        <f t="shared" si="29"/>
        <v>0</v>
      </c>
      <c r="BX376" s="78">
        <v>0</v>
      </c>
      <c r="BY376" s="63">
        <v>4</v>
      </c>
      <c r="BZ376" s="7"/>
      <c r="CA376" s="8"/>
      <c r="CB376" s="7"/>
      <c r="CC376" s="7"/>
    </row>
    <row r="377" spans="1:81" x14ac:dyDescent="0.2">
      <c r="A377" s="109" t="s">
        <v>296</v>
      </c>
      <c r="B377" s="26">
        <v>38</v>
      </c>
      <c r="C377" s="109" t="s">
        <v>153</v>
      </c>
      <c r="D377" s="26">
        <v>19</v>
      </c>
      <c r="E377" s="26">
        <v>2</v>
      </c>
      <c r="F377" s="26"/>
      <c r="G377" s="26"/>
      <c r="H377" s="26"/>
      <c r="I377" s="26"/>
      <c r="J377" s="26" t="s">
        <v>41</v>
      </c>
      <c r="K377" s="26"/>
      <c r="L377" s="26"/>
      <c r="M377" s="37" t="s">
        <v>40</v>
      </c>
      <c r="N377" s="26">
        <f>4/9</f>
        <v>0.44444444444444442</v>
      </c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 t="s">
        <v>38</v>
      </c>
      <c r="Z377" s="26">
        <f>3/9</f>
        <v>0.33333333333333331</v>
      </c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 t="s">
        <v>39</v>
      </c>
      <c r="BD377" s="26">
        <f>7/9</f>
        <v>0.77777777777777779</v>
      </c>
      <c r="BE377" s="26"/>
      <c r="BF377" s="26"/>
      <c r="BG377" s="37"/>
      <c r="BH377" s="26">
        <v>1</v>
      </c>
      <c r="BI377" s="26">
        <v>1</v>
      </c>
      <c r="BJ377" s="26"/>
      <c r="BK377" s="26"/>
      <c r="BL377" s="26"/>
      <c r="BM377" s="26"/>
      <c r="BN377" s="26">
        <v>1</v>
      </c>
      <c r="BO377" s="37">
        <f t="shared" ref="BO377:BO380" si="30">BG377+BI377+BU377</f>
        <v>1</v>
      </c>
      <c r="BP377" s="56">
        <f t="shared" ref="BP377:BP380" si="31">BH377+BJ377</f>
        <v>1</v>
      </c>
      <c r="BQ377" s="56">
        <f t="shared" ref="BQ377:BQ380" si="32">BK377+BM377+BV377+BS377</f>
        <v>0</v>
      </c>
      <c r="BR377" s="57">
        <f t="shared" ref="BR377:BR380" si="33">BL377+BN377+BT377</f>
        <v>1</v>
      </c>
      <c r="BS377" s="38"/>
      <c r="BT377" s="38"/>
      <c r="BU377" s="26"/>
      <c r="BV377" s="26"/>
      <c r="BW377" s="39">
        <f t="shared" si="29"/>
        <v>3</v>
      </c>
      <c r="BX377" s="78">
        <v>2</v>
      </c>
      <c r="BY377" s="63">
        <v>10</v>
      </c>
      <c r="BZ377" s="7"/>
      <c r="CA377" s="8"/>
      <c r="CB377" s="7"/>
      <c r="CC377" s="7"/>
    </row>
    <row r="378" spans="1:81" x14ac:dyDescent="0.2">
      <c r="A378" s="109" t="s">
        <v>296</v>
      </c>
      <c r="B378" s="26">
        <v>38</v>
      </c>
      <c r="C378" s="109" t="s">
        <v>153</v>
      </c>
      <c r="D378" s="26">
        <v>21</v>
      </c>
      <c r="E378" s="26">
        <v>2</v>
      </c>
      <c r="F378" s="26"/>
      <c r="G378" s="26"/>
      <c r="H378" s="26"/>
      <c r="I378" s="26"/>
      <c r="J378" s="26" t="s">
        <v>45</v>
      </c>
      <c r="K378" s="26"/>
      <c r="L378" s="26"/>
      <c r="M378" s="37"/>
      <c r="N378" s="26"/>
      <c r="O378" s="26"/>
      <c r="P378" s="26"/>
      <c r="Q378" s="26" t="s">
        <v>39</v>
      </c>
      <c r="R378" s="26">
        <f>3/9</f>
        <v>0.33333333333333331</v>
      </c>
      <c r="S378" s="26" t="s">
        <v>39</v>
      </c>
      <c r="T378" s="26">
        <f>3/9</f>
        <v>0.33333333333333331</v>
      </c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 t="s">
        <v>38</v>
      </c>
      <c r="AL378" s="26">
        <f>7/9</f>
        <v>0.77777777777777779</v>
      </c>
      <c r="AM378" s="26"/>
      <c r="AN378" s="26"/>
      <c r="AO378" s="26"/>
      <c r="AP378" s="26"/>
      <c r="AQ378" s="26" t="s">
        <v>38</v>
      </c>
      <c r="AR378" s="26">
        <f>3/9</f>
        <v>0.33333333333333331</v>
      </c>
      <c r="AS378" s="26"/>
      <c r="AT378" s="26"/>
      <c r="AU378" s="26"/>
      <c r="AV378" s="26"/>
      <c r="AW378" s="26"/>
      <c r="AX378" s="26"/>
      <c r="AY378" s="26"/>
      <c r="AZ378" s="26"/>
      <c r="BA378" s="26" t="s">
        <v>39</v>
      </c>
      <c r="BB378" s="26">
        <f>2.5/9</f>
        <v>0.27777777777777779</v>
      </c>
      <c r="BC378" s="26" t="s">
        <v>39</v>
      </c>
      <c r="BD378" s="26">
        <f>2.5/9</f>
        <v>0.27777777777777779</v>
      </c>
      <c r="BE378" s="26"/>
      <c r="BF378" s="26"/>
      <c r="BG378" s="37">
        <v>1</v>
      </c>
      <c r="BH378" s="26">
        <v>1</v>
      </c>
      <c r="BI378" s="26"/>
      <c r="BJ378" s="26">
        <v>2</v>
      </c>
      <c r="BK378" s="26"/>
      <c r="BL378" s="26"/>
      <c r="BM378" s="26"/>
      <c r="BN378" s="26"/>
      <c r="BO378" s="37">
        <f t="shared" si="30"/>
        <v>1</v>
      </c>
      <c r="BP378" s="56">
        <f t="shared" si="31"/>
        <v>3</v>
      </c>
      <c r="BQ378" s="56">
        <f t="shared" si="32"/>
        <v>0</v>
      </c>
      <c r="BR378" s="57">
        <f t="shared" si="33"/>
        <v>0</v>
      </c>
      <c r="BS378" s="38"/>
      <c r="BT378" s="38"/>
      <c r="BU378" s="26"/>
      <c r="BV378" s="26"/>
      <c r="BW378" s="39">
        <f t="shared" si="29"/>
        <v>4</v>
      </c>
      <c r="BX378" s="78">
        <v>2</v>
      </c>
      <c r="BY378" s="63">
        <v>5</v>
      </c>
      <c r="BZ378" s="7"/>
      <c r="CA378" s="8"/>
      <c r="CB378" s="7"/>
      <c r="CC378" s="7"/>
    </row>
    <row r="379" spans="1:81" x14ac:dyDescent="0.2">
      <c r="A379" s="109" t="s">
        <v>296</v>
      </c>
      <c r="B379" s="26">
        <v>38</v>
      </c>
      <c r="C379" s="109" t="s">
        <v>153</v>
      </c>
      <c r="D379" s="26">
        <v>22</v>
      </c>
      <c r="E379" s="26">
        <v>2</v>
      </c>
      <c r="F379" s="26"/>
      <c r="G379" s="26"/>
      <c r="H379" s="26"/>
      <c r="I379" s="26"/>
      <c r="J379" s="26" t="s">
        <v>60</v>
      </c>
      <c r="K379" s="26"/>
      <c r="L379" s="26"/>
      <c r="M379" s="37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37"/>
      <c r="BH379" s="26"/>
      <c r="BI379" s="26"/>
      <c r="BJ379" s="26"/>
      <c r="BK379" s="26"/>
      <c r="BL379" s="26"/>
      <c r="BM379" s="26"/>
      <c r="BN379" s="26"/>
      <c r="BO379" s="37">
        <f t="shared" si="30"/>
        <v>0</v>
      </c>
      <c r="BP379" s="56">
        <f t="shared" si="31"/>
        <v>0</v>
      </c>
      <c r="BQ379" s="56">
        <f t="shared" si="32"/>
        <v>0</v>
      </c>
      <c r="BR379" s="57">
        <f t="shared" si="33"/>
        <v>0</v>
      </c>
      <c r="BS379" s="38"/>
      <c r="BT379" s="38"/>
      <c r="BU379" s="26"/>
      <c r="BV379" s="26"/>
      <c r="BW379" s="39">
        <f t="shared" si="29"/>
        <v>0</v>
      </c>
      <c r="BX379" s="78">
        <v>0</v>
      </c>
      <c r="BY379" s="63">
        <v>7</v>
      </c>
      <c r="BZ379" s="7"/>
      <c r="CA379" s="8"/>
      <c r="CB379" s="7"/>
      <c r="CC379" s="7"/>
    </row>
    <row r="380" spans="1:81" x14ac:dyDescent="0.2">
      <c r="A380" s="109" t="s">
        <v>296</v>
      </c>
      <c r="B380" s="26">
        <v>38</v>
      </c>
      <c r="C380" s="109" t="s">
        <v>153</v>
      </c>
      <c r="D380" s="26">
        <v>23</v>
      </c>
      <c r="E380" s="26">
        <v>2</v>
      </c>
      <c r="F380" s="26"/>
      <c r="G380" s="26"/>
      <c r="H380" s="26"/>
      <c r="I380" s="26"/>
      <c r="J380" s="26" t="s">
        <v>41</v>
      </c>
      <c r="K380" s="26"/>
      <c r="L380" s="26"/>
      <c r="M380" s="37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 t="s">
        <v>39</v>
      </c>
      <c r="AP380" s="26">
        <f>3.5/8</f>
        <v>0.4375</v>
      </c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37"/>
      <c r="BH380" s="26"/>
      <c r="BI380" s="26"/>
      <c r="BJ380" s="26">
        <v>1</v>
      </c>
      <c r="BK380" s="26"/>
      <c r="BL380" s="26"/>
      <c r="BM380" s="26"/>
      <c r="BN380" s="26"/>
      <c r="BO380" s="37">
        <f t="shared" si="30"/>
        <v>0</v>
      </c>
      <c r="BP380" s="56">
        <f t="shared" si="31"/>
        <v>1</v>
      </c>
      <c r="BQ380" s="56">
        <f t="shared" si="32"/>
        <v>0</v>
      </c>
      <c r="BR380" s="57">
        <f t="shared" si="33"/>
        <v>0</v>
      </c>
      <c r="BS380" s="38"/>
      <c r="BT380" s="38"/>
      <c r="BU380" s="26"/>
      <c r="BV380" s="26"/>
      <c r="BW380" s="39">
        <f t="shared" si="29"/>
        <v>1</v>
      </c>
      <c r="BX380" s="78">
        <v>3</v>
      </c>
      <c r="BY380" s="63">
        <v>10</v>
      </c>
      <c r="BZ380" s="7"/>
      <c r="CA380" s="8"/>
      <c r="CB380" s="7"/>
      <c r="CC380" s="7"/>
    </row>
    <row r="381" spans="1:81" ht="16" x14ac:dyDescent="0.2">
      <c r="A381" s="109" t="s">
        <v>297</v>
      </c>
      <c r="B381" s="26">
        <v>37</v>
      </c>
      <c r="C381" s="109" t="s">
        <v>154</v>
      </c>
      <c r="D381" s="26">
        <v>1</v>
      </c>
      <c r="E381" s="26">
        <v>2</v>
      </c>
      <c r="F381" s="26">
        <v>2</v>
      </c>
      <c r="G381" s="26" t="s">
        <v>51</v>
      </c>
      <c r="H381" s="26">
        <v>4</v>
      </c>
      <c r="I381" s="26" t="s">
        <v>51</v>
      </c>
      <c r="J381" s="26"/>
      <c r="K381" s="38" t="s">
        <v>63</v>
      </c>
      <c r="L381" s="26">
        <v>7</v>
      </c>
      <c r="M381" s="40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 t="s">
        <v>39</v>
      </c>
      <c r="AR381" s="36">
        <f>7.5/8</f>
        <v>0.9375</v>
      </c>
      <c r="AS381" s="36" t="s">
        <v>39</v>
      </c>
      <c r="AT381" s="36">
        <f>7.5/8</f>
        <v>0.9375</v>
      </c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26"/>
      <c r="BF381" s="26"/>
      <c r="BG381" s="37"/>
      <c r="BH381" s="26"/>
      <c r="BI381" s="26">
        <v>2</v>
      </c>
      <c r="BJ381" s="26"/>
      <c r="BK381" s="26"/>
      <c r="BL381" s="26"/>
      <c r="BM381" s="26"/>
      <c r="BN381" s="26"/>
      <c r="BO381" s="37">
        <f t="shared" ref="BO381:BO444" si="34">BG381+BI381+BU381</f>
        <v>2</v>
      </c>
      <c r="BP381" s="56">
        <f t="shared" ref="BP381:BP444" si="35">BH381+BJ381</f>
        <v>0</v>
      </c>
      <c r="BQ381" s="56">
        <f t="shared" ref="BQ381:BQ444" si="36">BK381+BM381+BV381+BS381</f>
        <v>0</v>
      </c>
      <c r="BR381" s="57">
        <f t="shared" ref="BR381:BR444" si="37">BL381+BN381+BT381</f>
        <v>0</v>
      </c>
      <c r="BS381" s="38"/>
      <c r="BT381" s="38"/>
      <c r="BU381" s="26"/>
      <c r="BV381" s="26"/>
      <c r="BW381" s="39">
        <f t="shared" ref="BW381:BW444" si="38">SUM(BO381:BR381)</f>
        <v>2</v>
      </c>
      <c r="BX381" s="78">
        <v>1</v>
      </c>
      <c r="BY381" s="63">
        <v>2</v>
      </c>
      <c r="BZ381" s="7"/>
      <c r="CA381" s="8"/>
      <c r="CB381" s="7"/>
      <c r="CC381" s="7"/>
    </row>
    <row r="382" spans="1:81" ht="16" x14ac:dyDescent="0.2">
      <c r="A382" s="109" t="s">
        <v>297</v>
      </c>
      <c r="B382" s="26">
        <v>37</v>
      </c>
      <c r="C382" s="109" t="s">
        <v>154</v>
      </c>
      <c r="D382" s="26">
        <v>2</v>
      </c>
      <c r="E382" s="26">
        <v>2</v>
      </c>
      <c r="F382" s="26">
        <v>2</v>
      </c>
      <c r="G382" s="26" t="s">
        <v>51</v>
      </c>
      <c r="H382" s="26">
        <v>4</v>
      </c>
      <c r="I382" s="26" t="s">
        <v>51</v>
      </c>
      <c r="J382" s="26"/>
      <c r="K382" s="26">
        <v>4</v>
      </c>
      <c r="L382" s="26">
        <v>7</v>
      </c>
      <c r="M382" s="40" t="s">
        <v>40</v>
      </c>
      <c r="N382" s="36">
        <f>10/8</f>
        <v>1.25</v>
      </c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26"/>
      <c r="BF382" s="26"/>
      <c r="BG382" s="43"/>
      <c r="BM382" s="41">
        <v>1</v>
      </c>
      <c r="BO382" s="37">
        <f t="shared" si="34"/>
        <v>0</v>
      </c>
      <c r="BP382" s="56">
        <f t="shared" si="35"/>
        <v>0</v>
      </c>
      <c r="BQ382" s="56">
        <f t="shared" si="36"/>
        <v>1</v>
      </c>
      <c r="BR382" s="57">
        <f t="shared" si="37"/>
        <v>0</v>
      </c>
      <c r="BS382" s="38"/>
      <c r="BT382" s="38"/>
      <c r="BU382" s="26"/>
      <c r="BV382" s="26"/>
      <c r="BW382" s="39">
        <f t="shared" si="38"/>
        <v>1</v>
      </c>
      <c r="BX382" s="78">
        <v>4</v>
      </c>
      <c r="BY382" s="63">
        <v>1</v>
      </c>
      <c r="BZ382" s="7"/>
      <c r="CA382" s="8"/>
      <c r="CB382" s="7"/>
      <c r="CC382" s="7"/>
    </row>
    <row r="383" spans="1:81" ht="16" x14ac:dyDescent="0.2">
      <c r="A383" s="109" t="s">
        <v>297</v>
      </c>
      <c r="B383" s="26">
        <v>37</v>
      </c>
      <c r="C383" s="109" t="s">
        <v>154</v>
      </c>
      <c r="D383" s="26">
        <v>3</v>
      </c>
      <c r="E383" s="26">
        <v>2</v>
      </c>
      <c r="F383" s="26">
        <v>2</v>
      </c>
      <c r="G383" s="26" t="s">
        <v>51</v>
      </c>
      <c r="H383" s="26">
        <v>4</v>
      </c>
      <c r="I383" s="26" t="s">
        <v>51</v>
      </c>
      <c r="J383" s="26" t="s">
        <v>45</v>
      </c>
      <c r="K383" s="26"/>
      <c r="L383" s="26">
        <v>7</v>
      </c>
      <c r="M383" s="40" t="s">
        <v>39</v>
      </c>
      <c r="N383" s="36">
        <f>5/8.5</f>
        <v>0.58823529411764708</v>
      </c>
      <c r="O383" s="36"/>
      <c r="P383" s="36"/>
      <c r="Q383" s="36"/>
      <c r="R383" s="36"/>
      <c r="S383" s="36" t="s">
        <v>39</v>
      </c>
      <c r="T383" s="36">
        <f>8.5/8.5</f>
        <v>1</v>
      </c>
      <c r="U383" s="36"/>
      <c r="V383" s="36"/>
      <c r="W383" s="36" t="s">
        <v>38</v>
      </c>
      <c r="X383" s="36">
        <f>3/8.5</f>
        <v>0.35294117647058826</v>
      </c>
      <c r="Y383" s="36" t="s">
        <v>39</v>
      </c>
      <c r="Z383" s="36">
        <f>5/8.5</f>
        <v>0.58823529411764708</v>
      </c>
      <c r="AA383" s="36" t="s">
        <v>39</v>
      </c>
      <c r="AB383" s="36">
        <f>10.5/8.5</f>
        <v>1.2352941176470589</v>
      </c>
      <c r="AC383" s="36"/>
      <c r="AD383" s="36"/>
      <c r="AE383" s="36"/>
      <c r="AF383" s="36"/>
      <c r="AG383" s="36"/>
      <c r="AH383" s="36"/>
      <c r="AI383" s="36"/>
      <c r="AJ383" s="36"/>
      <c r="AK383" s="36" t="s">
        <v>39</v>
      </c>
      <c r="AL383" s="36">
        <f>5/8.5</f>
        <v>0.58823529411764708</v>
      </c>
      <c r="AM383" s="36"/>
      <c r="AN383" s="36"/>
      <c r="AO383" s="36" t="s">
        <v>39</v>
      </c>
      <c r="AP383" s="36">
        <f>5/8.5</f>
        <v>0.58823529411764708</v>
      </c>
      <c r="AQ383" s="36"/>
      <c r="AR383" s="36"/>
      <c r="AS383" s="36" t="s">
        <v>39</v>
      </c>
      <c r="AT383" s="36">
        <f>5/8.5</f>
        <v>0.58823529411764708</v>
      </c>
      <c r="AU383" s="36" t="s">
        <v>39</v>
      </c>
      <c r="AV383" s="36">
        <f>4/8.5</f>
        <v>0.47058823529411764</v>
      </c>
      <c r="AW383" s="36"/>
      <c r="AX383" s="36"/>
      <c r="AY383" s="36" t="s">
        <v>39</v>
      </c>
      <c r="AZ383" s="36">
        <f>4/8.5</f>
        <v>0.47058823529411764</v>
      </c>
      <c r="BA383" s="36"/>
      <c r="BB383" s="36"/>
      <c r="BC383" s="36" t="s">
        <v>38</v>
      </c>
      <c r="BD383" s="36">
        <f>6.5/8.5</f>
        <v>0.76470588235294112</v>
      </c>
      <c r="BE383" s="26" t="s">
        <v>39</v>
      </c>
      <c r="BF383" s="26" t="s">
        <v>46</v>
      </c>
      <c r="BG383" s="43">
        <v>1</v>
      </c>
      <c r="BH383" s="41">
        <v>1</v>
      </c>
      <c r="BI383" s="41">
        <v>2</v>
      </c>
      <c r="BJ383" s="41">
        <v>7</v>
      </c>
      <c r="BO383" s="37">
        <f t="shared" si="34"/>
        <v>4</v>
      </c>
      <c r="BP383" s="56">
        <f t="shared" si="35"/>
        <v>8</v>
      </c>
      <c r="BQ383" s="56">
        <f t="shared" si="36"/>
        <v>0</v>
      </c>
      <c r="BR383" s="57">
        <f t="shared" si="37"/>
        <v>0</v>
      </c>
      <c r="BS383" s="38"/>
      <c r="BT383" s="38"/>
      <c r="BU383" s="26">
        <v>1</v>
      </c>
      <c r="BV383" s="26"/>
      <c r="BW383" s="39">
        <f t="shared" si="38"/>
        <v>12</v>
      </c>
      <c r="BX383" s="78">
        <v>2</v>
      </c>
      <c r="BY383" s="63">
        <v>5</v>
      </c>
      <c r="BZ383" s="7"/>
      <c r="CA383" s="8"/>
      <c r="CB383" s="7"/>
      <c r="CC383" s="7"/>
    </row>
    <row r="384" spans="1:81" ht="16" x14ac:dyDescent="0.2">
      <c r="A384" s="109" t="s">
        <v>297</v>
      </c>
      <c r="B384" s="26">
        <v>37</v>
      </c>
      <c r="C384" s="109" t="s">
        <v>154</v>
      </c>
      <c r="D384" s="26">
        <v>4</v>
      </c>
      <c r="E384" s="26">
        <v>2</v>
      </c>
      <c r="F384" s="26">
        <v>2</v>
      </c>
      <c r="G384" s="26" t="s">
        <v>51</v>
      </c>
      <c r="H384" s="26">
        <v>4</v>
      </c>
      <c r="I384" s="26" t="s">
        <v>51</v>
      </c>
      <c r="J384" s="26" t="s">
        <v>42</v>
      </c>
      <c r="K384" s="26"/>
      <c r="L384" s="26">
        <v>6</v>
      </c>
      <c r="M384" s="40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 t="s">
        <v>39</v>
      </c>
      <c r="AR384" s="36">
        <f>8/8</f>
        <v>1</v>
      </c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26"/>
      <c r="BF384" s="26"/>
      <c r="BG384" s="43"/>
      <c r="BI384" s="41">
        <v>1</v>
      </c>
      <c r="BO384" s="37">
        <f t="shared" si="34"/>
        <v>1</v>
      </c>
      <c r="BP384" s="56">
        <f t="shared" si="35"/>
        <v>0</v>
      </c>
      <c r="BQ384" s="56">
        <f t="shared" si="36"/>
        <v>0</v>
      </c>
      <c r="BR384" s="57">
        <f t="shared" si="37"/>
        <v>0</v>
      </c>
      <c r="BS384" s="38"/>
      <c r="BT384" s="38"/>
      <c r="BU384" s="26"/>
      <c r="BV384" s="26"/>
      <c r="BW384" s="39">
        <f t="shared" si="38"/>
        <v>1</v>
      </c>
      <c r="BX384" s="78">
        <v>1</v>
      </c>
      <c r="BY384" s="63">
        <v>8</v>
      </c>
      <c r="BZ384" s="7"/>
      <c r="CA384" s="8"/>
      <c r="CB384" s="7"/>
      <c r="CC384" s="7"/>
    </row>
    <row r="385" spans="1:81" ht="16" x14ac:dyDescent="0.2">
      <c r="A385" s="125" t="s">
        <v>297</v>
      </c>
      <c r="B385" s="26">
        <v>37</v>
      </c>
      <c r="C385" s="109" t="s">
        <v>154</v>
      </c>
      <c r="D385" s="26">
        <v>6</v>
      </c>
      <c r="E385" s="26">
        <v>2</v>
      </c>
      <c r="F385" s="26">
        <v>2</v>
      </c>
      <c r="G385" s="26" t="s">
        <v>51</v>
      </c>
      <c r="H385" s="26">
        <v>4</v>
      </c>
      <c r="I385" s="26" t="s">
        <v>51</v>
      </c>
      <c r="J385" s="26" t="s">
        <v>41</v>
      </c>
      <c r="K385" s="26"/>
      <c r="L385" s="26">
        <v>5</v>
      </c>
      <c r="M385" s="40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26"/>
      <c r="BF385" s="26"/>
      <c r="BG385" s="40"/>
      <c r="BH385" s="36"/>
      <c r="BI385" s="36"/>
      <c r="BJ385" s="36"/>
      <c r="BK385" s="36"/>
      <c r="BL385" s="36"/>
      <c r="BM385" s="36"/>
      <c r="BN385" s="36"/>
      <c r="BO385" s="37">
        <f t="shared" si="34"/>
        <v>0</v>
      </c>
      <c r="BP385" s="56">
        <f t="shared" si="35"/>
        <v>0</v>
      </c>
      <c r="BQ385" s="56">
        <f t="shared" si="36"/>
        <v>0</v>
      </c>
      <c r="BR385" s="57">
        <f t="shared" si="37"/>
        <v>0</v>
      </c>
      <c r="BS385" s="38"/>
      <c r="BT385" s="38"/>
      <c r="BU385" s="26"/>
      <c r="BV385" s="26"/>
      <c r="BW385" s="39">
        <f t="shared" si="38"/>
        <v>0</v>
      </c>
      <c r="BX385" s="78">
        <v>0</v>
      </c>
      <c r="BY385" s="65">
        <v>10</v>
      </c>
      <c r="BZ385" s="16"/>
      <c r="CA385" s="21"/>
      <c r="CB385" s="16"/>
      <c r="CC385" s="16"/>
    </row>
    <row r="386" spans="1:81" ht="16" x14ac:dyDescent="0.2">
      <c r="A386" s="125" t="s">
        <v>297</v>
      </c>
      <c r="B386" s="26">
        <v>37</v>
      </c>
      <c r="C386" s="109" t="s">
        <v>154</v>
      </c>
      <c r="D386" s="26">
        <v>9</v>
      </c>
      <c r="E386" s="26">
        <v>2</v>
      </c>
      <c r="F386" s="26" t="s">
        <v>53</v>
      </c>
      <c r="G386" s="26" t="s">
        <v>50</v>
      </c>
      <c r="H386" s="26"/>
      <c r="I386" s="26"/>
      <c r="J386" s="26"/>
      <c r="K386" s="26">
        <v>12</v>
      </c>
      <c r="L386" s="26">
        <v>7</v>
      </c>
      <c r="M386" s="40" t="s">
        <v>40</v>
      </c>
      <c r="N386" s="36">
        <f>5.5/7.5</f>
        <v>0.73333333333333328</v>
      </c>
      <c r="O386" s="36" t="s">
        <v>38</v>
      </c>
      <c r="P386" s="36">
        <f>5.5/7.5</f>
        <v>0.73333333333333328</v>
      </c>
      <c r="Q386" s="36"/>
      <c r="R386" s="36"/>
      <c r="S386" s="36"/>
      <c r="T386" s="36"/>
      <c r="U386" s="36" t="s">
        <v>38</v>
      </c>
      <c r="V386" s="36">
        <f>7.5/7.5</f>
        <v>1</v>
      </c>
      <c r="W386" s="36"/>
      <c r="X386" s="36"/>
      <c r="Y386" s="36"/>
      <c r="Z386" s="36"/>
      <c r="AA386" s="36" t="s">
        <v>39</v>
      </c>
      <c r="AB386" s="36">
        <f>2.5/7.5</f>
        <v>0.33333333333333331</v>
      </c>
      <c r="AC386" s="36" t="s">
        <v>39</v>
      </c>
      <c r="AD386" s="36">
        <f>5/7.5</f>
        <v>0.66666666666666663</v>
      </c>
      <c r="AE386" s="36" t="s">
        <v>38</v>
      </c>
      <c r="AF386" s="36">
        <f>8.5/7.5</f>
        <v>1.1333333333333333</v>
      </c>
      <c r="AG386" s="36"/>
      <c r="AH386" s="36"/>
      <c r="AI386" s="36" t="s">
        <v>38</v>
      </c>
      <c r="AJ386" s="36">
        <f>8/7.5</f>
        <v>1.0666666666666667</v>
      </c>
      <c r="AK386" s="36" t="s">
        <v>38</v>
      </c>
      <c r="AL386" s="36">
        <f>5.5/7.5</f>
        <v>0.73333333333333328</v>
      </c>
      <c r="AM386" s="36"/>
      <c r="AN386" s="36"/>
      <c r="AO386" s="36"/>
      <c r="AP386" s="36"/>
      <c r="AQ386" s="36" t="s">
        <v>38</v>
      </c>
      <c r="AR386" s="36">
        <f>15/7.5</f>
        <v>2</v>
      </c>
      <c r="AS386" s="36" t="s">
        <v>39</v>
      </c>
      <c r="AT386" s="36">
        <f>2.5/7.5</f>
        <v>0.33333333333333331</v>
      </c>
      <c r="AU386" s="36" t="s">
        <v>38</v>
      </c>
      <c r="AV386" s="36">
        <f>4.5/7.5</f>
        <v>0.6</v>
      </c>
      <c r="AW386" s="36"/>
      <c r="AX386" s="36"/>
      <c r="AY386" s="36" t="s">
        <v>38</v>
      </c>
      <c r="AZ386" s="36">
        <f>9/7.5</f>
        <v>1.2</v>
      </c>
      <c r="BA386" s="36"/>
      <c r="BB386" s="36"/>
      <c r="BC386" s="36"/>
      <c r="BD386" s="36"/>
      <c r="BE386" s="26"/>
      <c r="BF386" s="26"/>
      <c r="BG386" s="40">
        <v>7</v>
      </c>
      <c r="BH386" s="36">
        <v>1</v>
      </c>
      <c r="BI386" s="36"/>
      <c r="BJ386" s="36">
        <v>3</v>
      </c>
      <c r="BK386" s="36"/>
      <c r="BL386" s="36"/>
      <c r="BM386" s="36">
        <v>1</v>
      </c>
      <c r="BN386" s="36"/>
      <c r="BO386" s="37">
        <f t="shared" si="34"/>
        <v>7</v>
      </c>
      <c r="BP386" s="56">
        <f t="shared" si="35"/>
        <v>4</v>
      </c>
      <c r="BQ386" s="56">
        <f t="shared" si="36"/>
        <v>1</v>
      </c>
      <c r="BR386" s="57">
        <f t="shared" si="37"/>
        <v>0</v>
      </c>
      <c r="BS386" s="38"/>
      <c r="BT386" s="38"/>
      <c r="BU386" s="26"/>
      <c r="BV386" s="26"/>
      <c r="BW386" s="39">
        <f t="shared" si="38"/>
        <v>12</v>
      </c>
      <c r="BX386" s="78">
        <v>2</v>
      </c>
      <c r="BY386" s="65">
        <v>2</v>
      </c>
      <c r="BZ386" s="16"/>
      <c r="CA386" s="21"/>
      <c r="CB386" s="16"/>
      <c r="CC386" s="16"/>
    </row>
    <row r="387" spans="1:81" ht="16" x14ac:dyDescent="0.2">
      <c r="A387" s="125" t="s">
        <v>297</v>
      </c>
      <c r="B387" s="26">
        <v>37</v>
      </c>
      <c r="C387" s="109" t="s">
        <v>154</v>
      </c>
      <c r="D387" s="26">
        <v>10</v>
      </c>
      <c r="E387" s="26">
        <v>2</v>
      </c>
      <c r="F387" s="26">
        <v>2</v>
      </c>
      <c r="G387" s="26" t="s">
        <v>51</v>
      </c>
      <c r="H387" s="26">
        <v>4</v>
      </c>
      <c r="I387" s="26" t="s">
        <v>51</v>
      </c>
      <c r="J387" s="26" t="s">
        <v>42</v>
      </c>
      <c r="K387" s="26"/>
      <c r="L387" s="26">
        <v>5</v>
      </c>
      <c r="M387" s="40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 t="s">
        <v>38</v>
      </c>
      <c r="AR387" s="36">
        <f>7/7</f>
        <v>1</v>
      </c>
      <c r="AS387" s="36" t="s">
        <v>39</v>
      </c>
      <c r="AT387" s="36">
        <f>7/7</f>
        <v>1</v>
      </c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26"/>
      <c r="BF387" s="26"/>
      <c r="BG387" s="40">
        <v>1</v>
      </c>
      <c r="BH387" s="36"/>
      <c r="BI387" s="36">
        <v>1</v>
      </c>
      <c r="BJ387" s="36"/>
      <c r="BK387" s="36"/>
      <c r="BL387" s="36"/>
      <c r="BM387" s="36"/>
      <c r="BN387" s="36"/>
      <c r="BO387" s="37">
        <f t="shared" si="34"/>
        <v>2</v>
      </c>
      <c r="BP387" s="56">
        <f t="shared" si="35"/>
        <v>0</v>
      </c>
      <c r="BQ387" s="56">
        <f t="shared" si="36"/>
        <v>0</v>
      </c>
      <c r="BR387" s="57">
        <f t="shared" si="37"/>
        <v>0</v>
      </c>
      <c r="BS387" s="38"/>
      <c r="BT387" s="38"/>
      <c r="BU387" s="26"/>
      <c r="BV387" s="26"/>
      <c r="BW387" s="39">
        <f t="shared" si="38"/>
        <v>2</v>
      </c>
      <c r="BX387" s="78">
        <v>1</v>
      </c>
      <c r="BY387" s="65">
        <v>8</v>
      </c>
      <c r="BZ387" s="16"/>
      <c r="CA387" s="21"/>
      <c r="CB387" s="16"/>
      <c r="CC387" s="16"/>
    </row>
    <row r="388" spans="1:81" ht="16" x14ac:dyDescent="0.2">
      <c r="A388" s="125" t="s">
        <v>297</v>
      </c>
      <c r="B388" s="26">
        <v>37</v>
      </c>
      <c r="C388" s="109" t="s">
        <v>154</v>
      </c>
      <c r="D388" s="26">
        <v>11</v>
      </c>
      <c r="E388" s="26">
        <v>2</v>
      </c>
      <c r="F388" s="26">
        <v>2</v>
      </c>
      <c r="G388" s="26" t="s">
        <v>51</v>
      </c>
      <c r="H388" s="26">
        <v>3</v>
      </c>
      <c r="I388" s="26" t="s">
        <v>54</v>
      </c>
      <c r="J388" s="26" t="s">
        <v>44</v>
      </c>
      <c r="K388" s="26"/>
      <c r="L388" s="26">
        <v>7</v>
      </c>
      <c r="M388" s="40"/>
      <c r="N388" s="36"/>
      <c r="O388" s="36"/>
      <c r="P388" s="36"/>
      <c r="Q388" s="36"/>
      <c r="R388" s="36"/>
      <c r="S388" s="36"/>
      <c r="T388" s="36"/>
      <c r="U388" s="36" t="s">
        <v>40</v>
      </c>
      <c r="V388" s="36">
        <f>4.5/8</f>
        <v>0.5625</v>
      </c>
      <c r="W388" s="36"/>
      <c r="X388" s="36"/>
      <c r="Y388" s="36"/>
      <c r="Z388" s="36"/>
      <c r="AA388" s="36"/>
      <c r="AB388" s="36"/>
      <c r="AC388" s="36"/>
      <c r="AD388" s="36"/>
      <c r="AE388" s="36" t="s">
        <v>38</v>
      </c>
      <c r="AF388" s="36">
        <f>5/8</f>
        <v>0.625</v>
      </c>
      <c r="AG388" s="36"/>
      <c r="AH388" s="36"/>
      <c r="AI388" s="36"/>
      <c r="AJ388" s="36"/>
      <c r="AK388" s="36"/>
      <c r="AL388" s="36"/>
      <c r="AM388" s="36"/>
      <c r="AN388" s="36"/>
      <c r="AO388" s="36" t="s">
        <v>39</v>
      </c>
      <c r="AP388" s="36">
        <f>3/8</f>
        <v>0.375</v>
      </c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26"/>
      <c r="BF388" s="26"/>
      <c r="BG388" s="40"/>
      <c r="BH388" s="36">
        <v>1</v>
      </c>
      <c r="BI388" s="36"/>
      <c r="BJ388" s="36">
        <v>1</v>
      </c>
      <c r="BK388" s="36"/>
      <c r="BL388" s="36"/>
      <c r="BM388" s="36"/>
      <c r="BN388" s="36">
        <v>1</v>
      </c>
      <c r="BO388" s="37">
        <f t="shared" si="34"/>
        <v>0</v>
      </c>
      <c r="BP388" s="56">
        <f t="shared" si="35"/>
        <v>2</v>
      </c>
      <c r="BQ388" s="56">
        <f t="shared" si="36"/>
        <v>0</v>
      </c>
      <c r="BR388" s="57">
        <f t="shared" si="37"/>
        <v>1</v>
      </c>
      <c r="BS388" s="36"/>
      <c r="BT388" s="36"/>
      <c r="BU388" s="26"/>
      <c r="BV388" s="26"/>
      <c r="BW388" s="39">
        <f t="shared" si="38"/>
        <v>3</v>
      </c>
      <c r="BX388" s="78">
        <v>4</v>
      </c>
      <c r="BY388" s="65">
        <v>4</v>
      </c>
      <c r="BZ388" s="16"/>
      <c r="CA388" s="21"/>
      <c r="CB388" s="16"/>
      <c r="CC388" s="16"/>
    </row>
    <row r="389" spans="1:81" ht="16" x14ac:dyDescent="0.2">
      <c r="A389" s="109" t="s">
        <v>298</v>
      </c>
      <c r="B389" s="26">
        <v>40</v>
      </c>
      <c r="C389" s="109" t="s">
        <v>155</v>
      </c>
      <c r="D389" s="26">
        <v>2</v>
      </c>
      <c r="E389" s="26">
        <v>2</v>
      </c>
      <c r="F389" s="26" t="s">
        <v>53</v>
      </c>
      <c r="G389" s="26" t="s">
        <v>50</v>
      </c>
      <c r="H389" s="26"/>
      <c r="I389" s="26"/>
      <c r="J389" s="26"/>
      <c r="K389" s="38" t="s">
        <v>63</v>
      </c>
      <c r="L389" s="26">
        <v>6</v>
      </c>
      <c r="M389" s="40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 t="s">
        <v>39</v>
      </c>
      <c r="AL389" s="36">
        <f>4/9</f>
        <v>0.44444444444444442</v>
      </c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 t="s">
        <v>39</v>
      </c>
      <c r="BD389" s="36">
        <f>6/9</f>
        <v>0.66666666666666663</v>
      </c>
      <c r="BE389" s="26"/>
      <c r="BF389" s="26"/>
      <c r="BG389" s="43"/>
      <c r="BJ389" s="41">
        <v>2</v>
      </c>
      <c r="BO389" s="37">
        <f t="shared" si="34"/>
        <v>0</v>
      </c>
      <c r="BP389" s="56">
        <f t="shared" si="35"/>
        <v>2</v>
      </c>
      <c r="BQ389" s="56">
        <f t="shared" si="36"/>
        <v>0</v>
      </c>
      <c r="BR389" s="57">
        <f t="shared" si="37"/>
        <v>0</v>
      </c>
      <c r="BS389" s="38"/>
      <c r="BT389" s="38"/>
      <c r="BU389" s="26"/>
      <c r="BV389" s="26"/>
      <c r="BW389" s="39">
        <f t="shared" si="38"/>
        <v>2</v>
      </c>
      <c r="BX389" s="78">
        <v>3</v>
      </c>
      <c r="BY389" s="63">
        <v>2</v>
      </c>
      <c r="BZ389" s="7"/>
      <c r="CA389" s="8"/>
      <c r="CB389" s="7"/>
      <c r="CC389" s="7"/>
    </row>
    <row r="390" spans="1:81" ht="16" x14ac:dyDescent="0.2">
      <c r="A390" s="125" t="s">
        <v>298</v>
      </c>
      <c r="B390" s="26">
        <v>40</v>
      </c>
      <c r="C390" s="109" t="s">
        <v>155</v>
      </c>
      <c r="D390" s="26">
        <v>3</v>
      </c>
      <c r="E390" s="26">
        <v>2</v>
      </c>
      <c r="F390" s="26" t="s">
        <v>53</v>
      </c>
      <c r="G390" s="26" t="s">
        <v>50</v>
      </c>
      <c r="H390" s="26"/>
      <c r="I390" s="26"/>
      <c r="J390" s="26"/>
      <c r="K390" s="38" t="s">
        <v>63</v>
      </c>
      <c r="L390" s="26">
        <v>6</v>
      </c>
      <c r="M390" s="40"/>
      <c r="N390" s="36"/>
      <c r="O390" s="36"/>
      <c r="P390" s="36"/>
      <c r="Q390" s="36"/>
      <c r="R390" s="36"/>
      <c r="S390" s="36" t="s">
        <v>39</v>
      </c>
      <c r="T390" s="36">
        <f>8.5/9</f>
        <v>0.94444444444444442</v>
      </c>
      <c r="U390" s="36" t="s">
        <v>40</v>
      </c>
      <c r="V390" s="36">
        <v>0.5</v>
      </c>
      <c r="W390" s="36" t="s">
        <v>38</v>
      </c>
      <c r="X390" s="36">
        <f>6/9</f>
        <v>0.66666666666666663</v>
      </c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 t="s">
        <v>38</v>
      </c>
      <c r="AN390" s="36">
        <f>3/9</f>
        <v>0.33333333333333331</v>
      </c>
      <c r="AO390" s="36" t="s">
        <v>38</v>
      </c>
      <c r="AP390" s="36">
        <f>5.5/9</f>
        <v>0.61111111111111116</v>
      </c>
      <c r="AQ390" s="36"/>
      <c r="AR390" s="36"/>
      <c r="AS390" s="36" t="s">
        <v>38</v>
      </c>
      <c r="AT390" s="36">
        <f>3.5/9</f>
        <v>0.3888888888888889</v>
      </c>
      <c r="AU390" s="36"/>
      <c r="AV390" s="36"/>
      <c r="AW390" s="36"/>
      <c r="AX390" s="36"/>
      <c r="AY390" s="36"/>
      <c r="AZ390" s="36"/>
      <c r="BA390" s="36"/>
      <c r="BB390" s="36"/>
      <c r="BC390" s="36" t="s">
        <v>38</v>
      </c>
      <c r="BD390" s="36">
        <f>2/9</f>
        <v>0.22222222222222221</v>
      </c>
      <c r="BE390" s="26"/>
      <c r="BF390" s="26"/>
      <c r="BG390" s="40"/>
      <c r="BH390" s="36">
        <v>4</v>
      </c>
      <c r="BI390" s="36">
        <v>1</v>
      </c>
      <c r="BJ390" s="36"/>
      <c r="BK390" s="36"/>
      <c r="BL390" s="36"/>
      <c r="BM390" s="36"/>
      <c r="BN390" s="36">
        <v>1</v>
      </c>
      <c r="BO390" s="37">
        <f t="shared" si="34"/>
        <v>1</v>
      </c>
      <c r="BP390" s="56">
        <f t="shared" si="35"/>
        <v>4</v>
      </c>
      <c r="BQ390" s="56">
        <f t="shared" si="36"/>
        <v>0</v>
      </c>
      <c r="BR390" s="57">
        <f t="shared" si="37"/>
        <v>1</v>
      </c>
      <c r="BS390" s="36"/>
      <c r="BT390" s="36"/>
      <c r="BU390" s="26"/>
      <c r="BV390" s="26"/>
      <c r="BW390" s="39">
        <f t="shared" si="38"/>
        <v>6</v>
      </c>
      <c r="BX390" s="78">
        <v>2</v>
      </c>
      <c r="BY390" s="65">
        <v>2</v>
      </c>
      <c r="BZ390" s="16"/>
      <c r="CA390" s="21"/>
      <c r="CB390" s="16"/>
      <c r="CC390" s="16"/>
    </row>
    <row r="391" spans="1:81" ht="16" x14ac:dyDescent="0.2">
      <c r="A391" s="125" t="s">
        <v>298</v>
      </c>
      <c r="B391" s="26">
        <v>40</v>
      </c>
      <c r="C391" s="109" t="s">
        <v>155</v>
      </c>
      <c r="D391" s="26">
        <v>4</v>
      </c>
      <c r="E391" s="26">
        <v>2</v>
      </c>
      <c r="F391" s="26">
        <v>2</v>
      </c>
      <c r="G391" s="26" t="s">
        <v>51</v>
      </c>
      <c r="H391" s="26">
        <v>4</v>
      </c>
      <c r="I391" s="26" t="s">
        <v>51</v>
      </c>
      <c r="J391" s="26" t="s">
        <v>41</v>
      </c>
      <c r="K391" s="26"/>
      <c r="L391" s="26">
        <v>5</v>
      </c>
      <c r="M391" s="40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 t="s">
        <v>48</v>
      </c>
      <c r="AJ391" s="36">
        <f>7/9</f>
        <v>0.77777777777777779</v>
      </c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26"/>
      <c r="BF391" s="26"/>
      <c r="BG391" s="40"/>
      <c r="BH391" s="36"/>
      <c r="BI391" s="36"/>
      <c r="BJ391" s="36"/>
      <c r="BK391" s="36">
        <v>1</v>
      </c>
      <c r="BL391" s="36"/>
      <c r="BM391" s="36"/>
      <c r="BN391" s="36"/>
      <c r="BO391" s="37">
        <f t="shared" si="34"/>
        <v>0</v>
      </c>
      <c r="BP391" s="56">
        <f t="shared" si="35"/>
        <v>0</v>
      </c>
      <c r="BQ391" s="56">
        <f t="shared" si="36"/>
        <v>1</v>
      </c>
      <c r="BR391" s="57">
        <f t="shared" si="37"/>
        <v>0</v>
      </c>
      <c r="BS391" s="38"/>
      <c r="BT391" s="38"/>
      <c r="BU391" s="26"/>
      <c r="BV391" s="26"/>
      <c r="BW391" s="39">
        <f t="shared" si="38"/>
        <v>1</v>
      </c>
      <c r="BX391" s="78">
        <v>4</v>
      </c>
      <c r="BY391" s="65">
        <v>10</v>
      </c>
      <c r="BZ391" s="16"/>
      <c r="CA391" s="21"/>
      <c r="CB391" s="16"/>
      <c r="CC391" s="16"/>
    </row>
    <row r="392" spans="1:81" ht="16" x14ac:dyDescent="0.2">
      <c r="A392" s="125" t="s">
        <v>298</v>
      </c>
      <c r="B392" s="26">
        <v>40</v>
      </c>
      <c r="C392" s="109" t="s">
        <v>155</v>
      </c>
      <c r="D392" s="26">
        <v>5</v>
      </c>
      <c r="E392" s="26">
        <v>2</v>
      </c>
      <c r="F392" s="26">
        <v>3</v>
      </c>
      <c r="G392" s="26" t="s">
        <v>50</v>
      </c>
      <c r="H392" s="26">
        <v>5</v>
      </c>
      <c r="I392" s="26" t="s">
        <v>51</v>
      </c>
      <c r="J392" s="26"/>
      <c r="K392" s="38" t="s">
        <v>63</v>
      </c>
      <c r="L392" s="26">
        <v>6</v>
      </c>
      <c r="M392" s="40"/>
      <c r="N392" s="36"/>
      <c r="O392" s="36"/>
      <c r="P392" s="36"/>
      <c r="Q392" s="36"/>
      <c r="R392" s="36"/>
      <c r="S392" s="36"/>
      <c r="T392" s="36"/>
      <c r="U392" s="36"/>
      <c r="V392" s="36"/>
      <c r="W392" s="36" t="s">
        <v>39</v>
      </c>
      <c r="X392" s="36">
        <f>8/9</f>
        <v>0.88888888888888884</v>
      </c>
      <c r="Y392" s="36" t="s">
        <v>39</v>
      </c>
      <c r="Z392" s="36">
        <f>8.5/9</f>
        <v>0.94444444444444442</v>
      </c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 t="s">
        <v>39</v>
      </c>
      <c r="AL392" s="36">
        <f>7.5/9</f>
        <v>0.83333333333333337</v>
      </c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 t="s">
        <v>39</v>
      </c>
      <c r="BB392" s="36">
        <f>8/9</f>
        <v>0.88888888888888884</v>
      </c>
      <c r="BD392" s="36"/>
      <c r="BE392" s="26"/>
      <c r="BF392" s="26"/>
      <c r="BG392" s="40"/>
      <c r="BH392" s="36"/>
      <c r="BI392" s="36">
        <v>4</v>
      </c>
      <c r="BJ392" s="36"/>
      <c r="BK392" s="36"/>
      <c r="BL392" s="36"/>
      <c r="BM392" s="36"/>
      <c r="BN392" s="36"/>
      <c r="BO392" s="37">
        <f t="shared" si="34"/>
        <v>4</v>
      </c>
      <c r="BP392" s="56">
        <f t="shared" si="35"/>
        <v>0</v>
      </c>
      <c r="BQ392" s="56">
        <f t="shared" si="36"/>
        <v>0</v>
      </c>
      <c r="BR392" s="57">
        <f t="shared" si="37"/>
        <v>0</v>
      </c>
      <c r="BS392" s="38"/>
      <c r="BT392" s="38"/>
      <c r="BU392" s="26"/>
      <c r="BV392" s="26"/>
      <c r="BW392" s="39">
        <f t="shared" si="38"/>
        <v>4</v>
      </c>
      <c r="BX392" s="78">
        <v>1</v>
      </c>
      <c r="BY392" s="65">
        <v>2</v>
      </c>
      <c r="BZ392" s="16"/>
      <c r="CA392" s="21"/>
      <c r="CB392" s="16"/>
      <c r="CC392" s="16"/>
    </row>
    <row r="393" spans="1:81" ht="16" x14ac:dyDescent="0.2">
      <c r="A393" s="125" t="s">
        <v>298</v>
      </c>
      <c r="B393" s="26">
        <v>40</v>
      </c>
      <c r="C393" s="109" t="s">
        <v>155</v>
      </c>
      <c r="D393" s="26">
        <v>6</v>
      </c>
      <c r="E393" s="26">
        <v>2</v>
      </c>
      <c r="F393" s="26" t="s">
        <v>53</v>
      </c>
      <c r="G393" s="26" t="s">
        <v>50</v>
      </c>
      <c r="H393" s="26"/>
      <c r="I393" s="26"/>
      <c r="J393" s="26" t="s">
        <v>64</v>
      </c>
      <c r="K393" s="26"/>
      <c r="L393" s="26">
        <v>5</v>
      </c>
      <c r="M393" s="40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 t="s">
        <v>38</v>
      </c>
      <c r="BD393" s="36">
        <f>9/9</f>
        <v>1</v>
      </c>
      <c r="BE393" s="26"/>
      <c r="BF393" s="26"/>
      <c r="BG393" s="40">
        <v>1</v>
      </c>
      <c r="BH393" s="36"/>
      <c r="BI393" s="36"/>
      <c r="BJ393" s="36"/>
      <c r="BK393" s="36"/>
      <c r="BL393" s="36"/>
      <c r="BM393" s="36"/>
      <c r="BN393" s="36"/>
      <c r="BO393" s="37">
        <f t="shared" si="34"/>
        <v>1</v>
      </c>
      <c r="BP393" s="56">
        <f t="shared" si="35"/>
        <v>0</v>
      </c>
      <c r="BQ393" s="56">
        <f t="shared" si="36"/>
        <v>0</v>
      </c>
      <c r="BR393" s="57">
        <f t="shared" si="37"/>
        <v>0</v>
      </c>
      <c r="BS393" s="38"/>
      <c r="BT393" s="38"/>
      <c r="BU393" s="26"/>
      <c r="BV393" s="26"/>
      <c r="BW393" s="39">
        <f t="shared" si="38"/>
        <v>1</v>
      </c>
      <c r="BX393" s="78">
        <v>1</v>
      </c>
      <c r="BY393" s="65">
        <v>6</v>
      </c>
      <c r="BZ393" s="16"/>
      <c r="CA393" s="21"/>
      <c r="CB393" s="16"/>
      <c r="CC393" s="16"/>
    </row>
    <row r="394" spans="1:81" ht="16" x14ac:dyDescent="0.2">
      <c r="A394" s="125" t="s">
        <v>298</v>
      </c>
      <c r="B394" s="26">
        <v>40</v>
      </c>
      <c r="C394" s="109" t="s">
        <v>155</v>
      </c>
      <c r="D394" s="26">
        <v>7</v>
      </c>
      <c r="E394" s="26">
        <v>2</v>
      </c>
      <c r="F394" s="26">
        <v>2</v>
      </c>
      <c r="G394" s="26" t="s">
        <v>51</v>
      </c>
      <c r="H394" s="26">
        <v>2</v>
      </c>
      <c r="I394" s="26" t="s">
        <v>54</v>
      </c>
      <c r="J394" s="26"/>
      <c r="K394" s="26">
        <v>2</v>
      </c>
      <c r="L394" s="26">
        <v>6</v>
      </c>
      <c r="M394" s="40"/>
      <c r="N394" s="36"/>
      <c r="O394" s="36"/>
      <c r="P394" s="36"/>
      <c r="Q394" s="36"/>
      <c r="R394" s="36"/>
      <c r="S394" s="36" t="s">
        <v>40</v>
      </c>
      <c r="T394" s="36">
        <f>5/9</f>
        <v>0.55555555555555558</v>
      </c>
      <c r="U394" s="36"/>
      <c r="V394" s="36"/>
      <c r="W394" s="36"/>
      <c r="X394" s="36"/>
      <c r="Y394" s="36"/>
      <c r="Z394" s="36"/>
      <c r="AA394" s="36"/>
      <c r="AB394" s="36"/>
      <c r="AC394" s="36" t="s">
        <v>57</v>
      </c>
      <c r="AD394" s="36">
        <f>5/9</f>
        <v>0.55555555555555558</v>
      </c>
      <c r="AE394" s="36" t="s">
        <v>38</v>
      </c>
      <c r="AF394" s="36">
        <f>3/9</f>
        <v>0.33333333333333331</v>
      </c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26"/>
      <c r="BF394" s="26"/>
      <c r="BG394" s="40"/>
      <c r="BH394" s="36">
        <v>1</v>
      </c>
      <c r="BI394" s="36"/>
      <c r="BJ394" s="36"/>
      <c r="BK394" s="36"/>
      <c r="BL394" s="36"/>
      <c r="BM394" s="36"/>
      <c r="BN394" s="36">
        <v>2</v>
      </c>
      <c r="BO394" s="37">
        <f t="shared" si="34"/>
        <v>0</v>
      </c>
      <c r="BP394" s="56">
        <f t="shared" si="35"/>
        <v>1</v>
      </c>
      <c r="BQ394" s="56">
        <f t="shared" si="36"/>
        <v>0</v>
      </c>
      <c r="BR394" s="57">
        <f t="shared" si="37"/>
        <v>2</v>
      </c>
      <c r="BS394" s="38"/>
      <c r="BT394" s="38"/>
      <c r="BU394" s="26"/>
      <c r="BV394" s="26"/>
      <c r="BW394" s="39">
        <f t="shared" si="38"/>
        <v>3</v>
      </c>
      <c r="BX394" s="78">
        <v>4</v>
      </c>
      <c r="BY394" s="65">
        <v>1</v>
      </c>
      <c r="BZ394" s="16"/>
      <c r="CA394" s="21"/>
      <c r="CB394" s="16"/>
      <c r="CC394" s="16"/>
    </row>
    <row r="395" spans="1:81" ht="16" x14ac:dyDescent="0.2">
      <c r="A395" s="109" t="s">
        <v>299</v>
      </c>
      <c r="B395" s="26">
        <v>37</v>
      </c>
      <c r="C395" s="109" t="s">
        <v>156</v>
      </c>
      <c r="D395" s="38">
        <v>1</v>
      </c>
      <c r="E395" s="38">
        <v>2</v>
      </c>
      <c r="F395" s="38">
        <v>2</v>
      </c>
      <c r="G395" s="38" t="s">
        <v>51</v>
      </c>
      <c r="H395" s="38">
        <v>4</v>
      </c>
      <c r="I395" s="38" t="s">
        <v>51</v>
      </c>
      <c r="J395" s="38"/>
      <c r="K395" s="38">
        <v>14</v>
      </c>
      <c r="L395" s="38">
        <v>7</v>
      </c>
      <c r="M395" s="40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 t="s">
        <v>39</v>
      </c>
      <c r="AR395" s="36">
        <f>14.5/16</f>
        <v>0.90625</v>
      </c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8"/>
      <c r="BF395" s="38"/>
      <c r="BG395" s="39"/>
      <c r="BH395" s="38"/>
      <c r="BI395" s="38">
        <v>1</v>
      </c>
      <c r="BJ395" s="38"/>
      <c r="BK395" s="38"/>
      <c r="BL395" s="38"/>
      <c r="BM395" s="38"/>
      <c r="BN395" s="38"/>
      <c r="BO395" s="37">
        <f t="shared" si="34"/>
        <v>1</v>
      </c>
      <c r="BP395" s="56">
        <f t="shared" si="35"/>
        <v>0</v>
      </c>
      <c r="BQ395" s="56">
        <f t="shared" si="36"/>
        <v>0</v>
      </c>
      <c r="BR395" s="57">
        <f t="shared" si="37"/>
        <v>0</v>
      </c>
      <c r="BS395" s="38"/>
      <c r="BT395" s="38"/>
      <c r="BU395" s="26"/>
      <c r="BV395" s="26"/>
      <c r="BW395" s="39">
        <f t="shared" si="38"/>
        <v>1</v>
      </c>
      <c r="BX395" s="78">
        <v>1</v>
      </c>
      <c r="BY395" s="63">
        <v>2</v>
      </c>
      <c r="BZ395" s="7"/>
      <c r="CA395" s="8"/>
      <c r="CB395" s="7"/>
      <c r="CC395" s="7"/>
    </row>
    <row r="396" spans="1:81" ht="16" x14ac:dyDescent="0.2">
      <c r="A396" s="109" t="s">
        <v>299</v>
      </c>
      <c r="B396" s="26">
        <v>37</v>
      </c>
      <c r="C396" s="109" t="s">
        <v>156</v>
      </c>
      <c r="D396" s="38">
        <v>2</v>
      </c>
      <c r="E396" s="38">
        <v>2</v>
      </c>
      <c r="F396" s="38">
        <v>4</v>
      </c>
      <c r="G396" s="38" t="s">
        <v>50</v>
      </c>
      <c r="H396" s="38"/>
      <c r="I396" s="38"/>
      <c r="J396" s="38"/>
      <c r="K396" s="38">
        <v>10</v>
      </c>
      <c r="L396" s="38">
        <v>7</v>
      </c>
      <c r="M396" s="40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 t="s">
        <v>39</v>
      </c>
      <c r="Z396" s="36">
        <f>7/16</f>
        <v>0.4375</v>
      </c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 t="s">
        <v>39</v>
      </c>
      <c r="AL396" s="36">
        <f>7/16</f>
        <v>0.4375</v>
      </c>
      <c r="AM396" s="36"/>
      <c r="AN396" s="36"/>
      <c r="AO396" s="36"/>
      <c r="AP396" s="36"/>
      <c r="AQ396" s="36"/>
      <c r="AR396" s="36"/>
      <c r="AS396" s="36"/>
      <c r="AT396" s="36"/>
      <c r="AU396" s="36" t="s">
        <v>38</v>
      </c>
      <c r="AV396" s="36">
        <f>5.5/16</f>
        <v>0.34375</v>
      </c>
      <c r="AW396" s="36"/>
      <c r="AX396" s="36"/>
      <c r="AY396" s="36" t="s">
        <v>39</v>
      </c>
      <c r="AZ396" s="36">
        <f>5/16</f>
        <v>0.3125</v>
      </c>
      <c r="BA396" s="36"/>
      <c r="BB396" s="36"/>
      <c r="BC396" s="36"/>
      <c r="BD396" s="36"/>
      <c r="BE396" s="38"/>
      <c r="BF396" s="38"/>
      <c r="BG396" s="39"/>
      <c r="BH396" s="38">
        <v>1</v>
      </c>
      <c r="BI396" s="38"/>
      <c r="BJ396" s="38">
        <v>3</v>
      </c>
      <c r="BK396" s="38"/>
      <c r="BL396" s="38"/>
      <c r="BM396" s="38"/>
      <c r="BN396" s="38"/>
      <c r="BO396" s="37">
        <f t="shared" si="34"/>
        <v>0</v>
      </c>
      <c r="BP396" s="56">
        <f t="shared" si="35"/>
        <v>4</v>
      </c>
      <c r="BQ396" s="56">
        <f t="shared" si="36"/>
        <v>0</v>
      </c>
      <c r="BR396" s="57">
        <f t="shared" si="37"/>
        <v>0</v>
      </c>
      <c r="BS396" s="38"/>
      <c r="BT396" s="38"/>
      <c r="BU396" s="26"/>
      <c r="BV396" s="26"/>
      <c r="BW396" s="39">
        <f t="shared" si="38"/>
        <v>4</v>
      </c>
      <c r="BX396" s="78">
        <v>3</v>
      </c>
      <c r="BY396" s="63">
        <v>1</v>
      </c>
      <c r="BZ396" s="7"/>
      <c r="CA396" s="8"/>
      <c r="CB396" s="7"/>
      <c r="CC396" s="7"/>
    </row>
    <row r="397" spans="1:81" ht="16" x14ac:dyDescent="0.2">
      <c r="A397" s="109" t="s">
        <v>299</v>
      </c>
      <c r="B397" s="26">
        <v>37</v>
      </c>
      <c r="C397" s="109" t="s">
        <v>156</v>
      </c>
      <c r="D397" s="38">
        <v>3</v>
      </c>
      <c r="E397" s="38">
        <v>2</v>
      </c>
      <c r="F397" s="38">
        <v>2</v>
      </c>
      <c r="G397" s="38" t="s">
        <v>51</v>
      </c>
      <c r="H397" s="38">
        <v>4</v>
      </c>
      <c r="I397" s="38" t="s">
        <v>51</v>
      </c>
      <c r="J397" s="38" t="s">
        <v>41</v>
      </c>
      <c r="K397" s="38"/>
      <c r="L397" s="38">
        <v>6</v>
      </c>
      <c r="M397" s="40"/>
      <c r="N397" s="36"/>
      <c r="O397" s="36"/>
      <c r="P397" s="36"/>
      <c r="Q397" s="36"/>
      <c r="R397" s="36"/>
      <c r="S397" s="36"/>
      <c r="T397" s="36"/>
      <c r="U397" s="36"/>
      <c r="V397" s="36"/>
      <c r="W397" s="36" t="s">
        <v>40</v>
      </c>
      <c r="X397" s="36">
        <f>10.5/16</f>
        <v>0.65625</v>
      </c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 t="s">
        <v>38</v>
      </c>
      <c r="AJ397" s="36">
        <f>17/16</f>
        <v>1.0625</v>
      </c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 t="s">
        <v>38</v>
      </c>
      <c r="AX397" s="36">
        <f>14/16</f>
        <v>0.875</v>
      </c>
      <c r="AY397" s="36"/>
      <c r="AZ397" s="36"/>
      <c r="BA397" s="36"/>
      <c r="BB397" s="36"/>
      <c r="BC397" s="36"/>
      <c r="BD397" s="36"/>
      <c r="BE397" s="38"/>
      <c r="BF397" s="38"/>
      <c r="BG397" s="39">
        <v>2</v>
      </c>
      <c r="BH397" s="38"/>
      <c r="BI397" s="38"/>
      <c r="BJ397" s="38"/>
      <c r="BK397" s="38"/>
      <c r="BL397" s="38"/>
      <c r="BM397" s="38"/>
      <c r="BN397" s="38">
        <v>1</v>
      </c>
      <c r="BO397" s="37">
        <f t="shared" si="34"/>
        <v>2</v>
      </c>
      <c r="BP397" s="56">
        <f t="shared" si="35"/>
        <v>0</v>
      </c>
      <c r="BQ397" s="56">
        <f t="shared" si="36"/>
        <v>0</v>
      </c>
      <c r="BR397" s="57">
        <f t="shared" si="37"/>
        <v>1</v>
      </c>
      <c r="BS397" s="38"/>
      <c r="BT397" s="38"/>
      <c r="BU397" s="26"/>
      <c r="BV397" s="26"/>
      <c r="BW397" s="39">
        <f t="shared" si="38"/>
        <v>3</v>
      </c>
      <c r="BX397" s="78">
        <v>2</v>
      </c>
      <c r="BY397" s="63">
        <v>10</v>
      </c>
      <c r="BZ397" s="7"/>
      <c r="CA397" s="8"/>
      <c r="CB397" s="7"/>
      <c r="CC397" s="7"/>
    </row>
    <row r="398" spans="1:81" ht="16" x14ac:dyDescent="0.2">
      <c r="A398" s="109" t="s">
        <v>299</v>
      </c>
      <c r="B398" s="26">
        <v>37</v>
      </c>
      <c r="C398" s="109" t="s">
        <v>156</v>
      </c>
      <c r="D398" s="38">
        <v>5</v>
      </c>
      <c r="E398" s="38">
        <v>2</v>
      </c>
      <c r="F398" s="38">
        <v>2</v>
      </c>
      <c r="G398" s="38" t="s">
        <v>51</v>
      </c>
      <c r="H398" s="38">
        <v>4</v>
      </c>
      <c r="I398" s="38" t="s">
        <v>51</v>
      </c>
      <c r="J398" s="38" t="s">
        <v>45</v>
      </c>
      <c r="K398" s="38"/>
      <c r="L398" s="38">
        <v>7</v>
      </c>
      <c r="M398" s="40"/>
      <c r="N398" s="36"/>
      <c r="O398" s="36" t="s">
        <v>57</v>
      </c>
      <c r="P398" s="36">
        <f>16/16</f>
        <v>1</v>
      </c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 t="s">
        <v>61</v>
      </c>
      <c r="AD398" s="36">
        <v>0.875</v>
      </c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8"/>
      <c r="BF398" s="38"/>
      <c r="BG398" s="39"/>
      <c r="BH398" s="38"/>
      <c r="BI398" s="38"/>
      <c r="BJ398" s="38"/>
      <c r="BK398" s="38"/>
      <c r="BL398" s="38"/>
      <c r="BM398" s="38">
        <v>1</v>
      </c>
      <c r="BN398" s="38"/>
      <c r="BO398" s="37">
        <f t="shared" si="34"/>
        <v>0</v>
      </c>
      <c r="BP398" s="56">
        <f t="shared" si="35"/>
        <v>0</v>
      </c>
      <c r="BQ398" s="56">
        <f t="shared" si="36"/>
        <v>2</v>
      </c>
      <c r="BR398" s="57">
        <f t="shared" si="37"/>
        <v>0</v>
      </c>
      <c r="BS398" s="38">
        <v>1</v>
      </c>
      <c r="BT398" s="38"/>
      <c r="BU398" s="26"/>
      <c r="BV398" s="26"/>
      <c r="BW398" s="39">
        <f t="shared" si="38"/>
        <v>2</v>
      </c>
      <c r="BX398" s="78">
        <v>4</v>
      </c>
      <c r="BY398" s="63">
        <v>5</v>
      </c>
      <c r="BZ398" s="7"/>
      <c r="CA398" s="8"/>
      <c r="CB398" s="7"/>
      <c r="CC398" s="7"/>
    </row>
    <row r="399" spans="1:81" ht="16" x14ac:dyDescent="0.2">
      <c r="A399" s="109" t="s">
        <v>299</v>
      </c>
      <c r="B399" s="26">
        <v>37</v>
      </c>
      <c r="C399" s="109" t="s">
        <v>156</v>
      </c>
      <c r="D399" s="38">
        <v>6</v>
      </c>
      <c r="E399" s="38">
        <v>2</v>
      </c>
      <c r="F399" s="38">
        <v>2</v>
      </c>
      <c r="G399" s="38" t="s">
        <v>51</v>
      </c>
      <c r="H399" s="38">
        <v>4</v>
      </c>
      <c r="I399" s="38" t="s">
        <v>51</v>
      </c>
      <c r="J399" s="38"/>
      <c r="K399" s="38">
        <v>12</v>
      </c>
      <c r="L399" s="38">
        <v>7</v>
      </c>
      <c r="M399" s="40"/>
      <c r="N399" s="36"/>
      <c r="O399" s="36" t="s">
        <v>38</v>
      </c>
      <c r="P399" s="36">
        <f>19.5/16</f>
        <v>1.21875</v>
      </c>
      <c r="Q399" s="36" t="s">
        <v>39</v>
      </c>
      <c r="R399" s="36">
        <f>10/16</f>
        <v>0.625</v>
      </c>
      <c r="S399" s="36"/>
      <c r="T399" s="36"/>
      <c r="U399" s="36" t="s">
        <v>39</v>
      </c>
      <c r="V399" s="36">
        <f>16/16</f>
        <v>1</v>
      </c>
      <c r="W399" s="36" t="s">
        <v>39</v>
      </c>
      <c r="X399" s="36">
        <f>12/16</f>
        <v>0.75</v>
      </c>
      <c r="Y399" s="36" t="s">
        <v>38</v>
      </c>
      <c r="Z399" s="36">
        <f>18.5/16</f>
        <v>1.15625</v>
      </c>
      <c r="AA399" s="36"/>
      <c r="AB399" s="36"/>
      <c r="AC399" s="36" t="s">
        <v>39</v>
      </c>
      <c r="AD399" s="36">
        <f>9.5/16</f>
        <v>0.59375</v>
      </c>
      <c r="AE399" s="36"/>
      <c r="AF399" s="36"/>
      <c r="AG399" s="36" t="s">
        <v>38</v>
      </c>
      <c r="AH399" s="36">
        <f>17/16</f>
        <v>1.0625</v>
      </c>
      <c r="AI399" s="36" t="s">
        <v>38</v>
      </c>
      <c r="AJ399" s="36">
        <f>24.5/16</f>
        <v>1.53125</v>
      </c>
      <c r="AK399" s="36" t="s">
        <v>38</v>
      </c>
      <c r="AL399" s="36">
        <f>16/16</f>
        <v>1</v>
      </c>
      <c r="AM399" s="36" t="s">
        <v>38</v>
      </c>
      <c r="AN399" s="36">
        <f>5.5/16</f>
        <v>0.34375</v>
      </c>
      <c r="AO399" s="36" t="s">
        <v>39</v>
      </c>
      <c r="AP399" s="36">
        <f>13.5/16</f>
        <v>0.84375</v>
      </c>
      <c r="AQ399" s="36" t="s">
        <v>39</v>
      </c>
      <c r="AR399" s="36">
        <f>7/16</f>
        <v>0.4375</v>
      </c>
      <c r="AS399" s="36" t="s">
        <v>38</v>
      </c>
      <c r="AT399" s="36">
        <f>14.5/16</f>
        <v>0.90625</v>
      </c>
      <c r="AU399" s="36" t="s">
        <v>48</v>
      </c>
      <c r="AV399" s="36">
        <f>9.5/16</f>
        <v>0.59375</v>
      </c>
      <c r="AW399" s="36" t="s">
        <v>38</v>
      </c>
      <c r="AX399" s="36">
        <f>12/16</f>
        <v>0.75</v>
      </c>
      <c r="AY399" s="36" t="s">
        <v>39</v>
      </c>
      <c r="AZ399" s="36">
        <f>18/16</f>
        <v>1.125</v>
      </c>
      <c r="BA399" s="36" t="s">
        <v>39</v>
      </c>
      <c r="BB399" s="36">
        <f>12.5/16</f>
        <v>0.78125</v>
      </c>
      <c r="BC399" s="36" t="s">
        <v>39</v>
      </c>
      <c r="BD399" s="36">
        <f>9/16</f>
        <v>0.5625</v>
      </c>
      <c r="BE399" s="38" t="s">
        <v>38</v>
      </c>
      <c r="BF399" s="38" t="s">
        <v>67</v>
      </c>
      <c r="BG399" s="39">
        <v>7</v>
      </c>
      <c r="BH399" s="38">
        <v>1</v>
      </c>
      <c r="BI399" s="38">
        <v>5</v>
      </c>
      <c r="BJ399" s="38">
        <v>4</v>
      </c>
      <c r="BK399" s="38"/>
      <c r="BL399" s="38">
        <v>1</v>
      </c>
      <c r="BM399" s="38"/>
      <c r="BN399" s="38"/>
      <c r="BO399" s="37">
        <f t="shared" si="34"/>
        <v>13</v>
      </c>
      <c r="BP399" s="56">
        <f t="shared" si="35"/>
        <v>5</v>
      </c>
      <c r="BQ399" s="56">
        <f t="shared" si="36"/>
        <v>0</v>
      </c>
      <c r="BR399" s="57">
        <f t="shared" si="37"/>
        <v>1</v>
      </c>
      <c r="BS399" s="38"/>
      <c r="BT399" s="38"/>
      <c r="BU399" s="26">
        <v>1</v>
      </c>
      <c r="BV399" s="26"/>
      <c r="BW399" s="39">
        <f t="shared" si="38"/>
        <v>19</v>
      </c>
      <c r="BX399" s="78">
        <v>2</v>
      </c>
      <c r="BY399" s="63">
        <v>2</v>
      </c>
      <c r="BZ399" s="7"/>
      <c r="CA399" s="8"/>
      <c r="CB399" s="7"/>
      <c r="CC399" s="7"/>
    </row>
    <row r="400" spans="1:81" ht="16" x14ac:dyDescent="0.2">
      <c r="A400" s="109" t="s">
        <v>299</v>
      </c>
      <c r="B400" s="26">
        <v>37</v>
      </c>
      <c r="C400" s="109" t="s">
        <v>156</v>
      </c>
      <c r="D400" s="38">
        <v>8</v>
      </c>
      <c r="E400" s="38">
        <v>2</v>
      </c>
      <c r="F400" s="38" t="s">
        <v>53</v>
      </c>
      <c r="G400" s="38" t="s">
        <v>56</v>
      </c>
      <c r="H400" s="38"/>
      <c r="I400" s="38"/>
      <c r="J400" s="38"/>
      <c r="K400" s="38">
        <v>10</v>
      </c>
      <c r="L400" s="38">
        <v>7</v>
      </c>
      <c r="M400" s="40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 t="s">
        <v>39</v>
      </c>
      <c r="AF400" s="36">
        <f>11/16</f>
        <v>0.6875</v>
      </c>
      <c r="AG400" s="36"/>
      <c r="AH400" s="36"/>
      <c r="AI400" s="36"/>
      <c r="AJ400" s="36"/>
      <c r="AK400" s="36" t="s">
        <v>39</v>
      </c>
      <c r="AL400" s="36">
        <f>12/16</f>
        <v>0.75</v>
      </c>
      <c r="AM400" s="36"/>
      <c r="AN400" s="36"/>
      <c r="AO400" s="36"/>
      <c r="AP400" s="36"/>
      <c r="AQ400" s="36"/>
      <c r="AR400" s="36"/>
      <c r="AS400" s="36"/>
      <c r="AT400" s="36"/>
      <c r="AU400" s="36" t="s">
        <v>39</v>
      </c>
      <c r="AV400" s="36">
        <f>12/16</f>
        <v>0.75</v>
      </c>
      <c r="AW400" s="36"/>
      <c r="AX400" s="36"/>
      <c r="AY400" s="36"/>
      <c r="AZ400" s="36"/>
      <c r="BA400" s="36"/>
      <c r="BB400" s="36"/>
      <c r="BC400" s="36"/>
      <c r="BD400" s="36"/>
      <c r="BE400" s="38"/>
      <c r="BF400" s="38"/>
      <c r="BG400" s="39"/>
      <c r="BH400" s="38"/>
      <c r="BI400" s="38">
        <v>2</v>
      </c>
      <c r="BJ400" s="38">
        <v>1</v>
      </c>
      <c r="BK400" s="38"/>
      <c r="BL400" s="38"/>
      <c r="BM400" s="38"/>
      <c r="BN400" s="38"/>
      <c r="BO400" s="37">
        <f t="shared" si="34"/>
        <v>2</v>
      </c>
      <c r="BP400" s="56">
        <f t="shared" si="35"/>
        <v>1</v>
      </c>
      <c r="BQ400" s="56">
        <f t="shared" si="36"/>
        <v>0</v>
      </c>
      <c r="BR400" s="57">
        <f t="shared" si="37"/>
        <v>0</v>
      </c>
      <c r="BS400" s="38"/>
      <c r="BT400" s="38"/>
      <c r="BU400" s="26"/>
      <c r="BV400" s="26"/>
      <c r="BW400" s="39">
        <f t="shared" si="38"/>
        <v>3</v>
      </c>
      <c r="BX400" s="78">
        <v>2</v>
      </c>
      <c r="BY400" s="63">
        <v>1</v>
      </c>
      <c r="BZ400" s="7"/>
      <c r="CA400" s="8"/>
      <c r="CB400" s="7"/>
      <c r="CC400" s="7"/>
    </row>
    <row r="401" spans="1:81" ht="16" x14ac:dyDescent="0.2">
      <c r="A401" s="109" t="s">
        <v>299</v>
      </c>
      <c r="B401" s="26">
        <v>37</v>
      </c>
      <c r="C401" s="109" t="s">
        <v>156</v>
      </c>
      <c r="D401" s="38">
        <v>9</v>
      </c>
      <c r="E401" s="38">
        <v>2</v>
      </c>
      <c r="F401" s="38">
        <v>3</v>
      </c>
      <c r="G401" s="38" t="s">
        <v>56</v>
      </c>
      <c r="H401" s="38">
        <v>6</v>
      </c>
      <c r="I401" s="38" t="s">
        <v>51</v>
      </c>
      <c r="J401" s="38"/>
      <c r="K401" s="38">
        <v>8</v>
      </c>
      <c r="L401" s="38">
        <v>7</v>
      </c>
      <c r="M401" s="40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 t="s">
        <v>39</v>
      </c>
      <c r="AJ401" s="36">
        <f>5.5/16</f>
        <v>0.34375</v>
      </c>
      <c r="AK401" s="36"/>
      <c r="AL401" s="36"/>
      <c r="AM401" s="36" t="s">
        <v>39</v>
      </c>
      <c r="AN401" s="36">
        <f>6/16</f>
        <v>0.375</v>
      </c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 t="s">
        <v>38</v>
      </c>
      <c r="BD401" s="36">
        <f>11.5/16</f>
        <v>0.71875</v>
      </c>
      <c r="BE401" s="38"/>
      <c r="BF401" s="38"/>
      <c r="BG401" s="39">
        <v>1</v>
      </c>
      <c r="BH401" s="38"/>
      <c r="BI401" s="38"/>
      <c r="BJ401" s="38">
        <v>2</v>
      </c>
      <c r="BK401" s="38"/>
      <c r="BL401" s="38"/>
      <c r="BM401" s="38"/>
      <c r="BN401" s="38"/>
      <c r="BO401" s="37">
        <f t="shared" si="34"/>
        <v>1</v>
      </c>
      <c r="BP401" s="56">
        <f t="shared" si="35"/>
        <v>2</v>
      </c>
      <c r="BQ401" s="56">
        <f t="shared" si="36"/>
        <v>0</v>
      </c>
      <c r="BR401" s="57">
        <f t="shared" si="37"/>
        <v>0</v>
      </c>
      <c r="BS401" s="38"/>
      <c r="BT401" s="38"/>
      <c r="BU401" s="26"/>
      <c r="BV401" s="26"/>
      <c r="BW401" s="39">
        <f t="shared" si="38"/>
        <v>3</v>
      </c>
      <c r="BX401" s="78">
        <v>2</v>
      </c>
      <c r="BY401" s="63">
        <v>1</v>
      </c>
      <c r="BZ401" s="7"/>
      <c r="CA401" s="8"/>
      <c r="CB401" s="7"/>
      <c r="CC401" s="7"/>
    </row>
    <row r="402" spans="1:81" ht="16" x14ac:dyDescent="0.2">
      <c r="A402" s="109" t="s">
        <v>299</v>
      </c>
      <c r="B402" s="26">
        <v>37</v>
      </c>
      <c r="C402" s="109" t="s">
        <v>156</v>
      </c>
      <c r="D402" s="38">
        <v>10</v>
      </c>
      <c r="E402" s="38">
        <v>2</v>
      </c>
      <c r="F402" s="38">
        <v>2</v>
      </c>
      <c r="G402" s="38" t="s">
        <v>51</v>
      </c>
      <c r="H402" s="38">
        <v>5</v>
      </c>
      <c r="I402" s="38" t="s">
        <v>56</v>
      </c>
      <c r="J402" s="38" t="s">
        <v>60</v>
      </c>
      <c r="K402" s="38"/>
      <c r="L402" s="38">
        <v>7</v>
      </c>
      <c r="M402" s="40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 t="s">
        <v>39</v>
      </c>
      <c r="AR402" s="36">
        <f>13/16</f>
        <v>0.8125</v>
      </c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8"/>
      <c r="BF402" s="38"/>
      <c r="BG402" s="39"/>
      <c r="BH402" s="38"/>
      <c r="BI402" s="38">
        <v>1</v>
      </c>
      <c r="BJ402" s="38"/>
      <c r="BK402" s="38"/>
      <c r="BL402" s="38"/>
      <c r="BM402" s="38"/>
      <c r="BN402" s="38"/>
      <c r="BO402" s="37">
        <f t="shared" si="34"/>
        <v>1</v>
      </c>
      <c r="BP402" s="56">
        <f t="shared" si="35"/>
        <v>0</v>
      </c>
      <c r="BQ402" s="56">
        <f t="shared" si="36"/>
        <v>0</v>
      </c>
      <c r="BR402" s="57">
        <f t="shared" si="37"/>
        <v>0</v>
      </c>
      <c r="BS402" s="38"/>
      <c r="BT402" s="38"/>
      <c r="BU402" s="26"/>
      <c r="BV402" s="26"/>
      <c r="BW402" s="39">
        <f t="shared" si="38"/>
        <v>1</v>
      </c>
      <c r="BX402" s="78">
        <v>1</v>
      </c>
      <c r="BY402" s="63">
        <v>7</v>
      </c>
      <c r="BZ402" s="7"/>
      <c r="CA402" s="8"/>
      <c r="CB402" s="7"/>
      <c r="CC402" s="7"/>
    </row>
    <row r="403" spans="1:81" ht="16" x14ac:dyDescent="0.2">
      <c r="A403" s="109" t="s">
        <v>299</v>
      </c>
      <c r="B403" s="26">
        <v>37</v>
      </c>
      <c r="C403" s="109" t="s">
        <v>156</v>
      </c>
      <c r="D403" s="38">
        <v>12</v>
      </c>
      <c r="E403" s="38">
        <v>2</v>
      </c>
      <c r="F403" s="38">
        <v>3</v>
      </c>
      <c r="G403" s="38" t="s">
        <v>50</v>
      </c>
      <c r="H403" s="38">
        <v>6</v>
      </c>
      <c r="I403" s="38" t="s">
        <v>51</v>
      </c>
      <c r="J403" s="38"/>
      <c r="K403" s="38">
        <v>5</v>
      </c>
      <c r="L403" s="38">
        <v>7</v>
      </c>
      <c r="M403" s="40" t="s">
        <v>38</v>
      </c>
      <c r="N403" s="36">
        <f>24.5/16</f>
        <v>1.53125</v>
      </c>
      <c r="O403" s="36" t="s">
        <v>38</v>
      </c>
      <c r="P403" s="36">
        <f>10.5/16</f>
        <v>0.65625</v>
      </c>
      <c r="Q403" s="36" t="s">
        <v>38</v>
      </c>
      <c r="R403" s="36">
        <f>11.5/16</f>
        <v>0.71875</v>
      </c>
      <c r="S403" s="36"/>
      <c r="T403" s="36"/>
      <c r="U403" s="36" t="s">
        <v>38</v>
      </c>
      <c r="V403" s="36">
        <f>10/16</f>
        <v>0.625</v>
      </c>
      <c r="W403" s="36" t="s">
        <v>39</v>
      </c>
      <c r="X403" s="36">
        <f>12/16</f>
        <v>0.75</v>
      </c>
      <c r="Y403" s="36" t="s">
        <v>39</v>
      </c>
      <c r="Z403" s="36">
        <f>12/16</f>
        <v>0.75</v>
      </c>
      <c r="AA403" s="36" t="s">
        <v>39</v>
      </c>
      <c r="AB403" s="36">
        <f>19/16</f>
        <v>1.1875</v>
      </c>
      <c r="AC403" s="36" t="s">
        <v>39</v>
      </c>
      <c r="AD403" s="36">
        <f>21.5/16</f>
        <v>1.34375</v>
      </c>
      <c r="AE403" s="36" t="s">
        <v>39</v>
      </c>
      <c r="AF403" s="36">
        <f>12.5/16</f>
        <v>0.78125</v>
      </c>
      <c r="AG403" s="36" t="s">
        <v>38</v>
      </c>
      <c r="AH403" s="36">
        <f>8/16</f>
        <v>0.5</v>
      </c>
      <c r="AI403" s="36" t="s">
        <v>39</v>
      </c>
      <c r="AJ403" s="36">
        <f>11.5/16</f>
        <v>0.71875</v>
      </c>
      <c r="AK403" s="36" t="s">
        <v>39</v>
      </c>
      <c r="AL403" s="36">
        <f>11/16</f>
        <v>0.6875</v>
      </c>
      <c r="AM403" s="36" t="s">
        <v>43</v>
      </c>
      <c r="AN403" s="36">
        <f>12.5/16</f>
        <v>0.78125</v>
      </c>
      <c r="AO403" s="36" t="s">
        <v>39</v>
      </c>
      <c r="AP403" s="36">
        <f>12.5/16</f>
        <v>0.78125</v>
      </c>
      <c r="AQ403" s="36" t="s">
        <v>38</v>
      </c>
      <c r="AR403" s="36">
        <f>12/16</f>
        <v>0.75</v>
      </c>
      <c r="AS403" s="36" t="s">
        <v>38</v>
      </c>
      <c r="AT403" s="36">
        <f>13.5/16</f>
        <v>0.84375</v>
      </c>
      <c r="AU403" s="36" t="s">
        <v>39</v>
      </c>
      <c r="AV403" s="36">
        <f>11.5/16</f>
        <v>0.71875</v>
      </c>
      <c r="AW403" s="36" t="s">
        <v>38</v>
      </c>
      <c r="AX403" s="36">
        <f>26/16</f>
        <v>1.625</v>
      </c>
      <c r="AY403" s="36" t="s">
        <v>39</v>
      </c>
      <c r="AZ403" s="36">
        <f>14/16</f>
        <v>0.875</v>
      </c>
      <c r="BA403" s="36" t="s">
        <v>38</v>
      </c>
      <c r="BB403" s="36">
        <f>11/16</f>
        <v>0.6875</v>
      </c>
      <c r="BC403" s="36" t="s">
        <v>39</v>
      </c>
      <c r="BD403" s="36">
        <f>11/16</f>
        <v>0.6875</v>
      </c>
      <c r="BE403" s="38" t="s">
        <v>39</v>
      </c>
      <c r="BF403" s="38" t="s">
        <v>46</v>
      </c>
      <c r="BG403" s="39">
        <v>5</v>
      </c>
      <c r="BH403" s="38">
        <v>4</v>
      </c>
      <c r="BI403" s="38">
        <v>9</v>
      </c>
      <c r="BJ403" s="38">
        <v>2</v>
      </c>
      <c r="BK403" s="38"/>
      <c r="BL403" s="38"/>
      <c r="BM403" s="38"/>
      <c r="BN403" s="38"/>
      <c r="BO403" s="37">
        <f t="shared" si="34"/>
        <v>15</v>
      </c>
      <c r="BP403" s="56">
        <f t="shared" si="35"/>
        <v>6</v>
      </c>
      <c r="BQ403" s="56">
        <f t="shared" si="36"/>
        <v>1</v>
      </c>
      <c r="BR403" s="57">
        <f t="shared" si="37"/>
        <v>0</v>
      </c>
      <c r="BS403" s="38">
        <v>1</v>
      </c>
      <c r="BT403" s="38"/>
      <c r="BU403" s="26">
        <v>1</v>
      </c>
      <c r="BV403" s="26"/>
      <c r="BW403" s="39">
        <f t="shared" si="38"/>
        <v>22</v>
      </c>
      <c r="BX403" s="78">
        <v>2</v>
      </c>
      <c r="BY403" s="63">
        <v>1</v>
      </c>
      <c r="BZ403" s="7"/>
      <c r="CA403" s="8"/>
      <c r="CB403" s="7"/>
      <c r="CC403" s="7"/>
    </row>
    <row r="404" spans="1:81" ht="16" x14ac:dyDescent="0.2">
      <c r="A404" s="109" t="s">
        <v>300</v>
      </c>
      <c r="B404" s="26">
        <v>35</v>
      </c>
      <c r="C404" s="109" t="s">
        <v>157</v>
      </c>
      <c r="D404" s="38">
        <v>1</v>
      </c>
      <c r="E404" s="38">
        <v>2</v>
      </c>
      <c r="F404" s="38">
        <v>3</v>
      </c>
      <c r="G404" s="38" t="s">
        <v>50</v>
      </c>
      <c r="H404" s="38">
        <v>6</v>
      </c>
      <c r="I404" s="38" t="s">
        <v>50</v>
      </c>
      <c r="J404" s="38"/>
      <c r="K404" s="38" t="s">
        <v>63</v>
      </c>
      <c r="L404" s="38">
        <v>6</v>
      </c>
      <c r="M404" s="40"/>
      <c r="N404" s="36"/>
      <c r="O404" s="36"/>
      <c r="P404" s="36"/>
      <c r="Q404" s="36"/>
      <c r="R404" s="36"/>
      <c r="S404" s="36"/>
      <c r="T404" s="36"/>
      <c r="U404" s="36"/>
      <c r="V404" s="36"/>
      <c r="W404" s="36" t="s">
        <v>38</v>
      </c>
      <c r="X404" s="36">
        <f>8.5/16</f>
        <v>0.53125</v>
      </c>
      <c r="Y404" s="36" t="s">
        <v>38</v>
      </c>
      <c r="Z404" s="36">
        <f>10.5/16</f>
        <v>0.65625</v>
      </c>
      <c r="AA404" s="36" t="s">
        <v>38</v>
      </c>
      <c r="AB404" s="36">
        <f>10.5/16</f>
        <v>0.65625</v>
      </c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 t="s">
        <v>39</v>
      </c>
      <c r="AN404" s="36">
        <f>9.5/16</f>
        <v>0.59375</v>
      </c>
      <c r="AO404" s="36"/>
      <c r="AP404" s="36"/>
      <c r="AQ404" s="36"/>
      <c r="AR404" s="36"/>
      <c r="AS404" s="36" t="s">
        <v>38</v>
      </c>
      <c r="AT404" s="36">
        <f>9.5/16</f>
        <v>0.59375</v>
      </c>
      <c r="AU404" s="36"/>
      <c r="AV404" s="36"/>
      <c r="AW404" s="36"/>
      <c r="AX404" s="36"/>
      <c r="AY404" s="36"/>
      <c r="AZ404" s="36"/>
      <c r="BA404" s="36"/>
      <c r="BB404" s="36"/>
      <c r="BC404" s="36" t="s">
        <v>39</v>
      </c>
      <c r="BD404" s="36">
        <f>14.5/16</f>
        <v>0.90625</v>
      </c>
      <c r="BE404" s="38"/>
      <c r="BF404" s="38"/>
      <c r="BG404" s="39"/>
      <c r="BH404" s="38">
        <v>4</v>
      </c>
      <c r="BI404" s="38">
        <v>1</v>
      </c>
      <c r="BJ404" s="38">
        <v>1</v>
      </c>
      <c r="BK404" s="38"/>
      <c r="BL404" s="38"/>
      <c r="BM404" s="38"/>
      <c r="BO404" s="37">
        <f t="shared" si="34"/>
        <v>1</v>
      </c>
      <c r="BP404" s="56">
        <f t="shared" si="35"/>
        <v>5</v>
      </c>
      <c r="BQ404" s="56">
        <f t="shared" si="36"/>
        <v>0</v>
      </c>
      <c r="BR404" s="57">
        <f t="shared" si="37"/>
        <v>0</v>
      </c>
      <c r="BS404" s="38"/>
      <c r="BT404" s="38"/>
      <c r="BU404" s="26"/>
      <c r="BV404" s="26"/>
      <c r="BW404" s="39">
        <f t="shared" si="38"/>
        <v>6</v>
      </c>
      <c r="BX404" s="78">
        <v>2</v>
      </c>
      <c r="BY404" s="63">
        <v>2</v>
      </c>
    </row>
    <row r="405" spans="1:81" x14ac:dyDescent="0.2">
      <c r="A405" s="109" t="s">
        <v>300</v>
      </c>
      <c r="B405" s="26">
        <v>35</v>
      </c>
      <c r="C405" s="109" t="s">
        <v>157</v>
      </c>
      <c r="D405" s="38">
        <v>2</v>
      </c>
      <c r="E405" s="38">
        <v>2</v>
      </c>
      <c r="F405" s="38">
        <v>2</v>
      </c>
      <c r="G405" s="38" t="s">
        <v>51</v>
      </c>
      <c r="H405" s="38">
        <v>4</v>
      </c>
      <c r="I405" s="38" t="s">
        <v>51</v>
      </c>
      <c r="J405" s="38" t="s">
        <v>42</v>
      </c>
      <c r="K405" s="38"/>
      <c r="L405" s="38">
        <v>5</v>
      </c>
      <c r="M405" s="40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8"/>
      <c r="BF405" s="38"/>
      <c r="BG405" s="39"/>
      <c r="BH405" s="38"/>
      <c r="BI405" s="38"/>
      <c r="BJ405" s="38"/>
      <c r="BK405" s="38"/>
      <c r="BL405" s="38"/>
      <c r="BM405" s="38"/>
      <c r="BN405" s="38"/>
      <c r="BO405" s="37">
        <f t="shared" si="34"/>
        <v>0</v>
      </c>
      <c r="BP405" s="56">
        <f t="shared" si="35"/>
        <v>0</v>
      </c>
      <c r="BQ405" s="56">
        <f t="shared" si="36"/>
        <v>0</v>
      </c>
      <c r="BR405" s="57">
        <f t="shared" si="37"/>
        <v>0</v>
      </c>
      <c r="BS405" s="38"/>
      <c r="BT405" s="38"/>
      <c r="BU405" s="26"/>
      <c r="BV405" s="26"/>
      <c r="BW405" s="39">
        <f t="shared" si="38"/>
        <v>0</v>
      </c>
      <c r="BX405" s="78">
        <v>0</v>
      </c>
      <c r="BY405" s="63">
        <v>8</v>
      </c>
      <c r="BZ405" s="7"/>
      <c r="CA405" s="8"/>
      <c r="CB405" s="7"/>
      <c r="CC405" s="7"/>
    </row>
    <row r="406" spans="1:81" ht="16" x14ac:dyDescent="0.2">
      <c r="A406" s="109" t="s">
        <v>300</v>
      </c>
      <c r="B406" s="26">
        <v>35</v>
      </c>
      <c r="C406" s="109" t="s">
        <v>157</v>
      </c>
      <c r="D406" s="38">
        <v>3</v>
      </c>
      <c r="E406" s="38">
        <v>2</v>
      </c>
      <c r="F406" s="38">
        <v>2</v>
      </c>
      <c r="G406" s="38" t="s">
        <v>51</v>
      </c>
      <c r="H406" s="38">
        <v>4</v>
      </c>
      <c r="I406" s="38" t="s">
        <v>51</v>
      </c>
      <c r="J406" s="38" t="s">
        <v>60</v>
      </c>
      <c r="K406" s="38"/>
      <c r="L406" s="38">
        <v>6</v>
      </c>
      <c r="M406" s="40"/>
      <c r="N406" s="36"/>
      <c r="O406" s="36"/>
      <c r="P406" s="36"/>
      <c r="Q406" s="36" t="s">
        <v>38</v>
      </c>
      <c r="R406" s="36">
        <f>6/16</f>
        <v>0.375</v>
      </c>
      <c r="S406" s="36"/>
      <c r="T406" s="36"/>
      <c r="U406" s="36"/>
      <c r="V406" s="36"/>
      <c r="W406" s="36" t="s">
        <v>39</v>
      </c>
      <c r="X406" s="36">
        <f>5/16</f>
        <v>0.3125</v>
      </c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 t="s">
        <v>38</v>
      </c>
      <c r="BB406" s="36">
        <f>4.5/16</f>
        <v>0.28125</v>
      </c>
      <c r="BC406" s="36" t="s">
        <v>39</v>
      </c>
      <c r="BD406" s="36">
        <f>4.5/16</f>
        <v>0.28125</v>
      </c>
      <c r="BE406" s="38"/>
      <c r="BF406" s="38"/>
      <c r="BG406" s="39"/>
      <c r="BH406" s="38">
        <v>1</v>
      </c>
      <c r="BI406" s="38"/>
      <c r="BJ406" s="38">
        <v>1</v>
      </c>
      <c r="BK406" s="38"/>
      <c r="BL406" s="38"/>
      <c r="BM406" s="38"/>
      <c r="BN406" s="38"/>
      <c r="BO406" s="37">
        <f t="shared" si="34"/>
        <v>0</v>
      </c>
      <c r="BP406" s="56">
        <f t="shared" si="35"/>
        <v>2</v>
      </c>
      <c r="BQ406" s="56">
        <f t="shared" si="36"/>
        <v>0</v>
      </c>
      <c r="BR406" s="57">
        <f t="shared" si="37"/>
        <v>0</v>
      </c>
      <c r="BS406" s="38"/>
      <c r="BT406" s="38"/>
      <c r="BU406" s="26"/>
      <c r="BV406" s="26"/>
      <c r="BW406" s="39">
        <f t="shared" si="38"/>
        <v>2</v>
      </c>
      <c r="BX406" s="78">
        <v>3</v>
      </c>
      <c r="BY406" s="63">
        <v>7</v>
      </c>
      <c r="BZ406" s="7"/>
      <c r="CA406" s="8"/>
      <c r="CB406" s="7"/>
      <c r="CC406" s="7"/>
    </row>
    <row r="407" spans="1:81" ht="16" x14ac:dyDescent="0.2">
      <c r="A407" s="109" t="s">
        <v>300</v>
      </c>
      <c r="B407" s="26">
        <v>35</v>
      </c>
      <c r="C407" s="109" t="s">
        <v>157</v>
      </c>
      <c r="D407" s="38">
        <v>5</v>
      </c>
      <c r="E407" s="38">
        <v>2</v>
      </c>
      <c r="F407" s="38">
        <v>2</v>
      </c>
      <c r="G407" s="38" t="s">
        <v>51</v>
      </c>
      <c r="H407" s="38">
        <v>4</v>
      </c>
      <c r="I407" s="38" t="s">
        <v>51</v>
      </c>
      <c r="J407" s="38" t="s">
        <v>42</v>
      </c>
      <c r="K407" s="38"/>
      <c r="L407" s="38">
        <v>5</v>
      </c>
      <c r="M407" s="40"/>
      <c r="N407" s="36"/>
      <c r="O407" s="36" t="s">
        <v>38</v>
      </c>
      <c r="P407" s="36">
        <f>9.5/16</f>
        <v>0.59375</v>
      </c>
      <c r="Q407" s="36"/>
      <c r="R407" s="36"/>
      <c r="S407" s="36"/>
      <c r="T407" s="36"/>
      <c r="U407" s="36" t="s">
        <v>70</v>
      </c>
      <c r="V407" s="36">
        <v>0.5</v>
      </c>
      <c r="W407" s="36"/>
      <c r="X407" s="36"/>
      <c r="Y407" s="36" t="s">
        <v>57</v>
      </c>
      <c r="Z407" s="36">
        <f>15.5/16</f>
        <v>0.96875</v>
      </c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 t="s">
        <v>39</v>
      </c>
      <c r="AV407" s="36">
        <f>11.5/16</f>
        <v>0.71875</v>
      </c>
      <c r="AW407" s="36"/>
      <c r="AX407" s="36"/>
      <c r="AY407" s="36"/>
      <c r="AZ407" s="36"/>
      <c r="BA407" s="36"/>
      <c r="BB407" s="36"/>
      <c r="BC407" s="36"/>
      <c r="BD407" s="36"/>
      <c r="BE407" s="38"/>
      <c r="BF407" s="38"/>
      <c r="BG407" s="39"/>
      <c r="BH407" s="38">
        <v>1</v>
      </c>
      <c r="BI407" s="38">
        <v>1</v>
      </c>
      <c r="BJ407" s="38"/>
      <c r="BK407" s="38"/>
      <c r="BL407" s="38"/>
      <c r="BM407" s="38">
        <v>1</v>
      </c>
      <c r="BN407" s="38"/>
      <c r="BO407" s="37">
        <f t="shared" si="34"/>
        <v>1</v>
      </c>
      <c r="BP407" s="56">
        <f t="shared" si="35"/>
        <v>1</v>
      </c>
      <c r="BQ407" s="56">
        <f t="shared" si="36"/>
        <v>2</v>
      </c>
      <c r="BR407" s="57">
        <f t="shared" si="37"/>
        <v>0</v>
      </c>
      <c r="BS407" s="38">
        <v>1</v>
      </c>
      <c r="BT407" s="38"/>
      <c r="BU407" s="26"/>
      <c r="BV407" s="26"/>
      <c r="BW407" s="39">
        <f t="shared" si="38"/>
        <v>4</v>
      </c>
      <c r="BX407" s="78">
        <v>2</v>
      </c>
      <c r="BY407" s="63">
        <v>8</v>
      </c>
      <c r="BZ407" s="7"/>
      <c r="CA407" s="8"/>
      <c r="CB407" s="7"/>
      <c r="CC407" s="7"/>
    </row>
    <row r="408" spans="1:81" ht="16" x14ac:dyDescent="0.2">
      <c r="A408" s="109" t="s">
        <v>300</v>
      </c>
      <c r="B408" s="26">
        <v>35</v>
      </c>
      <c r="C408" s="109" t="s">
        <v>157</v>
      </c>
      <c r="D408" s="38">
        <v>6</v>
      </c>
      <c r="E408" s="38">
        <v>2</v>
      </c>
      <c r="F408" s="38">
        <v>3</v>
      </c>
      <c r="G408" s="38" t="s">
        <v>56</v>
      </c>
      <c r="H408" s="38">
        <v>6</v>
      </c>
      <c r="I408" s="38" t="s">
        <v>51</v>
      </c>
      <c r="J408" s="38"/>
      <c r="K408" s="38">
        <v>11</v>
      </c>
      <c r="L408" s="38">
        <v>6</v>
      </c>
      <c r="M408" s="40"/>
      <c r="N408" s="36"/>
      <c r="O408" s="36"/>
      <c r="P408" s="36"/>
      <c r="Q408" s="36"/>
      <c r="R408" s="36"/>
      <c r="S408" s="36" t="s">
        <v>39</v>
      </c>
      <c r="T408" s="36">
        <f>6.5/16</f>
        <v>0.40625</v>
      </c>
      <c r="U408" s="36"/>
      <c r="V408" s="36"/>
      <c r="W408" s="36"/>
      <c r="X408" s="36"/>
      <c r="Y408" s="36" t="s">
        <v>39</v>
      </c>
      <c r="Z408" s="36">
        <f>8/16</f>
        <v>0.5</v>
      </c>
      <c r="AA408" s="36" t="s">
        <v>39</v>
      </c>
      <c r="AB408" s="36">
        <f>5/16</f>
        <v>0.3125</v>
      </c>
      <c r="AC408" s="36" t="s">
        <v>39</v>
      </c>
      <c r="AD408" s="36">
        <f>10/16</f>
        <v>0.625</v>
      </c>
      <c r="AE408" s="36"/>
      <c r="AF408" s="36"/>
      <c r="AG408" s="36"/>
      <c r="AH408" s="36"/>
      <c r="AI408" s="36"/>
      <c r="AJ408" s="36"/>
      <c r="AK408" s="36" t="s">
        <v>38</v>
      </c>
      <c r="AL408" s="36">
        <f>10.5/16</f>
        <v>0.65625</v>
      </c>
      <c r="AM408" s="36" t="s">
        <v>38</v>
      </c>
      <c r="AN408" s="36">
        <f>12/16</f>
        <v>0.75</v>
      </c>
      <c r="AO408" s="36" t="s">
        <v>38</v>
      </c>
      <c r="AP408" s="36">
        <f>11/16</f>
        <v>0.6875</v>
      </c>
      <c r="AQ408" s="36" t="s">
        <v>38</v>
      </c>
      <c r="AR408" s="36">
        <f>6/16</f>
        <v>0.375</v>
      </c>
      <c r="AS408" s="36" t="s">
        <v>38</v>
      </c>
      <c r="AT408" s="36">
        <f>6/16</f>
        <v>0.375</v>
      </c>
      <c r="AU408" s="36" t="s">
        <v>38</v>
      </c>
      <c r="AV408" s="36">
        <f>6/16</f>
        <v>0.375</v>
      </c>
      <c r="AW408" s="36"/>
      <c r="AX408" s="36"/>
      <c r="AY408" s="36"/>
      <c r="AZ408" s="36"/>
      <c r="BA408" s="36"/>
      <c r="BB408" s="36"/>
      <c r="BC408" s="36"/>
      <c r="BD408" s="36"/>
      <c r="BE408" s="38"/>
      <c r="BF408" s="38"/>
      <c r="BG408" s="39">
        <v>1</v>
      </c>
      <c r="BH408" s="38">
        <v>5</v>
      </c>
      <c r="BI408" s="38"/>
      <c r="BJ408" s="38">
        <v>4</v>
      </c>
      <c r="BK408" s="38"/>
      <c r="BL408" s="38"/>
      <c r="BM408" s="38"/>
      <c r="BN408" s="38"/>
      <c r="BO408" s="37">
        <f t="shared" si="34"/>
        <v>1</v>
      </c>
      <c r="BP408" s="56">
        <f t="shared" si="35"/>
        <v>9</v>
      </c>
      <c r="BQ408" s="56">
        <f t="shared" si="36"/>
        <v>0</v>
      </c>
      <c r="BR408" s="57">
        <f t="shared" si="37"/>
        <v>0</v>
      </c>
      <c r="BS408" s="38"/>
      <c r="BT408" s="38"/>
      <c r="BU408" s="26"/>
      <c r="BV408" s="26"/>
      <c r="BW408" s="39">
        <f t="shared" si="38"/>
        <v>10</v>
      </c>
      <c r="BX408" s="78">
        <v>2</v>
      </c>
      <c r="BY408" s="63">
        <v>2</v>
      </c>
      <c r="BZ408" s="7"/>
      <c r="CA408" s="8"/>
      <c r="CB408" s="7"/>
      <c r="CC408" s="7"/>
    </row>
    <row r="409" spans="1:81" x14ac:dyDescent="0.2">
      <c r="A409" s="109" t="s">
        <v>300</v>
      </c>
      <c r="B409" s="26">
        <v>35</v>
      </c>
      <c r="C409" s="109" t="s">
        <v>157</v>
      </c>
      <c r="D409" s="38">
        <v>7</v>
      </c>
      <c r="E409" s="38">
        <v>2</v>
      </c>
      <c r="F409" s="38">
        <v>2</v>
      </c>
      <c r="G409" s="38" t="s">
        <v>51</v>
      </c>
      <c r="H409" s="38">
        <v>4</v>
      </c>
      <c r="I409" s="38" t="s">
        <v>51</v>
      </c>
      <c r="J409" s="38" t="s">
        <v>65</v>
      </c>
      <c r="K409" s="38"/>
      <c r="L409" s="38">
        <v>5</v>
      </c>
      <c r="M409" s="40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8"/>
      <c r="BF409" s="38"/>
      <c r="BG409" s="39"/>
      <c r="BH409" s="38"/>
      <c r="BI409" s="38"/>
      <c r="BJ409" s="38"/>
      <c r="BK409" s="38"/>
      <c r="BL409" s="38"/>
      <c r="BM409" s="38"/>
      <c r="BN409" s="38"/>
      <c r="BO409" s="37">
        <f t="shared" si="34"/>
        <v>0</v>
      </c>
      <c r="BP409" s="56">
        <f t="shared" si="35"/>
        <v>0</v>
      </c>
      <c r="BQ409" s="56">
        <f t="shared" si="36"/>
        <v>0</v>
      </c>
      <c r="BR409" s="57">
        <f t="shared" si="37"/>
        <v>0</v>
      </c>
      <c r="BS409" s="38"/>
      <c r="BT409" s="38"/>
      <c r="BU409" s="26"/>
      <c r="BV409" s="26"/>
      <c r="BW409" s="39">
        <f t="shared" si="38"/>
        <v>0</v>
      </c>
      <c r="BX409" s="78">
        <v>0</v>
      </c>
      <c r="BY409" s="63">
        <v>11</v>
      </c>
      <c r="BZ409" s="7"/>
      <c r="CA409" s="8"/>
      <c r="CB409" s="7"/>
      <c r="CC409" s="7"/>
    </row>
    <row r="410" spans="1:81" x14ac:dyDescent="0.2">
      <c r="A410" s="109" t="s">
        <v>300</v>
      </c>
      <c r="B410" s="26">
        <v>35</v>
      </c>
      <c r="C410" s="109" t="s">
        <v>157</v>
      </c>
      <c r="D410" s="38">
        <v>8</v>
      </c>
      <c r="E410" s="38">
        <v>2</v>
      </c>
      <c r="F410" s="38">
        <v>2</v>
      </c>
      <c r="G410" s="38" t="s">
        <v>51</v>
      </c>
      <c r="H410" s="38">
        <v>4</v>
      </c>
      <c r="I410" s="38" t="s">
        <v>51</v>
      </c>
      <c r="J410" s="38" t="s">
        <v>69</v>
      </c>
      <c r="K410" s="38"/>
      <c r="L410" s="38">
        <v>5</v>
      </c>
      <c r="M410" s="40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8"/>
      <c r="BF410" s="38"/>
      <c r="BG410" s="39"/>
      <c r="BH410" s="38"/>
      <c r="BI410" s="38"/>
      <c r="BJ410" s="38"/>
      <c r="BK410" s="38"/>
      <c r="BL410" s="38"/>
      <c r="BM410" s="38"/>
      <c r="BN410" s="38"/>
      <c r="BO410" s="37">
        <f t="shared" si="34"/>
        <v>0</v>
      </c>
      <c r="BP410" s="56">
        <f t="shared" si="35"/>
        <v>0</v>
      </c>
      <c r="BQ410" s="56">
        <f t="shared" si="36"/>
        <v>0</v>
      </c>
      <c r="BR410" s="57">
        <f t="shared" si="37"/>
        <v>0</v>
      </c>
      <c r="BS410" s="38"/>
      <c r="BT410" s="38"/>
      <c r="BU410" s="26"/>
      <c r="BV410" s="26"/>
      <c r="BW410" s="39">
        <f t="shared" si="38"/>
        <v>0</v>
      </c>
      <c r="BX410" s="78">
        <v>0</v>
      </c>
      <c r="BY410" s="63">
        <v>12</v>
      </c>
      <c r="BZ410" s="7"/>
      <c r="CA410" s="8"/>
      <c r="CB410" s="7"/>
      <c r="CC410" s="7"/>
    </row>
    <row r="411" spans="1:81" x14ac:dyDescent="0.2">
      <c r="A411" s="109" t="s">
        <v>300</v>
      </c>
      <c r="B411" s="26">
        <v>35</v>
      </c>
      <c r="C411" s="109" t="s">
        <v>157</v>
      </c>
      <c r="D411" s="38">
        <v>9</v>
      </c>
      <c r="E411" s="38">
        <v>2</v>
      </c>
      <c r="F411" s="38">
        <v>2</v>
      </c>
      <c r="G411" s="38" t="s">
        <v>51</v>
      </c>
      <c r="H411" s="38">
        <v>4</v>
      </c>
      <c r="I411" s="38" t="s">
        <v>51</v>
      </c>
      <c r="J411" s="38" t="s">
        <v>65</v>
      </c>
      <c r="K411" s="38"/>
      <c r="L411" s="38">
        <v>5</v>
      </c>
      <c r="M411" s="40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8"/>
      <c r="BF411" s="38"/>
      <c r="BG411" s="39"/>
      <c r="BH411" s="38"/>
      <c r="BI411" s="38"/>
      <c r="BJ411" s="38"/>
      <c r="BK411" s="38"/>
      <c r="BL411" s="38"/>
      <c r="BM411" s="38"/>
      <c r="BN411" s="38"/>
      <c r="BO411" s="37">
        <f t="shared" si="34"/>
        <v>0</v>
      </c>
      <c r="BP411" s="56">
        <f t="shared" si="35"/>
        <v>0</v>
      </c>
      <c r="BQ411" s="56">
        <f t="shared" si="36"/>
        <v>0</v>
      </c>
      <c r="BR411" s="57">
        <f t="shared" si="37"/>
        <v>0</v>
      </c>
      <c r="BS411" s="38"/>
      <c r="BT411" s="38"/>
      <c r="BU411" s="26"/>
      <c r="BV411" s="26"/>
      <c r="BW411" s="39">
        <f t="shared" si="38"/>
        <v>0</v>
      </c>
      <c r="BX411" s="78">
        <v>0</v>
      </c>
      <c r="BY411" s="63">
        <v>11</v>
      </c>
      <c r="BZ411" s="7"/>
      <c r="CA411" s="8"/>
      <c r="CB411" s="7"/>
      <c r="CC411" s="7"/>
    </row>
    <row r="412" spans="1:81" ht="16" x14ac:dyDescent="0.2">
      <c r="A412" s="109" t="s">
        <v>300</v>
      </c>
      <c r="B412" s="26">
        <v>35</v>
      </c>
      <c r="C412" s="109" t="s">
        <v>157</v>
      </c>
      <c r="D412" s="38">
        <v>10</v>
      </c>
      <c r="E412" s="38">
        <v>2</v>
      </c>
      <c r="F412" s="38">
        <v>2</v>
      </c>
      <c r="G412" s="38" t="s">
        <v>51</v>
      </c>
      <c r="H412" s="38">
        <v>4</v>
      </c>
      <c r="I412" s="38" t="s">
        <v>51</v>
      </c>
      <c r="J412" s="38"/>
      <c r="K412" s="38" t="s">
        <v>63</v>
      </c>
      <c r="L412" s="38">
        <v>6</v>
      </c>
      <c r="M412" s="40" t="s">
        <v>38</v>
      </c>
      <c r="N412" s="36">
        <f>12.5/16</f>
        <v>0.78125</v>
      </c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 t="s">
        <v>38</v>
      </c>
      <c r="AD412" s="36">
        <f>12/16</f>
        <v>0.75</v>
      </c>
      <c r="AE412" s="36"/>
      <c r="AF412" s="36"/>
      <c r="AG412" s="36"/>
      <c r="AH412" s="36"/>
      <c r="AI412" s="36" t="s">
        <v>38</v>
      </c>
      <c r="AJ412" s="36">
        <f>7.5/16</f>
        <v>0.46875</v>
      </c>
      <c r="AK412" s="36" t="s">
        <v>38</v>
      </c>
      <c r="AL412" s="36">
        <f>6/16</f>
        <v>0.375</v>
      </c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8"/>
      <c r="BF412" s="38"/>
      <c r="BG412" s="39">
        <v>2</v>
      </c>
      <c r="BH412" s="38">
        <v>2</v>
      </c>
      <c r="BI412" s="38"/>
      <c r="BJ412" s="38"/>
      <c r="BK412" s="38"/>
      <c r="BL412" s="38"/>
      <c r="BM412" s="38"/>
      <c r="BN412" s="38"/>
      <c r="BO412" s="37">
        <f t="shared" si="34"/>
        <v>2</v>
      </c>
      <c r="BP412" s="56">
        <f t="shared" si="35"/>
        <v>2</v>
      </c>
      <c r="BQ412" s="56">
        <f t="shared" si="36"/>
        <v>0</v>
      </c>
      <c r="BR412" s="57">
        <f t="shared" si="37"/>
        <v>0</v>
      </c>
      <c r="BS412" s="38"/>
      <c r="BT412" s="38"/>
      <c r="BU412" s="26"/>
      <c r="BV412" s="26"/>
      <c r="BW412" s="39">
        <f t="shared" si="38"/>
        <v>4</v>
      </c>
      <c r="BX412" s="78">
        <v>2</v>
      </c>
      <c r="BY412" s="63">
        <v>2</v>
      </c>
      <c r="BZ412" s="7"/>
      <c r="CA412" s="8"/>
      <c r="CB412" s="7"/>
      <c r="CC412" s="7"/>
    </row>
    <row r="413" spans="1:81" ht="16" x14ac:dyDescent="0.2">
      <c r="A413" s="109" t="s">
        <v>300</v>
      </c>
      <c r="B413" s="26">
        <v>35</v>
      </c>
      <c r="C413" s="109" t="s">
        <v>157</v>
      </c>
      <c r="D413" s="38">
        <v>11</v>
      </c>
      <c r="E413" s="38">
        <v>2</v>
      </c>
      <c r="F413" s="38">
        <v>2</v>
      </c>
      <c r="G413" s="38" t="s">
        <v>51</v>
      </c>
      <c r="H413" s="38">
        <v>4</v>
      </c>
      <c r="I413" s="38" t="s">
        <v>51</v>
      </c>
      <c r="J413" s="38" t="s">
        <v>42</v>
      </c>
      <c r="K413" s="38"/>
      <c r="L413" s="38">
        <v>5</v>
      </c>
      <c r="M413" s="40"/>
      <c r="N413" s="36"/>
      <c r="O413" s="36" t="s">
        <v>39</v>
      </c>
      <c r="P413" s="36">
        <f>15/16</f>
        <v>0.9375</v>
      </c>
      <c r="Q413" s="36"/>
      <c r="R413" s="36"/>
      <c r="S413" s="36" t="s">
        <v>38</v>
      </c>
      <c r="T413" s="36">
        <f>17.5/16</f>
        <v>1.09375</v>
      </c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 t="s">
        <v>40</v>
      </c>
      <c r="AN413" s="36">
        <f>9.5/16</f>
        <v>0.59375</v>
      </c>
      <c r="AO413" s="36"/>
      <c r="AP413" s="36"/>
      <c r="AQ413" s="36" t="s">
        <v>38</v>
      </c>
      <c r="AR413" s="36">
        <f>5/16</f>
        <v>0.3125</v>
      </c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8" t="s">
        <v>39</v>
      </c>
      <c r="BF413" s="38" t="s">
        <v>46</v>
      </c>
      <c r="BG413" s="39">
        <v>1</v>
      </c>
      <c r="BH413" s="38">
        <v>1</v>
      </c>
      <c r="BI413" s="38">
        <v>1</v>
      </c>
      <c r="BJ413" s="38"/>
      <c r="BK413" s="38"/>
      <c r="BL413" s="38"/>
      <c r="BM413" s="38"/>
      <c r="BN413" s="38">
        <v>1</v>
      </c>
      <c r="BO413" s="37">
        <f t="shared" si="34"/>
        <v>3</v>
      </c>
      <c r="BP413" s="56">
        <f t="shared" si="35"/>
        <v>1</v>
      </c>
      <c r="BQ413" s="56">
        <f t="shared" si="36"/>
        <v>0</v>
      </c>
      <c r="BR413" s="57">
        <f t="shared" si="37"/>
        <v>1</v>
      </c>
      <c r="BS413" s="38"/>
      <c r="BT413" s="38"/>
      <c r="BU413" s="26">
        <v>1</v>
      </c>
      <c r="BV413" s="26"/>
      <c r="BW413" s="39">
        <f t="shared" si="38"/>
        <v>5</v>
      </c>
      <c r="BX413" s="78">
        <v>2</v>
      </c>
      <c r="BY413" s="63">
        <v>8</v>
      </c>
      <c r="BZ413" s="7"/>
      <c r="CA413" s="8"/>
      <c r="CB413" s="7"/>
      <c r="CC413" s="7"/>
    </row>
    <row r="414" spans="1:81" ht="16" x14ac:dyDescent="0.2">
      <c r="A414" s="109" t="s">
        <v>300</v>
      </c>
      <c r="B414" s="26">
        <v>35</v>
      </c>
      <c r="C414" s="109" t="s">
        <v>157</v>
      </c>
      <c r="D414" s="38">
        <v>12</v>
      </c>
      <c r="E414" s="38">
        <v>2</v>
      </c>
      <c r="F414" s="38">
        <v>2</v>
      </c>
      <c r="G414" s="38" t="s">
        <v>51</v>
      </c>
      <c r="H414" s="38">
        <v>4</v>
      </c>
      <c r="I414" s="38" t="s">
        <v>51</v>
      </c>
      <c r="J414" s="38" t="s">
        <v>37</v>
      </c>
      <c r="K414" s="38"/>
      <c r="L414" s="38">
        <v>6</v>
      </c>
      <c r="M414" s="40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 t="s">
        <v>38</v>
      </c>
      <c r="AR414" s="36">
        <f>16/16</f>
        <v>1</v>
      </c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8"/>
      <c r="BF414" s="38"/>
      <c r="BG414" s="39">
        <v>1</v>
      </c>
      <c r="BH414" s="38"/>
      <c r="BI414" s="38"/>
      <c r="BJ414" s="38"/>
      <c r="BK414" s="38"/>
      <c r="BL414" s="38"/>
      <c r="BM414" s="38"/>
      <c r="BN414" s="38"/>
      <c r="BO414" s="37">
        <f t="shared" si="34"/>
        <v>1</v>
      </c>
      <c r="BP414" s="56">
        <f t="shared" si="35"/>
        <v>0</v>
      </c>
      <c r="BQ414" s="56">
        <f t="shared" si="36"/>
        <v>0</v>
      </c>
      <c r="BR414" s="57">
        <f t="shared" si="37"/>
        <v>0</v>
      </c>
      <c r="BS414" s="38"/>
      <c r="BT414" s="38"/>
      <c r="BU414" s="26"/>
      <c r="BV414" s="26"/>
      <c r="BW414" s="39">
        <f t="shared" si="38"/>
        <v>1</v>
      </c>
      <c r="BX414" s="78">
        <v>1</v>
      </c>
      <c r="BY414" s="63">
        <v>9</v>
      </c>
      <c r="BZ414" s="7"/>
      <c r="CA414" s="8"/>
      <c r="CB414" s="7"/>
      <c r="CC414" s="7"/>
    </row>
    <row r="415" spans="1:81" ht="16" x14ac:dyDescent="0.2">
      <c r="A415" s="109" t="s">
        <v>300</v>
      </c>
      <c r="B415" s="26">
        <v>35</v>
      </c>
      <c r="C415" s="109" t="s">
        <v>157</v>
      </c>
      <c r="D415" s="38">
        <v>13</v>
      </c>
      <c r="E415" s="38">
        <v>2</v>
      </c>
      <c r="F415" s="38">
        <v>2</v>
      </c>
      <c r="G415" s="38" t="s">
        <v>51</v>
      </c>
      <c r="H415" s="38">
        <v>4</v>
      </c>
      <c r="I415" s="38" t="s">
        <v>51</v>
      </c>
      <c r="J415" s="38" t="s">
        <v>60</v>
      </c>
      <c r="K415" s="38"/>
      <c r="L415" s="38">
        <v>5</v>
      </c>
      <c r="M415" s="40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 t="s">
        <v>39</v>
      </c>
      <c r="AD415" s="36">
        <f>15/16</f>
        <v>0.9375</v>
      </c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8"/>
      <c r="BF415" s="38"/>
      <c r="BG415" s="39"/>
      <c r="BH415" s="38"/>
      <c r="BI415" s="38">
        <v>1</v>
      </c>
      <c r="BJ415" s="38"/>
      <c r="BK415" s="38"/>
      <c r="BL415" s="38"/>
      <c r="BM415" s="38"/>
      <c r="BN415" s="38"/>
      <c r="BO415" s="37">
        <f t="shared" si="34"/>
        <v>1</v>
      </c>
      <c r="BP415" s="56">
        <f t="shared" si="35"/>
        <v>0</v>
      </c>
      <c r="BQ415" s="56">
        <f t="shared" si="36"/>
        <v>0</v>
      </c>
      <c r="BR415" s="57">
        <f t="shared" si="37"/>
        <v>0</v>
      </c>
      <c r="BS415" s="38"/>
      <c r="BT415" s="38"/>
      <c r="BU415" s="26"/>
      <c r="BV415" s="26"/>
      <c r="BW415" s="39">
        <f t="shared" si="38"/>
        <v>1</v>
      </c>
      <c r="BX415" s="78">
        <v>1</v>
      </c>
      <c r="BY415" s="63">
        <v>7</v>
      </c>
      <c r="BZ415" s="7"/>
      <c r="CA415" s="8"/>
      <c r="CB415" s="7"/>
      <c r="CC415" s="7"/>
    </row>
    <row r="416" spans="1:81" ht="16" x14ac:dyDescent="0.2">
      <c r="A416" s="109" t="s">
        <v>301</v>
      </c>
      <c r="B416" s="26">
        <v>40</v>
      </c>
      <c r="C416" s="109" t="s">
        <v>158</v>
      </c>
      <c r="D416" s="38">
        <v>2</v>
      </c>
      <c r="E416" s="38">
        <v>2</v>
      </c>
      <c r="F416" s="38">
        <v>2</v>
      </c>
      <c r="G416" s="38" t="s">
        <v>51</v>
      </c>
      <c r="H416" s="38">
        <v>4</v>
      </c>
      <c r="I416" s="38" t="s">
        <v>51</v>
      </c>
      <c r="J416" s="38" t="s">
        <v>41</v>
      </c>
      <c r="K416" s="38"/>
      <c r="L416" s="38">
        <v>6</v>
      </c>
      <c r="M416" s="40"/>
      <c r="N416" s="36"/>
      <c r="O416" s="36"/>
      <c r="P416" s="36"/>
      <c r="Q416" s="36"/>
      <c r="R416" s="36"/>
      <c r="S416" s="36" t="s">
        <v>38</v>
      </c>
      <c r="T416" s="36">
        <f>5.5/16</f>
        <v>0.34375</v>
      </c>
      <c r="U416" s="36"/>
      <c r="V416" s="36"/>
      <c r="W416" s="36" t="s">
        <v>39</v>
      </c>
      <c r="X416" s="36">
        <f>4.5/16</f>
        <v>0.28125</v>
      </c>
      <c r="Y416" s="36"/>
      <c r="Z416" s="36"/>
      <c r="AA416" s="36" t="s">
        <v>38</v>
      </c>
      <c r="AB416" s="36">
        <f>5/16</f>
        <v>0.3125</v>
      </c>
      <c r="AC416" s="36"/>
      <c r="AD416" s="36"/>
      <c r="AE416" s="36" t="s">
        <v>39</v>
      </c>
      <c r="AF416" s="36">
        <f>6/16</f>
        <v>0.375</v>
      </c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8" t="s">
        <v>38</v>
      </c>
      <c r="BF416" s="38" t="s">
        <v>67</v>
      </c>
      <c r="BG416" s="43"/>
      <c r="BH416" s="41">
        <v>2</v>
      </c>
      <c r="BJ416" s="41">
        <v>1</v>
      </c>
      <c r="BO416" s="37">
        <f t="shared" si="34"/>
        <v>1</v>
      </c>
      <c r="BP416" s="56">
        <f t="shared" si="35"/>
        <v>3</v>
      </c>
      <c r="BQ416" s="56">
        <f t="shared" si="36"/>
        <v>0</v>
      </c>
      <c r="BR416" s="57">
        <f t="shared" si="37"/>
        <v>0</v>
      </c>
      <c r="BS416" s="38"/>
      <c r="BT416" s="38"/>
      <c r="BU416" s="26">
        <v>1</v>
      </c>
      <c r="BV416" s="26"/>
      <c r="BW416" s="39">
        <f t="shared" si="38"/>
        <v>4</v>
      </c>
      <c r="BX416" s="78">
        <v>2</v>
      </c>
      <c r="BY416" s="63">
        <v>10</v>
      </c>
      <c r="BZ416" s="7"/>
      <c r="CA416" s="19"/>
      <c r="CB416" s="7"/>
      <c r="CC416" s="7"/>
    </row>
    <row r="417" spans="1:81" ht="16" x14ac:dyDescent="0.2">
      <c r="A417" s="109" t="s">
        <v>301</v>
      </c>
      <c r="B417" s="26">
        <v>41</v>
      </c>
      <c r="C417" s="106">
        <v>1.0429E+60</v>
      </c>
      <c r="D417" s="26">
        <v>1</v>
      </c>
      <c r="E417" s="26">
        <v>2</v>
      </c>
      <c r="F417" s="26">
        <v>2</v>
      </c>
      <c r="G417" s="26" t="s">
        <v>51</v>
      </c>
      <c r="H417" s="26">
        <v>4</v>
      </c>
      <c r="I417" s="26" t="s">
        <v>51</v>
      </c>
      <c r="J417" s="26" t="s">
        <v>60</v>
      </c>
      <c r="K417" s="26"/>
      <c r="L417" s="26">
        <v>7</v>
      </c>
      <c r="M417" s="40"/>
      <c r="N417" s="36"/>
      <c r="O417" s="36"/>
      <c r="P417" s="36"/>
      <c r="Q417" s="36"/>
      <c r="R417" s="36"/>
      <c r="S417" s="36" t="s">
        <v>39</v>
      </c>
      <c r="T417" s="36">
        <f>13/14</f>
        <v>0.9285714285714286</v>
      </c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 t="s">
        <v>38</v>
      </c>
      <c r="AF417" s="36">
        <f>11/14</f>
        <v>0.7857142857142857</v>
      </c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26"/>
      <c r="BF417" s="26"/>
      <c r="BG417" s="37">
        <v>1</v>
      </c>
      <c r="BH417" s="26"/>
      <c r="BI417" s="26">
        <v>1</v>
      </c>
      <c r="BJ417" s="26"/>
      <c r="BK417" s="26"/>
      <c r="BL417" s="26"/>
      <c r="BM417" s="26"/>
      <c r="BO417" s="37">
        <f t="shared" si="34"/>
        <v>2</v>
      </c>
      <c r="BP417" s="56">
        <f t="shared" si="35"/>
        <v>0</v>
      </c>
      <c r="BQ417" s="56">
        <f t="shared" si="36"/>
        <v>0</v>
      </c>
      <c r="BR417" s="57">
        <f t="shared" si="37"/>
        <v>0</v>
      </c>
      <c r="BU417" s="26"/>
      <c r="BV417" s="26"/>
      <c r="BW417" s="39">
        <f t="shared" si="38"/>
        <v>2</v>
      </c>
      <c r="BX417" s="78">
        <v>1</v>
      </c>
      <c r="BY417" s="63">
        <v>7</v>
      </c>
    </row>
    <row r="418" spans="1:81" ht="16" x14ac:dyDescent="0.2">
      <c r="A418" s="109" t="s">
        <v>301</v>
      </c>
      <c r="B418" s="26">
        <v>41</v>
      </c>
      <c r="C418" s="106">
        <v>1.0429E+60</v>
      </c>
      <c r="D418" s="26">
        <v>2</v>
      </c>
      <c r="E418" s="26">
        <v>2</v>
      </c>
      <c r="F418" s="26">
        <v>2</v>
      </c>
      <c r="G418" s="26" t="s">
        <v>51</v>
      </c>
      <c r="H418" s="26">
        <v>4</v>
      </c>
      <c r="I418" s="26" t="s">
        <v>51</v>
      </c>
      <c r="J418" s="26" t="s">
        <v>60</v>
      </c>
      <c r="K418" s="26"/>
      <c r="L418" s="26">
        <v>6</v>
      </c>
      <c r="M418" s="40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 t="s">
        <v>38</v>
      </c>
      <c r="AB418" s="36">
        <f>10/14</f>
        <v>0.7142857142857143</v>
      </c>
      <c r="AC418" s="36"/>
      <c r="AD418" s="36"/>
      <c r="AE418" s="36"/>
      <c r="AF418" s="36"/>
      <c r="AG418" s="36" t="s">
        <v>39</v>
      </c>
      <c r="AH418" s="36">
        <f>4/14</f>
        <v>0.2857142857142857</v>
      </c>
      <c r="AI418" s="36" t="s">
        <v>38</v>
      </c>
      <c r="AJ418" s="36">
        <f>5/14</f>
        <v>0.35714285714285715</v>
      </c>
      <c r="AK418" s="36"/>
      <c r="AL418" s="36"/>
      <c r="AM418" s="36"/>
      <c r="AN418" s="36"/>
      <c r="AO418" s="36"/>
      <c r="AP418" s="36"/>
      <c r="AQ418" s="36"/>
      <c r="AR418" s="36"/>
      <c r="AS418" s="36" t="s">
        <v>39</v>
      </c>
      <c r="AT418" s="36">
        <f>4/14</f>
        <v>0.2857142857142857</v>
      </c>
      <c r="AU418" s="36"/>
      <c r="AV418" s="36"/>
      <c r="AW418" s="36" t="s">
        <v>38</v>
      </c>
      <c r="AX418" s="36">
        <f>12/14</f>
        <v>0.8571428571428571</v>
      </c>
      <c r="AY418" s="36"/>
      <c r="AZ418" s="36"/>
      <c r="BA418" s="36"/>
      <c r="BB418" s="36"/>
      <c r="BC418" s="36"/>
      <c r="BD418" s="36"/>
      <c r="BE418" s="26"/>
      <c r="BF418" s="26"/>
      <c r="BG418" s="37">
        <v>2</v>
      </c>
      <c r="BH418" s="26">
        <v>1</v>
      </c>
      <c r="BI418" s="26"/>
      <c r="BJ418" s="26"/>
      <c r="BK418" s="26"/>
      <c r="BL418" s="26"/>
      <c r="BM418" s="26"/>
      <c r="BO418" s="37">
        <f t="shared" si="34"/>
        <v>2</v>
      </c>
      <c r="BP418" s="56">
        <f t="shared" si="35"/>
        <v>1</v>
      </c>
      <c r="BQ418" s="56">
        <f t="shared" si="36"/>
        <v>0</v>
      </c>
      <c r="BR418" s="57">
        <f t="shared" si="37"/>
        <v>0</v>
      </c>
      <c r="BU418" s="26"/>
      <c r="BV418" s="26"/>
      <c r="BW418" s="39">
        <f t="shared" si="38"/>
        <v>3</v>
      </c>
      <c r="BX418" s="78">
        <v>2</v>
      </c>
      <c r="BY418" s="63">
        <v>7</v>
      </c>
    </row>
    <row r="419" spans="1:81" x14ac:dyDescent="0.2">
      <c r="A419" s="109" t="s">
        <v>301</v>
      </c>
      <c r="B419" s="26">
        <v>41</v>
      </c>
      <c r="C419" s="106">
        <v>1.0429E+60</v>
      </c>
      <c r="D419" s="26">
        <v>5</v>
      </c>
      <c r="E419" s="26">
        <v>2</v>
      </c>
      <c r="F419" s="26">
        <v>2</v>
      </c>
      <c r="G419" s="26" t="s">
        <v>51</v>
      </c>
      <c r="H419" s="26">
        <v>4</v>
      </c>
      <c r="I419" s="26" t="s">
        <v>51</v>
      </c>
      <c r="J419" s="26"/>
      <c r="K419" s="38" t="s">
        <v>63</v>
      </c>
      <c r="L419" s="26">
        <v>7</v>
      </c>
      <c r="M419" s="40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26"/>
      <c r="BF419" s="26"/>
      <c r="BG419" s="37"/>
      <c r="BH419" s="26"/>
      <c r="BI419" s="26"/>
      <c r="BJ419" s="26"/>
      <c r="BK419" s="26"/>
      <c r="BL419" s="26"/>
      <c r="BM419" s="26"/>
      <c r="BO419" s="37">
        <f t="shared" si="34"/>
        <v>0</v>
      </c>
      <c r="BP419" s="56">
        <f t="shared" si="35"/>
        <v>0</v>
      </c>
      <c r="BQ419" s="56">
        <f t="shared" si="36"/>
        <v>0</v>
      </c>
      <c r="BR419" s="57">
        <f t="shared" si="37"/>
        <v>0</v>
      </c>
      <c r="BU419" s="26"/>
      <c r="BV419" s="26"/>
      <c r="BW419" s="39">
        <f t="shared" si="38"/>
        <v>0</v>
      </c>
      <c r="BX419" s="78">
        <v>0</v>
      </c>
      <c r="BY419" s="63">
        <v>2</v>
      </c>
    </row>
    <row r="420" spans="1:81" ht="16" x14ac:dyDescent="0.2">
      <c r="A420" s="109" t="s">
        <v>301</v>
      </c>
      <c r="B420" s="26">
        <v>41</v>
      </c>
      <c r="C420" s="106">
        <v>1.0429E+60</v>
      </c>
      <c r="D420" s="26">
        <v>6</v>
      </c>
      <c r="E420" s="26">
        <v>2</v>
      </c>
      <c r="F420" s="26">
        <v>2</v>
      </c>
      <c r="G420" s="26" t="s">
        <v>51</v>
      </c>
      <c r="H420" s="26">
        <v>4</v>
      </c>
      <c r="I420" s="26" t="s">
        <v>51</v>
      </c>
      <c r="J420" s="26" t="s">
        <v>41</v>
      </c>
      <c r="K420" s="26"/>
      <c r="L420" s="26">
        <v>6</v>
      </c>
      <c r="M420" s="40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 t="s">
        <v>38</v>
      </c>
      <c r="AD420" s="36">
        <f>8/14</f>
        <v>0.5714285714285714</v>
      </c>
      <c r="AE420" s="36"/>
      <c r="AF420" s="36"/>
      <c r="AG420" s="36"/>
      <c r="AH420" s="36"/>
      <c r="AI420" s="36"/>
      <c r="AJ420" s="36"/>
      <c r="AK420" s="36"/>
      <c r="AL420" s="36"/>
      <c r="AM420" s="36" t="s">
        <v>38</v>
      </c>
      <c r="AN420" s="36">
        <f>9/14</f>
        <v>0.6428571428571429</v>
      </c>
      <c r="AO420" s="36" t="s">
        <v>39</v>
      </c>
      <c r="AP420" s="36">
        <f>15/14</f>
        <v>1.0714285714285714</v>
      </c>
      <c r="AQ420" s="36"/>
      <c r="AR420" s="36"/>
      <c r="AS420" s="36" t="s">
        <v>38</v>
      </c>
      <c r="AT420" s="36">
        <f>5.5/14</f>
        <v>0.39285714285714285</v>
      </c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26"/>
      <c r="BF420" s="26"/>
      <c r="BG420" s="37"/>
      <c r="BH420" s="26">
        <v>3</v>
      </c>
      <c r="BI420" s="26">
        <v>1</v>
      </c>
      <c r="BJ420" s="26"/>
      <c r="BK420" s="26"/>
      <c r="BL420" s="26"/>
      <c r="BM420" s="26"/>
      <c r="BO420" s="37">
        <f t="shared" si="34"/>
        <v>1</v>
      </c>
      <c r="BP420" s="56">
        <f t="shared" si="35"/>
        <v>3</v>
      </c>
      <c r="BQ420" s="56">
        <f t="shared" si="36"/>
        <v>0</v>
      </c>
      <c r="BR420" s="57">
        <f t="shared" si="37"/>
        <v>0</v>
      </c>
      <c r="BU420" s="26"/>
      <c r="BV420" s="26"/>
      <c r="BW420" s="39">
        <f t="shared" si="38"/>
        <v>4</v>
      </c>
      <c r="BX420" s="78">
        <v>2</v>
      </c>
      <c r="BY420" s="63">
        <v>10</v>
      </c>
    </row>
    <row r="421" spans="1:81" ht="16" x14ac:dyDescent="0.2">
      <c r="A421" s="109" t="s">
        <v>301</v>
      </c>
      <c r="B421" s="26">
        <v>41</v>
      </c>
      <c r="C421" s="106">
        <v>1.0429E+60</v>
      </c>
      <c r="D421" s="26">
        <v>9</v>
      </c>
      <c r="E421" s="26">
        <v>2</v>
      </c>
      <c r="F421" s="26">
        <v>2</v>
      </c>
      <c r="G421" s="26" t="s">
        <v>51</v>
      </c>
      <c r="H421" s="26">
        <v>4</v>
      </c>
      <c r="I421" s="26" t="s">
        <v>51</v>
      </c>
      <c r="J421" s="26" t="s">
        <v>37</v>
      </c>
      <c r="K421" s="26"/>
      <c r="L421" s="26">
        <v>7</v>
      </c>
      <c r="M421" s="40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 t="s">
        <v>38</v>
      </c>
      <c r="AB421" s="36">
        <f>12.5/14</f>
        <v>0.8928571428571429</v>
      </c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 t="s">
        <v>38</v>
      </c>
      <c r="AT421" s="36">
        <f>15/14</f>
        <v>1.0714285714285714</v>
      </c>
      <c r="AU421" s="36"/>
      <c r="AV421" s="36"/>
      <c r="AW421" s="36"/>
      <c r="AX421" s="36"/>
      <c r="AY421" s="36"/>
      <c r="AZ421" s="36"/>
      <c r="BA421" s="36" t="s">
        <v>38</v>
      </c>
      <c r="BB421" s="36">
        <f>25/14</f>
        <v>1.7857142857142858</v>
      </c>
      <c r="BC421" s="36"/>
      <c r="BD421" s="36"/>
      <c r="BE421" s="26"/>
      <c r="BF421" s="26"/>
      <c r="BG421" s="37">
        <v>3</v>
      </c>
      <c r="BH421" s="26"/>
      <c r="BI421" s="26"/>
      <c r="BJ421" s="26"/>
      <c r="BK421" s="26"/>
      <c r="BL421" s="26"/>
      <c r="BM421" s="26"/>
      <c r="BO421" s="37">
        <f t="shared" si="34"/>
        <v>3</v>
      </c>
      <c r="BP421" s="56">
        <f t="shared" si="35"/>
        <v>0</v>
      </c>
      <c r="BQ421" s="56">
        <f t="shared" si="36"/>
        <v>0</v>
      </c>
      <c r="BR421" s="57">
        <f t="shared" si="37"/>
        <v>0</v>
      </c>
      <c r="BU421" s="26"/>
      <c r="BV421" s="26"/>
      <c r="BW421" s="39">
        <f t="shared" si="38"/>
        <v>3</v>
      </c>
      <c r="BX421" s="78">
        <v>1</v>
      </c>
      <c r="BY421" s="63">
        <v>9</v>
      </c>
    </row>
    <row r="422" spans="1:81" x14ac:dyDescent="0.2">
      <c r="A422" s="109" t="s">
        <v>301</v>
      </c>
      <c r="B422" s="26">
        <v>41</v>
      </c>
      <c r="C422" s="106">
        <v>1.0429E+60</v>
      </c>
      <c r="D422" s="26">
        <v>10</v>
      </c>
      <c r="E422" s="26">
        <v>2</v>
      </c>
      <c r="F422" s="26">
        <v>2</v>
      </c>
      <c r="G422" s="26" t="s">
        <v>51</v>
      </c>
      <c r="H422" s="26">
        <v>4</v>
      </c>
      <c r="I422" s="26" t="s">
        <v>51</v>
      </c>
      <c r="J422" s="26" t="s">
        <v>41</v>
      </c>
      <c r="K422" s="26"/>
      <c r="L422" s="26">
        <v>6</v>
      </c>
      <c r="M422" s="40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26"/>
      <c r="BF422" s="26"/>
      <c r="BG422" s="37"/>
      <c r="BH422" s="26"/>
      <c r="BI422" s="26"/>
      <c r="BJ422" s="26"/>
      <c r="BK422" s="26"/>
      <c r="BL422" s="26"/>
      <c r="BM422" s="26"/>
      <c r="BN422" s="26"/>
      <c r="BO422" s="37">
        <f t="shared" si="34"/>
        <v>0</v>
      </c>
      <c r="BP422" s="56">
        <f t="shared" si="35"/>
        <v>0</v>
      </c>
      <c r="BQ422" s="56">
        <f t="shared" si="36"/>
        <v>0</v>
      </c>
      <c r="BR422" s="57">
        <f t="shared" si="37"/>
        <v>0</v>
      </c>
      <c r="BS422" s="38"/>
      <c r="BT422" s="38"/>
      <c r="BU422" s="26"/>
      <c r="BV422" s="26"/>
      <c r="BW422" s="39">
        <f t="shared" si="38"/>
        <v>0</v>
      </c>
      <c r="BX422" s="78">
        <v>0</v>
      </c>
      <c r="BY422" s="63">
        <v>10</v>
      </c>
      <c r="CB422" s="7"/>
      <c r="CC422" s="7"/>
    </row>
    <row r="423" spans="1:81" ht="16" x14ac:dyDescent="0.2">
      <c r="A423" s="111" t="s">
        <v>302</v>
      </c>
      <c r="B423" s="26">
        <v>42</v>
      </c>
      <c r="C423" s="109" t="s">
        <v>159</v>
      </c>
      <c r="D423" s="26">
        <v>1</v>
      </c>
      <c r="E423" s="26">
        <v>2</v>
      </c>
      <c r="F423" s="26">
        <v>4</v>
      </c>
      <c r="G423" s="26" t="s">
        <v>50</v>
      </c>
      <c r="H423" s="26">
        <v>7</v>
      </c>
      <c r="I423" s="26"/>
      <c r="J423" s="26" t="s">
        <v>60</v>
      </c>
      <c r="K423" s="26"/>
      <c r="L423" s="26">
        <v>6</v>
      </c>
      <c r="M423" s="40"/>
      <c r="N423" s="36"/>
      <c r="O423" s="36"/>
      <c r="P423" s="36"/>
      <c r="Q423" s="36" t="s">
        <v>57</v>
      </c>
      <c r="R423" s="36">
        <f>17/16</f>
        <v>1.0625</v>
      </c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26"/>
      <c r="BF423" s="26"/>
      <c r="BG423" s="39"/>
      <c r="BH423" s="38"/>
      <c r="BI423" s="38"/>
      <c r="BJ423" s="38"/>
      <c r="BK423" s="38"/>
      <c r="BL423" s="38"/>
      <c r="BM423" s="38">
        <v>1</v>
      </c>
      <c r="BN423" s="38"/>
      <c r="BO423" s="37">
        <f t="shared" si="34"/>
        <v>0</v>
      </c>
      <c r="BP423" s="56">
        <f t="shared" si="35"/>
        <v>0</v>
      </c>
      <c r="BQ423" s="56">
        <f t="shared" si="36"/>
        <v>1</v>
      </c>
      <c r="BR423" s="57">
        <f t="shared" si="37"/>
        <v>0</v>
      </c>
      <c r="BS423" s="38"/>
      <c r="BT423" s="38"/>
      <c r="BU423" s="26"/>
      <c r="BV423" s="26"/>
      <c r="BW423" s="39">
        <f t="shared" si="38"/>
        <v>1</v>
      </c>
      <c r="BX423" s="78">
        <v>4</v>
      </c>
      <c r="BY423" s="63">
        <v>7</v>
      </c>
      <c r="BZ423" s="7"/>
      <c r="CA423" s="8"/>
      <c r="CB423" s="17"/>
      <c r="CC423" s="17"/>
    </row>
    <row r="424" spans="1:81" ht="16" x14ac:dyDescent="0.2">
      <c r="A424" s="111" t="s">
        <v>302</v>
      </c>
      <c r="B424" s="26">
        <v>42</v>
      </c>
      <c r="C424" s="109" t="s">
        <v>159</v>
      </c>
      <c r="D424" s="26">
        <v>2</v>
      </c>
      <c r="E424" s="26">
        <v>2</v>
      </c>
      <c r="F424" s="26">
        <v>4</v>
      </c>
      <c r="G424" s="26" t="s">
        <v>50</v>
      </c>
      <c r="H424" s="26">
        <v>6</v>
      </c>
      <c r="I424" s="26"/>
      <c r="J424" s="26"/>
      <c r="K424" s="26">
        <v>4</v>
      </c>
      <c r="L424" s="26">
        <v>6</v>
      </c>
      <c r="M424" s="40"/>
      <c r="N424" s="36"/>
      <c r="O424" s="36"/>
      <c r="P424" s="36"/>
      <c r="Q424" s="36" t="s">
        <v>39</v>
      </c>
      <c r="R424" s="36">
        <f>8/8</f>
        <v>1</v>
      </c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 t="s">
        <v>38</v>
      </c>
      <c r="AH424" s="36">
        <f>6.5/8</f>
        <v>0.8125</v>
      </c>
      <c r="AI424" s="36"/>
      <c r="AJ424" s="36"/>
      <c r="AK424" s="36"/>
      <c r="AL424" s="36"/>
      <c r="AM424" s="36"/>
      <c r="AN424" s="36"/>
      <c r="AO424" s="36" t="s">
        <v>39</v>
      </c>
      <c r="AP424" s="36">
        <f>7.5/8</f>
        <v>0.9375</v>
      </c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 t="s">
        <v>39</v>
      </c>
      <c r="BB424" s="36">
        <f>7/8</f>
        <v>0.875</v>
      </c>
      <c r="BC424" s="36"/>
      <c r="BD424" s="36"/>
      <c r="BE424" s="26"/>
      <c r="BF424" s="26"/>
      <c r="BG424" s="39">
        <v>1</v>
      </c>
      <c r="BH424" s="38"/>
      <c r="BI424" s="38">
        <v>3</v>
      </c>
      <c r="BJ424" s="38"/>
      <c r="BK424" s="38"/>
      <c r="BL424" s="38"/>
      <c r="BM424" s="38"/>
      <c r="BN424" s="38"/>
      <c r="BO424" s="37">
        <f t="shared" si="34"/>
        <v>4</v>
      </c>
      <c r="BP424" s="56">
        <f t="shared" si="35"/>
        <v>0</v>
      </c>
      <c r="BQ424" s="56">
        <f t="shared" si="36"/>
        <v>0</v>
      </c>
      <c r="BR424" s="57">
        <f t="shared" si="37"/>
        <v>0</v>
      </c>
      <c r="BS424" s="38"/>
      <c r="BT424" s="38"/>
      <c r="BU424" s="26"/>
      <c r="BV424" s="26"/>
      <c r="BW424" s="39">
        <f t="shared" si="38"/>
        <v>4</v>
      </c>
      <c r="BX424" s="78">
        <v>1</v>
      </c>
      <c r="BY424" s="63">
        <v>1</v>
      </c>
      <c r="BZ424" s="7"/>
      <c r="CA424" s="8"/>
      <c r="CB424" s="17"/>
      <c r="CC424" s="17"/>
    </row>
    <row r="425" spans="1:81" ht="16" x14ac:dyDescent="0.2">
      <c r="A425" s="111" t="s">
        <v>302</v>
      </c>
      <c r="B425" s="26">
        <v>42</v>
      </c>
      <c r="C425" s="109" t="s">
        <v>159</v>
      </c>
      <c r="D425" s="26">
        <v>3</v>
      </c>
      <c r="E425" s="26">
        <v>2</v>
      </c>
      <c r="F425" s="26">
        <v>2</v>
      </c>
      <c r="G425" s="26" t="s">
        <v>51</v>
      </c>
      <c r="H425" s="26">
        <v>4</v>
      </c>
      <c r="I425" s="26" t="s">
        <v>51</v>
      </c>
      <c r="J425" s="26" t="s">
        <v>41</v>
      </c>
      <c r="K425" s="26"/>
      <c r="L425" s="26">
        <v>5</v>
      </c>
      <c r="M425" s="40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 t="s">
        <v>38</v>
      </c>
      <c r="AV425" s="36">
        <f>15/16</f>
        <v>0.9375</v>
      </c>
      <c r="AW425" s="36"/>
      <c r="AX425" s="36"/>
      <c r="AY425" s="36"/>
      <c r="AZ425" s="36"/>
      <c r="BA425" s="36"/>
      <c r="BB425" s="36"/>
      <c r="BC425" s="36"/>
      <c r="BD425" s="36"/>
      <c r="BE425" s="26"/>
      <c r="BF425" s="26"/>
      <c r="BG425" s="39">
        <v>1</v>
      </c>
      <c r="BH425" s="38"/>
      <c r="BI425" s="38"/>
      <c r="BJ425" s="38"/>
      <c r="BK425" s="38"/>
      <c r="BL425" s="38"/>
      <c r="BM425" s="38"/>
      <c r="BN425" s="38"/>
      <c r="BO425" s="37">
        <f t="shared" si="34"/>
        <v>1</v>
      </c>
      <c r="BP425" s="56">
        <f t="shared" si="35"/>
        <v>0</v>
      </c>
      <c r="BQ425" s="56">
        <f t="shared" si="36"/>
        <v>0</v>
      </c>
      <c r="BR425" s="57">
        <f t="shared" si="37"/>
        <v>0</v>
      </c>
      <c r="BS425" s="38"/>
      <c r="BT425" s="38"/>
      <c r="BU425" s="26"/>
      <c r="BV425" s="26"/>
      <c r="BW425" s="39">
        <f t="shared" si="38"/>
        <v>1</v>
      </c>
      <c r="BX425" s="78">
        <v>1</v>
      </c>
      <c r="BY425" s="63">
        <v>10</v>
      </c>
      <c r="BZ425" s="7"/>
      <c r="CA425" s="8"/>
      <c r="CB425" s="17"/>
      <c r="CC425" s="17"/>
    </row>
    <row r="426" spans="1:81" ht="16" x14ac:dyDescent="0.2">
      <c r="A426" s="111" t="s">
        <v>302</v>
      </c>
      <c r="B426" s="26">
        <v>42</v>
      </c>
      <c r="C426" s="109" t="s">
        <v>159</v>
      </c>
      <c r="D426" s="26">
        <v>4</v>
      </c>
      <c r="E426" s="26">
        <v>2</v>
      </c>
      <c r="F426" s="26">
        <v>4</v>
      </c>
      <c r="G426" s="26" t="s">
        <v>50</v>
      </c>
      <c r="H426" s="26">
        <v>8</v>
      </c>
      <c r="I426" s="26"/>
      <c r="J426" s="26"/>
      <c r="K426" s="38" t="s">
        <v>63</v>
      </c>
      <c r="L426" s="26">
        <v>6</v>
      </c>
      <c r="M426" s="40"/>
      <c r="N426" s="36"/>
      <c r="O426" s="36"/>
      <c r="P426" s="36"/>
      <c r="Q426" s="36" t="s">
        <v>39</v>
      </c>
      <c r="R426" s="36">
        <f>8/8</f>
        <v>1</v>
      </c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26"/>
      <c r="BF426" s="26"/>
      <c r="BG426" s="39"/>
      <c r="BH426" s="38"/>
      <c r="BI426" s="38">
        <v>1</v>
      </c>
      <c r="BJ426" s="38"/>
      <c r="BK426" s="38"/>
      <c r="BL426" s="38"/>
      <c r="BM426" s="38"/>
      <c r="BN426" s="38"/>
      <c r="BO426" s="37">
        <f t="shared" si="34"/>
        <v>1</v>
      </c>
      <c r="BP426" s="56">
        <f t="shared" si="35"/>
        <v>0</v>
      </c>
      <c r="BQ426" s="56">
        <f t="shared" si="36"/>
        <v>0</v>
      </c>
      <c r="BR426" s="57">
        <f t="shared" si="37"/>
        <v>0</v>
      </c>
      <c r="BS426" s="38"/>
      <c r="BT426" s="38"/>
      <c r="BU426" s="26"/>
      <c r="BV426" s="26"/>
      <c r="BW426" s="39">
        <f t="shared" si="38"/>
        <v>1</v>
      </c>
      <c r="BX426" s="78">
        <v>1</v>
      </c>
      <c r="BY426" s="63">
        <v>2</v>
      </c>
      <c r="BZ426" s="7"/>
      <c r="CA426" s="8"/>
      <c r="CB426" s="17"/>
      <c r="CC426" s="17"/>
    </row>
    <row r="427" spans="1:81" ht="16" x14ac:dyDescent="0.2">
      <c r="A427" s="111" t="s">
        <v>302</v>
      </c>
      <c r="B427" s="26">
        <v>42</v>
      </c>
      <c r="C427" s="109" t="s">
        <v>159</v>
      </c>
      <c r="D427" s="26">
        <v>5</v>
      </c>
      <c r="E427" s="26">
        <v>2</v>
      </c>
      <c r="F427" s="26">
        <v>2</v>
      </c>
      <c r="G427" s="26" t="s">
        <v>51</v>
      </c>
      <c r="H427" s="26">
        <v>4</v>
      </c>
      <c r="I427" s="26" t="s">
        <v>51</v>
      </c>
      <c r="J427" s="26"/>
      <c r="K427" s="26" t="s">
        <v>47</v>
      </c>
      <c r="L427" s="26">
        <v>6</v>
      </c>
      <c r="M427" s="40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 t="s">
        <v>39</v>
      </c>
      <c r="AR427" s="36">
        <f>4.5/8</f>
        <v>0.5625</v>
      </c>
      <c r="AS427" s="36"/>
      <c r="AT427" s="36"/>
      <c r="AU427" s="36"/>
      <c r="AV427" s="36"/>
      <c r="AW427" s="36" t="s">
        <v>39</v>
      </c>
      <c r="AX427" s="36">
        <f>3/8</f>
        <v>0.375</v>
      </c>
      <c r="AY427" s="36"/>
      <c r="AZ427" s="36"/>
      <c r="BA427" s="36"/>
      <c r="BB427" s="36"/>
      <c r="BC427" s="36"/>
      <c r="BD427" s="36"/>
      <c r="BE427" s="26"/>
      <c r="BF427" s="26"/>
      <c r="BG427" s="39"/>
      <c r="BH427" s="38"/>
      <c r="BI427" s="38"/>
      <c r="BJ427" s="38">
        <v>2</v>
      </c>
      <c r="BK427" s="38"/>
      <c r="BL427" s="38"/>
      <c r="BM427" s="38"/>
      <c r="BN427" s="38"/>
      <c r="BO427" s="37">
        <f t="shared" si="34"/>
        <v>0</v>
      </c>
      <c r="BP427" s="56">
        <f t="shared" si="35"/>
        <v>2</v>
      </c>
      <c r="BQ427" s="56">
        <f t="shared" si="36"/>
        <v>0</v>
      </c>
      <c r="BR427" s="57">
        <f t="shared" si="37"/>
        <v>0</v>
      </c>
      <c r="BS427" s="38"/>
      <c r="BT427" s="38"/>
      <c r="BU427" s="26"/>
      <c r="BV427" s="26"/>
      <c r="BW427" s="39">
        <f t="shared" si="38"/>
        <v>2</v>
      </c>
      <c r="BX427" s="78">
        <v>3</v>
      </c>
      <c r="BY427" s="63">
        <v>3</v>
      </c>
      <c r="BZ427" s="7"/>
      <c r="CA427" s="8"/>
      <c r="CB427" s="17"/>
      <c r="CC427" s="17"/>
    </row>
    <row r="428" spans="1:81" ht="16" x14ac:dyDescent="0.2">
      <c r="A428" s="111" t="s">
        <v>302</v>
      </c>
      <c r="B428" s="26">
        <v>42</v>
      </c>
      <c r="C428" s="109" t="s">
        <v>159</v>
      </c>
      <c r="D428" s="26">
        <v>6</v>
      </c>
      <c r="E428" s="26">
        <v>2</v>
      </c>
      <c r="F428" s="26">
        <v>3</v>
      </c>
      <c r="G428" s="26" t="s">
        <v>50</v>
      </c>
      <c r="H428" s="26">
        <v>7</v>
      </c>
      <c r="I428" s="26" t="s">
        <v>50</v>
      </c>
      <c r="J428" s="26"/>
      <c r="K428" s="26" t="s">
        <v>47</v>
      </c>
      <c r="L428" s="26">
        <v>6</v>
      </c>
      <c r="M428" s="40"/>
      <c r="N428" s="36"/>
      <c r="O428" s="36"/>
      <c r="P428" s="36"/>
      <c r="Q428" s="36" t="s">
        <v>57</v>
      </c>
      <c r="R428" s="36">
        <f>3.5/8</f>
        <v>0.4375</v>
      </c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 t="s">
        <v>39</v>
      </c>
      <c r="AN428" s="36">
        <f>6.5/8</f>
        <v>0.8125</v>
      </c>
      <c r="AO428" s="36"/>
      <c r="AP428" s="36"/>
      <c r="AQ428" s="36" t="s">
        <v>39</v>
      </c>
      <c r="AR428" s="36">
        <f>6.5/8</f>
        <v>0.8125</v>
      </c>
      <c r="AS428" s="36" t="s">
        <v>39</v>
      </c>
      <c r="AT428" s="36">
        <f>6.5/8</f>
        <v>0.8125</v>
      </c>
      <c r="AU428" s="36"/>
      <c r="AV428" s="36"/>
      <c r="AW428" s="36" t="s">
        <v>38</v>
      </c>
      <c r="AX428" s="36">
        <f>8/8</f>
        <v>1</v>
      </c>
      <c r="AY428" s="36"/>
      <c r="AZ428" s="36"/>
      <c r="BA428" s="36" t="s">
        <v>39</v>
      </c>
      <c r="BB428" s="36">
        <f>6.5/8</f>
        <v>0.8125</v>
      </c>
      <c r="BC428" s="36"/>
      <c r="BD428" s="36"/>
      <c r="BE428" s="26"/>
      <c r="BF428" s="26"/>
      <c r="BG428" s="39">
        <v>1</v>
      </c>
      <c r="BH428" s="38"/>
      <c r="BI428" s="38">
        <v>4</v>
      </c>
      <c r="BJ428" s="38"/>
      <c r="BK428" s="38"/>
      <c r="BL428" s="38"/>
      <c r="BM428" s="38"/>
      <c r="BN428" s="38">
        <v>1</v>
      </c>
      <c r="BO428" s="37">
        <f t="shared" si="34"/>
        <v>5</v>
      </c>
      <c r="BP428" s="56">
        <f t="shared" si="35"/>
        <v>0</v>
      </c>
      <c r="BQ428" s="56">
        <f t="shared" si="36"/>
        <v>0</v>
      </c>
      <c r="BR428" s="57">
        <f t="shared" si="37"/>
        <v>1</v>
      </c>
      <c r="BS428" s="38"/>
      <c r="BT428" s="38"/>
      <c r="BU428" s="26"/>
      <c r="BV428" s="26"/>
      <c r="BW428" s="39">
        <f t="shared" si="38"/>
        <v>6</v>
      </c>
      <c r="BX428" s="78">
        <v>2</v>
      </c>
      <c r="BY428" s="63">
        <v>3</v>
      </c>
      <c r="BZ428" s="7"/>
      <c r="CA428" s="8"/>
      <c r="CB428" s="17"/>
      <c r="CC428" s="17"/>
    </row>
    <row r="429" spans="1:81" ht="16" x14ac:dyDescent="0.2">
      <c r="A429" s="111" t="s">
        <v>302</v>
      </c>
      <c r="B429" s="26">
        <v>42</v>
      </c>
      <c r="C429" s="109" t="s">
        <v>159</v>
      </c>
      <c r="D429" s="26">
        <v>7</v>
      </c>
      <c r="E429" s="26">
        <v>2</v>
      </c>
      <c r="F429" s="26">
        <v>2</v>
      </c>
      <c r="G429" s="26" t="s">
        <v>51</v>
      </c>
      <c r="H429" s="26">
        <v>4</v>
      </c>
      <c r="I429" s="26" t="s">
        <v>51</v>
      </c>
      <c r="J429" s="26"/>
      <c r="K429" s="38" t="s">
        <v>63</v>
      </c>
      <c r="L429" s="26">
        <v>6</v>
      </c>
      <c r="M429" s="40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 t="s">
        <v>39</v>
      </c>
      <c r="AD429" s="36">
        <f>8/8</f>
        <v>1</v>
      </c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 t="s">
        <v>38</v>
      </c>
      <c r="BB429" s="36">
        <f>8/8</f>
        <v>1</v>
      </c>
      <c r="BC429" s="36"/>
      <c r="BD429" s="36"/>
      <c r="BE429" s="26"/>
      <c r="BF429" s="26"/>
      <c r="BG429" s="39">
        <v>1</v>
      </c>
      <c r="BH429" s="38"/>
      <c r="BI429" s="38">
        <v>1</v>
      </c>
      <c r="BJ429" s="38"/>
      <c r="BK429" s="38"/>
      <c r="BL429" s="38"/>
      <c r="BM429" s="38"/>
      <c r="BN429" s="38"/>
      <c r="BO429" s="37">
        <f t="shared" si="34"/>
        <v>2</v>
      </c>
      <c r="BP429" s="56">
        <f t="shared" si="35"/>
        <v>0</v>
      </c>
      <c r="BQ429" s="56">
        <f t="shared" si="36"/>
        <v>0</v>
      </c>
      <c r="BR429" s="57">
        <f t="shared" si="37"/>
        <v>0</v>
      </c>
      <c r="BS429" s="38"/>
      <c r="BT429" s="38"/>
      <c r="BU429" s="26"/>
      <c r="BV429" s="26"/>
      <c r="BW429" s="39">
        <f t="shared" si="38"/>
        <v>2</v>
      </c>
      <c r="BX429" s="78">
        <v>1</v>
      </c>
      <c r="BY429" s="63">
        <v>2</v>
      </c>
      <c r="BZ429" s="7"/>
      <c r="CA429" s="8"/>
      <c r="CB429" s="17"/>
      <c r="CC429" s="17"/>
    </row>
    <row r="430" spans="1:81" ht="16" x14ac:dyDescent="0.2">
      <c r="A430" s="111" t="s">
        <v>302</v>
      </c>
      <c r="B430" s="26">
        <v>42</v>
      </c>
      <c r="C430" s="109" t="s">
        <v>159</v>
      </c>
      <c r="D430" s="26">
        <v>8</v>
      </c>
      <c r="E430" s="26">
        <v>2</v>
      </c>
      <c r="F430" s="26">
        <v>2</v>
      </c>
      <c r="G430" s="26" t="s">
        <v>51</v>
      </c>
      <c r="H430" s="26">
        <v>5</v>
      </c>
      <c r="I430" s="26" t="s">
        <v>56</v>
      </c>
      <c r="J430" s="26"/>
      <c r="K430" s="38" t="s">
        <v>63</v>
      </c>
      <c r="L430" s="26">
        <v>6</v>
      </c>
      <c r="M430" s="40"/>
      <c r="N430" s="36"/>
      <c r="O430" s="36"/>
      <c r="P430" s="36"/>
      <c r="Q430" s="36"/>
      <c r="R430" s="36"/>
      <c r="S430" s="36" t="s">
        <v>38</v>
      </c>
      <c r="T430" s="36">
        <f>4/8</f>
        <v>0.5</v>
      </c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 t="s">
        <v>39</v>
      </c>
      <c r="AJ430" s="36">
        <f>8/8</f>
        <v>1</v>
      </c>
      <c r="AK430" s="36"/>
      <c r="AL430" s="36"/>
      <c r="AM430" s="36"/>
      <c r="AN430" s="36"/>
      <c r="AO430" s="36"/>
      <c r="AP430" s="36"/>
      <c r="AQ430" s="36" t="s">
        <v>38</v>
      </c>
      <c r="AR430" s="36">
        <f>6.5/8</f>
        <v>0.8125</v>
      </c>
      <c r="AS430" s="36"/>
      <c r="AT430" s="36"/>
      <c r="AU430" s="36" t="s">
        <v>39</v>
      </c>
      <c r="AV430" s="36">
        <f>8/8</f>
        <v>1</v>
      </c>
      <c r="AW430" s="36"/>
      <c r="AX430" s="36"/>
      <c r="AY430" s="36"/>
      <c r="AZ430" s="36"/>
      <c r="BA430" s="36"/>
      <c r="BB430" s="36"/>
      <c r="BC430" s="36"/>
      <c r="BD430" s="36"/>
      <c r="BE430" s="26"/>
      <c r="BF430" s="26"/>
      <c r="BG430" s="39">
        <v>1</v>
      </c>
      <c r="BH430" s="38">
        <v>1</v>
      </c>
      <c r="BI430" s="38">
        <v>2</v>
      </c>
      <c r="BJ430" s="38"/>
      <c r="BK430" s="38"/>
      <c r="BL430" s="38"/>
      <c r="BM430" s="38"/>
      <c r="BN430" s="38"/>
      <c r="BO430" s="37">
        <f t="shared" si="34"/>
        <v>3</v>
      </c>
      <c r="BP430" s="56">
        <f t="shared" si="35"/>
        <v>1</v>
      </c>
      <c r="BQ430" s="56">
        <f t="shared" si="36"/>
        <v>0</v>
      </c>
      <c r="BR430" s="57">
        <f t="shared" si="37"/>
        <v>0</v>
      </c>
      <c r="BS430" s="38"/>
      <c r="BT430" s="38"/>
      <c r="BU430" s="26"/>
      <c r="BV430" s="26"/>
      <c r="BW430" s="39">
        <f t="shared" si="38"/>
        <v>4</v>
      </c>
      <c r="BX430" s="78">
        <v>2</v>
      </c>
      <c r="BY430" s="63">
        <v>2</v>
      </c>
      <c r="BZ430" s="7"/>
      <c r="CA430" s="8"/>
      <c r="CB430" s="17"/>
      <c r="CC430" s="17"/>
    </row>
    <row r="431" spans="1:81" ht="16" x14ac:dyDescent="0.2">
      <c r="A431" s="111" t="s">
        <v>302</v>
      </c>
      <c r="B431" s="26">
        <v>42</v>
      </c>
      <c r="C431" s="109" t="s">
        <v>159</v>
      </c>
      <c r="D431" s="26">
        <v>10</v>
      </c>
      <c r="E431" s="26">
        <v>2</v>
      </c>
      <c r="F431" s="26">
        <v>2</v>
      </c>
      <c r="G431" s="26" t="s">
        <v>51</v>
      </c>
      <c r="H431" s="26">
        <v>3</v>
      </c>
      <c r="I431" s="26" t="s">
        <v>54</v>
      </c>
      <c r="J431" s="26"/>
      <c r="K431" s="26">
        <v>6</v>
      </c>
      <c r="L431" s="26">
        <v>6</v>
      </c>
      <c r="M431" s="40" t="s">
        <v>39</v>
      </c>
      <c r="N431" s="36">
        <f>3/8</f>
        <v>0.375</v>
      </c>
      <c r="O431" s="36" t="s">
        <v>39</v>
      </c>
      <c r="P431" s="36">
        <f>10.5/8</f>
        <v>1.3125</v>
      </c>
      <c r="Q431" s="36"/>
      <c r="R431" s="36"/>
      <c r="S431" s="36" t="s">
        <v>38</v>
      </c>
      <c r="T431" s="36">
        <f>4.5/8</f>
        <v>0.5625</v>
      </c>
      <c r="U431" s="36" t="s">
        <v>38</v>
      </c>
      <c r="V431" s="36">
        <f>11.5/8</f>
        <v>1.4375</v>
      </c>
      <c r="W431" s="36" t="s">
        <v>38</v>
      </c>
      <c r="X431" s="36">
        <f>2.5/8</f>
        <v>0.3125</v>
      </c>
      <c r="Y431" s="36" t="s">
        <v>48</v>
      </c>
      <c r="Z431" s="36">
        <f>4/8</f>
        <v>0.5</v>
      </c>
      <c r="AA431" s="36"/>
      <c r="AB431" s="36"/>
      <c r="AC431" s="36"/>
      <c r="AD431" s="36"/>
      <c r="AE431" s="36" t="s">
        <v>39</v>
      </c>
      <c r="AF431" s="36">
        <f>8/8</f>
        <v>1</v>
      </c>
      <c r="AG431" s="36" t="s">
        <v>38</v>
      </c>
      <c r="AH431" s="36">
        <f>2.5/8</f>
        <v>0.3125</v>
      </c>
      <c r="AI431" s="36" t="s">
        <v>39</v>
      </c>
      <c r="AJ431" s="36">
        <f>4/8</f>
        <v>0.5</v>
      </c>
      <c r="AK431" s="36" t="s">
        <v>39</v>
      </c>
      <c r="AL431" s="36">
        <f>8.5/8</f>
        <v>1.0625</v>
      </c>
      <c r="AM431" s="36" t="s">
        <v>38</v>
      </c>
      <c r="AN431" s="36">
        <f>8.5/8</f>
        <v>1.0625</v>
      </c>
      <c r="AO431" s="36" t="s">
        <v>38</v>
      </c>
      <c r="AP431" s="36">
        <f>6/8</f>
        <v>0.75</v>
      </c>
      <c r="AQ431" s="36" t="s">
        <v>39</v>
      </c>
      <c r="AR431" s="36">
        <f>5/8</f>
        <v>0.625</v>
      </c>
      <c r="AS431" s="36"/>
      <c r="AT431" s="36"/>
      <c r="AU431" s="36"/>
      <c r="AV431" s="36"/>
      <c r="AW431" s="36"/>
      <c r="AX431" s="36"/>
      <c r="AY431" s="36"/>
      <c r="AZ431" s="36"/>
      <c r="BA431" s="36" t="s">
        <v>38</v>
      </c>
      <c r="BB431" s="36">
        <f>6.5/8</f>
        <v>0.8125</v>
      </c>
      <c r="BC431" s="36" t="s">
        <v>39</v>
      </c>
      <c r="BD431" s="36">
        <f>4/8</f>
        <v>0.5</v>
      </c>
      <c r="BE431" s="26"/>
      <c r="BF431" s="26"/>
      <c r="BG431" s="39">
        <v>4</v>
      </c>
      <c r="BH431" s="38">
        <v>3</v>
      </c>
      <c r="BI431" s="38">
        <v>3</v>
      </c>
      <c r="BJ431" s="38">
        <v>4</v>
      </c>
      <c r="BK431" s="38"/>
      <c r="BL431" s="38">
        <v>1</v>
      </c>
      <c r="BM431" s="38"/>
      <c r="BN431" s="38"/>
      <c r="BO431" s="37">
        <f t="shared" si="34"/>
        <v>7</v>
      </c>
      <c r="BP431" s="56">
        <f t="shared" si="35"/>
        <v>7</v>
      </c>
      <c r="BQ431" s="56">
        <f t="shared" si="36"/>
        <v>0</v>
      </c>
      <c r="BR431" s="57">
        <f t="shared" si="37"/>
        <v>1</v>
      </c>
      <c r="BS431" s="38"/>
      <c r="BT431" s="38"/>
      <c r="BU431" s="26"/>
      <c r="BV431" s="26"/>
      <c r="BW431" s="39">
        <f t="shared" si="38"/>
        <v>15</v>
      </c>
      <c r="BX431" s="78">
        <v>2</v>
      </c>
      <c r="BY431" s="63">
        <v>1</v>
      </c>
      <c r="BZ431" s="7"/>
      <c r="CA431" s="8"/>
      <c r="CB431" s="17"/>
      <c r="CC431" s="17"/>
    </row>
    <row r="432" spans="1:81" ht="16" x14ac:dyDescent="0.2">
      <c r="A432" s="111" t="s">
        <v>302</v>
      </c>
      <c r="B432" s="26">
        <v>42</v>
      </c>
      <c r="C432" s="109" t="s">
        <v>159</v>
      </c>
      <c r="D432" s="26">
        <v>12</v>
      </c>
      <c r="E432" s="26">
        <v>2</v>
      </c>
      <c r="F432" s="26">
        <v>4</v>
      </c>
      <c r="G432" s="26" t="s">
        <v>50</v>
      </c>
      <c r="H432" s="26"/>
      <c r="I432" s="26"/>
      <c r="J432" s="26"/>
      <c r="K432" s="38" t="s">
        <v>63</v>
      </c>
      <c r="L432" s="26">
        <v>6</v>
      </c>
      <c r="M432" s="40"/>
      <c r="N432" s="36"/>
      <c r="O432" s="36"/>
      <c r="P432" s="36"/>
      <c r="Q432" s="36"/>
      <c r="R432" s="36"/>
      <c r="S432" s="36"/>
      <c r="T432" s="36"/>
      <c r="U432" s="36" t="s">
        <v>38</v>
      </c>
      <c r="V432" s="36">
        <v>0.38</v>
      </c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 t="s">
        <v>39</v>
      </c>
      <c r="AN432" s="36">
        <v>0.75</v>
      </c>
      <c r="AO432" s="36"/>
      <c r="AP432" s="36"/>
      <c r="AQ432" s="36"/>
      <c r="AR432" s="36"/>
      <c r="AS432" s="36"/>
      <c r="AT432" s="36"/>
      <c r="AU432" s="36"/>
      <c r="AV432" s="36"/>
      <c r="AW432" s="36" t="s">
        <v>38</v>
      </c>
      <c r="AX432" s="36">
        <v>0.94</v>
      </c>
      <c r="AY432" s="36"/>
      <c r="AZ432" s="36"/>
      <c r="BA432" s="36"/>
      <c r="BB432" s="36"/>
      <c r="BC432" s="36" t="s">
        <v>39</v>
      </c>
      <c r="BD432" s="36">
        <v>0.81</v>
      </c>
      <c r="BE432" s="26"/>
      <c r="BF432" s="26"/>
      <c r="BG432" s="39">
        <v>1</v>
      </c>
      <c r="BH432" s="38">
        <v>1</v>
      </c>
      <c r="BI432" s="38">
        <v>2</v>
      </c>
      <c r="BJ432" s="38"/>
      <c r="BK432" s="38"/>
      <c r="BL432" s="38"/>
      <c r="BM432" s="38"/>
      <c r="BN432" s="38"/>
      <c r="BO432" s="37">
        <f t="shared" si="34"/>
        <v>3</v>
      </c>
      <c r="BP432" s="56">
        <f t="shared" si="35"/>
        <v>1</v>
      </c>
      <c r="BQ432" s="56">
        <f t="shared" si="36"/>
        <v>0</v>
      </c>
      <c r="BR432" s="57">
        <f t="shared" si="37"/>
        <v>0</v>
      </c>
      <c r="BS432" s="38"/>
      <c r="BT432" s="38"/>
      <c r="BU432" s="26"/>
      <c r="BV432" s="26"/>
      <c r="BW432" s="39">
        <f t="shared" si="38"/>
        <v>4</v>
      </c>
      <c r="BX432" s="78">
        <v>2</v>
      </c>
      <c r="BY432" s="63">
        <v>2</v>
      </c>
      <c r="BZ432" s="7"/>
      <c r="CA432" s="8"/>
      <c r="CB432" s="17"/>
      <c r="CC432" s="17"/>
    </row>
    <row r="433" spans="1:81" x14ac:dyDescent="0.2">
      <c r="A433" s="109" t="s">
        <v>303</v>
      </c>
      <c r="B433" s="26">
        <v>40</v>
      </c>
      <c r="C433" s="109" t="s">
        <v>160</v>
      </c>
      <c r="D433" s="38">
        <v>1</v>
      </c>
      <c r="E433" s="38">
        <v>2</v>
      </c>
      <c r="F433" s="38">
        <v>2</v>
      </c>
      <c r="G433" s="38" t="s">
        <v>51</v>
      </c>
      <c r="H433" s="38">
        <v>4</v>
      </c>
      <c r="I433" s="38" t="s">
        <v>51</v>
      </c>
      <c r="J433" s="38" t="s">
        <v>65</v>
      </c>
      <c r="K433" s="38"/>
      <c r="L433" s="38">
        <v>5</v>
      </c>
      <c r="M433" s="40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8"/>
      <c r="BF433" s="38"/>
      <c r="BG433" s="39"/>
      <c r="BH433" s="38"/>
      <c r="BI433" s="38"/>
      <c r="BJ433" s="38"/>
      <c r="BK433" s="38"/>
      <c r="BL433" s="38"/>
      <c r="BM433" s="38"/>
      <c r="BN433" s="38"/>
      <c r="BO433" s="37">
        <f t="shared" si="34"/>
        <v>0</v>
      </c>
      <c r="BP433" s="56">
        <f t="shared" si="35"/>
        <v>0</v>
      </c>
      <c r="BQ433" s="56">
        <f t="shared" si="36"/>
        <v>0</v>
      </c>
      <c r="BR433" s="57">
        <f t="shared" si="37"/>
        <v>0</v>
      </c>
      <c r="BS433" s="38"/>
      <c r="BT433" s="38"/>
      <c r="BU433" s="26"/>
      <c r="BV433" s="26"/>
      <c r="BW433" s="39">
        <f t="shared" si="38"/>
        <v>0</v>
      </c>
      <c r="BX433" s="78">
        <v>0</v>
      </c>
      <c r="BY433" s="63">
        <v>11</v>
      </c>
      <c r="BZ433" s="7"/>
      <c r="CA433" s="8"/>
      <c r="CB433" s="7"/>
      <c r="CC433" s="7"/>
    </row>
    <row r="434" spans="1:81" ht="16" x14ac:dyDescent="0.2">
      <c r="A434" s="109" t="s">
        <v>303</v>
      </c>
      <c r="B434" s="26">
        <v>40</v>
      </c>
      <c r="C434" s="109" t="s">
        <v>160</v>
      </c>
      <c r="D434" s="38">
        <v>2</v>
      </c>
      <c r="E434" s="38">
        <v>2</v>
      </c>
      <c r="F434" s="38">
        <v>4</v>
      </c>
      <c r="G434" s="38" t="s">
        <v>56</v>
      </c>
      <c r="H434" s="38"/>
      <c r="I434" s="38"/>
      <c r="J434" s="38"/>
      <c r="K434" s="38">
        <v>12</v>
      </c>
      <c r="L434" s="38">
        <v>6</v>
      </c>
      <c r="M434" s="40"/>
      <c r="N434" s="36"/>
      <c r="O434" s="36" t="s">
        <v>39</v>
      </c>
      <c r="P434" s="36">
        <f>3/8</f>
        <v>0.375</v>
      </c>
      <c r="Q434" s="36"/>
      <c r="R434" s="36"/>
      <c r="S434" s="36"/>
      <c r="T434" s="36"/>
      <c r="U434" s="36"/>
      <c r="V434" s="36"/>
      <c r="W434" s="36"/>
      <c r="X434" s="36"/>
      <c r="Y434" s="36" t="s">
        <v>39</v>
      </c>
      <c r="Z434" s="36">
        <f>3.5/8</f>
        <v>0.4375</v>
      </c>
      <c r="AA434" s="36" t="s">
        <v>39</v>
      </c>
      <c r="AB434" s="36">
        <f>3/8</f>
        <v>0.375</v>
      </c>
      <c r="AC434" s="36" t="s">
        <v>39</v>
      </c>
      <c r="AD434" s="36">
        <f>3/8</f>
        <v>0.375</v>
      </c>
      <c r="AE434" s="36" t="s">
        <v>55</v>
      </c>
      <c r="AF434" s="36">
        <f>4/8</f>
        <v>0.5</v>
      </c>
      <c r="AG434" s="36" t="s">
        <v>38</v>
      </c>
      <c r="AH434" s="36">
        <f>4.5/8</f>
        <v>0.5625</v>
      </c>
      <c r="AI434" s="36"/>
      <c r="AJ434" s="36"/>
      <c r="AK434" s="36"/>
      <c r="AL434" s="36"/>
      <c r="AM434" s="36" t="s">
        <v>39</v>
      </c>
      <c r="AN434" s="36">
        <f>3/8</f>
        <v>0.375</v>
      </c>
      <c r="AO434" s="36"/>
      <c r="AP434" s="36"/>
      <c r="AQ434" s="36"/>
      <c r="AR434" s="36"/>
      <c r="AS434" s="36"/>
      <c r="AT434" s="36"/>
      <c r="AU434" s="36" t="s">
        <v>38</v>
      </c>
      <c r="AV434" s="36">
        <f>3.5/8</f>
        <v>0.4375</v>
      </c>
      <c r="AW434" s="36" t="s">
        <v>38</v>
      </c>
      <c r="AX434" s="36">
        <f>4.5/8</f>
        <v>0.5625</v>
      </c>
      <c r="AY434" s="36" t="s">
        <v>39</v>
      </c>
      <c r="AZ434" s="36">
        <f>3/8</f>
        <v>0.375</v>
      </c>
      <c r="BA434" s="36"/>
      <c r="BB434" s="36"/>
      <c r="BC434" s="36"/>
      <c r="BD434" s="36"/>
      <c r="BE434" s="38"/>
      <c r="BF434" s="38"/>
      <c r="BG434" s="39"/>
      <c r="BH434" s="38">
        <v>3</v>
      </c>
      <c r="BI434" s="38"/>
      <c r="BJ434" s="38">
        <v>6</v>
      </c>
      <c r="BK434" s="38"/>
      <c r="BL434" s="38">
        <v>1</v>
      </c>
      <c r="BM434" s="38"/>
      <c r="BN434" s="38"/>
      <c r="BO434" s="37">
        <f t="shared" si="34"/>
        <v>0</v>
      </c>
      <c r="BP434" s="56">
        <f t="shared" si="35"/>
        <v>9</v>
      </c>
      <c r="BQ434" s="56">
        <f t="shared" si="36"/>
        <v>0</v>
      </c>
      <c r="BR434" s="57">
        <f t="shared" si="37"/>
        <v>1</v>
      </c>
      <c r="BS434" s="38"/>
      <c r="BT434" s="38"/>
      <c r="BU434" s="26"/>
      <c r="BV434" s="26"/>
      <c r="BW434" s="39">
        <f t="shared" si="38"/>
        <v>10</v>
      </c>
      <c r="BX434" s="78">
        <v>4</v>
      </c>
      <c r="BY434" s="63">
        <v>2</v>
      </c>
      <c r="BZ434" s="7"/>
      <c r="CA434" s="8"/>
      <c r="CB434" s="7"/>
      <c r="CC434" s="7"/>
    </row>
    <row r="435" spans="1:81" ht="16" x14ac:dyDescent="0.2">
      <c r="A435" s="109" t="s">
        <v>303</v>
      </c>
      <c r="B435" s="26">
        <v>40</v>
      </c>
      <c r="C435" s="109" t="s">
        <v>160</v>
      </c>
      <c r="D435" s="38">
        <v>5</v>
      </c>
      <c r="E435" s="38">
        <v>2</v>
      </c>
      <c r="F435" s="38" t="s">
        <v>53</v>
      </c>
      <c r="G435" s="38" t="s">
        <v>50</v>
      </c>
      <c r="H435" s="38"/>
      <c r="I435" s="38"/>
      <c r="J435" s="38"/>
      <c r="K435" s="38">
        <v>10</v>
      </c>
      <c r="L435" s="38">
        <v>6</v>
      </c>
      <c r="M435" s="40"/>
      <c r="N435" s="36"/>
      <c r="O435" s="36" t="s">
        <v>39</v>
      </c>
      <c r="P435" s="36">
        <f>6/8</f>
        <v>0.75</v>
      </c>
      <c r="Q435" s="36" t="s">
        <v>39</v>
      </c>
      <c r="R435" s="36">
        <f>3.5/8</f>
        <v>0.4375</v>
      </c>
      <c r="S435" s="36"/>
      <c r="T435" s="36"/>
      <c r="U435" s="36"/>
      <c r="V435" s="36"/>
      <c r="W435" s="36"/>
      <c r="X435" s="36"/>
      <c r="Y435" s="36" t="s">
        <v>55</v>
      </c>
      <c r="Z435" s="36">
        <f>6/8</f>
        <v>0.75</v>
      </c>
      <c r="AA435" s="36"/>
      <c r="AB435" s="36"/>
      <c r="AC435" s="36" t="s">
        <v>43</v>
      </c>
      <c r="AD435" s="36">
        <f>4/8</f>
        <v>0.5</v>
      </c>
      <c r="AE435" s="36"/>
      <c r="AF435" s="36"/>
      <c r="AG435" s="36" t="s">
        <v>39</v>
      </c>
      <c r="AH435" s="36">
        <f>4/8</f>
        <v>0.5</v>
      </c>
      <c r="AI435" s="36" t="s">
        <v>38</v>
      </c>
      <c r="AJ435" s="36">
        <v>0.31</v>
      </c>
      <c r="AK435" s="36"/>
      <c r="AL435" s="36"/>
      <c r="AM435" s="36" t="s">
        <v>43</v>
      </c>
      <c r="AN435" s="36">
        <f>3/8</f>
        <v>0.375</v>
      </c>
      <c r="AO435" s="36" t="s">
        <v>39</v>
      </c>
      <c r="AP435" s="36">
        <f>11/8</f>
        <v>1.375</v>
      </c>
      <c r="AQ435" s="36"/>
      <c r="AR435" s="36"/>
      <c r="AS435" s="36" t="s">
        <v>38</v>
      </c>
      <c r="AT435" s="36">
        <f>5/8</f>
        <v>0.625</v>
      </c>
      <c r="AU435" s="36" t="s">
        <v>39</v>
      </c>
      <c r="AV435" s="36">
        <f>8/8</f>
        <v>1</v>
      </c>
      <c r="AW435" s="36" t="s">
        <v>38</v>
      </c>
      <c r="AX435" s="36">
        <f>3/8</f>
        <v>0.375</v>
      </c>
      <c r="AY435" s="36" t="s">
        <v>39</v>
      </c>
      <c r="AZ435" s="36">
        <f>4/8</f>
        <v>0.5</v>
      </c>
      <c r="BA435" s="36"/>
      <c r="BB435" s="36"/>
      <c r="BC435" s="36" t="s">
        <v>39</v>
      </c>
      <c r="BD435" s="36">
        <f>7/8</f>
        <v>0.875</v>
      </c>
      <c r="BE435" s="38"/>
      <c r="BF435" s="38"/>
      <c r="BG435" s="39"/>
      <c r="BH435" s="38">
        <v>3</v>
      </c>
      <c r="BI435" s="38">
        <v>4</v>
      </c>
      <c r="BJ435" s="38">
        <v>3</v>
      </c>
      <c r="BK435" s="38">
        <v>1</v>
      </c>
      <c r="BL435" s="38"/>
      <c r="BM435" s="38"/>
      <c r="BN435" s="38"/>
      <c r="BO435" s="37">
        <f t="shared" si="34"/>
        <v>4</v>
      </c>
      <c r="BP435" s="56">
        <f t="shared" si="35"/>
        <v>6</v>
      </c>
      <c r="BQ435" s="56">
        <f t="shared" si="36"/>
        <v>3</v>
      </c>
      <c r="BR435" s="57">
        <f t="shared" si="37"/>
        <v>0</v>
      </c>
      <c r="BS435" s="38">
        <v>2</v>
      </c>
      <c r="BT435" s="38"/>
      <c r="BU435" s="26"/>
      <c r="BV435" s="26"/>
      <c r="BW435" s="39">
        <f t="shared" si="38"/>
        <v>13</v>
      </c>
      <c r="BX435" s="78">
        <v>2</v>
      </c>
      <c r="BY435" s="63">
        <v>1</v>
      </c>
      <c r="BZ435" s="7"/>
      <c r="CA435" s="8"/>
      <c r="CB435" s="7"/>
      <c r="CC435" s="7"/>
    </row>
    <row r="436" spans="1:81" ht="16" x14ac:dyDescent="0.2">
      <c r="A436" s="109" t="s">
        <v>304</v>
      </c>
      <c r="B436" s="26">
        <v>41</v>
      </c>
      <c r="C436" s="109" t="s">
        <v>161</v>
      </c>
      <c r="D436" s="26">
        <v>2</v>
      </c>
      <c r="E436" s="26">
        <v>2</v>
      </c>
      <c r="F436" s="26">
        <v>2</v>
      </c>
      <c r="G436" s="26" t="s">
        <v>51</v>
      </c>
      <c r="H436" s="26">
        <v>4</v>
      </c>
      <c r="I436" s="26" t="s">
        <v>51</v>
      </c>
      <c r="J436" s="26" t="s">
        <v>41</v>
      </c>
      <c r="K436" s="26"/>
      <c r="L436" s="26">
        <v>5</v>
      </c>
      <c r="M436" s="40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 t="s">
        <v>39</v>
      </c>
      <c r="AL436" s="36">
        <f>7.5/8</f>
        <v>0.9375</v>
      </c>
      <c r="AM436" s="36"/>
      <c r="AN436" s="36"/>
      <c r="AO436" s="36"/>
      <c r="AP436" s="36"/>
      <c r="AQ436" s="36" t="s">
        <v>38</v>
      </c>
      <c r="AR436" s="36">
        <f>8/8</f>
        <v>1</v>
      </c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26"/>
      <c r="BF436" s="26"/>
      <c r="BG436" s="37">
        <v>1</v>
      </c>
      <c r="BH436" s="26"/>
      <c r="BI436" s="26">
        <v>1</v>
      </c>
      <c r="BJ436" s="26"/>
      <c r="BK436" s="26"/>
      <c r="BL436" s="26"/>
      <c r="BM436" s="26"/>
      <c r="BN436" s="26"/>
      <c r="BO436" s="37">
        <f t="shared" si="34"/>
        <v>2</v>
      </c>
      <c r="BP436" s="56">
        <f t="shared" si="35"/>
        <v>0</v>
      </c>
      <c r="BQ436" s="56">
        <f t="shared" si="36"/>
        <v>0</v>
      </c>
      <c r="BR436" s="57">
        <f t="shared" si="37"/>
        <v>0</v>
      </c>
      <c r="BS436" s="38"/>
      <c r="BT436" s="38"/>
      <c r="BU436" s="26"/>
      <c r="BV436" s="26"/>
      <c r="BW436" s="39">
        <f t="shared" si="38"/>
        <v>2</v>
      </c>
      <c r="BX436" s="78">
        <v>1</v>
      </c>
      <c r="BY436" s="63">
        <v>10</v>
      </c>
      <c r="BZ436" s="7"/>
      <c r="CA436" s="8"/>
      <c r="CB436" s="7"/>
      <c r="CC436" s="7"/>
    </row>
    <row r="437" spans="1:81" x14ac:dyDescent="0.2">
      <c r="A437" s="109" t="s">
        <v>304</v>
      </c>
      <c r="B437" s="26">
        <v>41</v>
      </c>
      <c r="C437" s="109" t="s">
        <v>161</v>
      </c>
      <c r="D437" s="26">
        <v>3</v>
      </c>
      <c r="E437" s="26">
        <v>2</v>
      </c>
      <c r="F437" s="26">
        <v>2</v>
      </c>
      <c r="G437" s="26" t="s">
        <v>51</v>
      </c>
      <c r="H437" s="26">
        <v>4</v>
      </c>
      <c r="I437" s="26" t="s">
        <v>51</v>
      </c>
      <c r="J437" s="26" t="s">
        <v>41</v>
      </c>
      <c r="K437" s="26"/>
      <c r="L437" s="26">
        <v>5</v>
      </c>
      <c r="M437" s="40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26"/>
      <c r="BF437" s="26"/>
      <c r="BG437" s="37"/>
      <c r="BH437" s="26"/>
      <c r="BI437" s="26"/>
      <c r="BJ437" s="26"/>
      <c r="BK437" s="26"/>
      <c r="BL437" s="26"/>
      <c r="BM437" s="26"/>
      <c r="BN437" s="26"/>
      <c r="BO437" s="37">
        <f t="shared" si="34"/>
        <v>0</v>
      </c>
      <c r="BP437" s="56">
        <f t="shared" si="35"/>
        <v>0</v>
      </c>
      <c r="BQ437" s="56">
        <f t="shared" si="36"/>
        <v>0</v>
      </c>
      <c r="BR437" s="57">
        <f t="shared" si="37"/>
        <v>0</v>
      </c>
      <c r="BS437" s="38"/>
      <c r="BT437" s="38"/>
      <c r="BU437" s="26"/>
      <c r="BV437" s="26"/>
      <c r="BW437" s="39">
        <f t="shared" si="38"/>
        <v>0</v>
      </c>
      <c r="BX437" s="78">
        <v>0</v>
      </c>
      <c r="BY437" s="63">
        <v>10</v>
      </c>
      <c r="BZ437" s="7"/>
      <c r="CA437" s="8"/>
      <c r="CB437" s="7"/>
      <c r="CC437" s="7"/>
    </row>
    <row r="438" spans="1:81" ht="16" x14ac:dyDescent="0.2">
      <c r="A438" s="109" t="s">
        <v>304</v>
      </c>
      <c r="B438" s="26">
        <v>41</v>
      </c>
      <c r="C438" s="109" t="s">
        <v>162</v>
      </c>
      <c r="D438" s="26">
        <v>1</v>
      </c>
      <c r="E438" s="26">
        <v>2</v>
      </c>
      <c r="F438" s="26">
        <v>1</v>
      </c>
      <c r="G438" s="26" t="s">
        <v>54</v>
      </c>
      <c r="H438" s="26">
        <v>2</v>
      </c>
      <c r="I438" s="26" t="s">
        <v>51</v>
      </c>
      <c r="J438" s="26"/>
      <c r="K438" s="26">
        <v>4</v>
      </c>
      <c r="L438" s="26">
        <v>6</v>
      </c>
      <c r="M438" s="40" t="s">
        <v>38</v>
      </c>
      <c r="N438" s="36">
        <f>3.5/8</f>
        <v>0.4375</v>
      </c>
      <c r="O438" s="36" t="s">
        <v>38</v>
      </c>
      <c r="P438" s="36">
        <f>6/8</f>
        <v>0.75</v>
      </c>
      <c r="Q438" s="36" t="s">
        <v>38</v>
      </c>
      <c r="R438" s="36">
        <f>5/8</f>
        <v>0.625</v>
      </c>
      <c r="S438" s="36" t="s">
        <v>39</v>
      </c>
      <c r="T438" s="36">
        <f>4/8</f>
        <v>0.5</v>
      </c>
      <c r="U438" s="36" t="s">
        <v>39</v>
      </c>
      <c r="V438" s="36">
        <f>4/8</f>
        <v>0.5</v>
      </c>
      <c r="W438" s="36" t="s">
        <v>38</v>
      </c>
      <c r="X438" s="36">
        <f>4.5/8</f>
        <v>0.5625</v>
      </c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 t="s">
        <v>38</v>
      </c>
      <c r="AL438" s="36">
        <f>4.5/8</f>
        <v>0.5625</v>
      </c>
      <c r="AM438" s="36" t="s">
        <v>39</v>
      </c>
      <c r="AN438" s="36">
        <f>5/8</f>
        <v>0.625</v>
      </c>
      <c r="AO438" s="36"/>
      <c r="AP438" s="36"/>
      <c r="AQ438" s="36" t="s">
        <v>38</v>
      </c>
      <c r="AR438" s="36">
        <f>3/8</f>
        <v>0.375</v>
      </c>
      <c r="AS438" s="36" t="s">
        <v>39</v>
      </c>
      <c r="AT438" s="36">
        <f>11/8</f>
        <v>1.375</v>
      </c>
      <c r="AU438" s="36"/>
      <c r="AV438" s="36"/>
      <c r="AW438" s="36" t="s">
        <v>38</v>
      </c>
      <c r="AX438" s="36">
        <f>7.5/8</f>
        <v>0.9375</v>
      </c>
      <c r="AY438" s="36" t="s">
        <v>39</v>
      </c>
      <c r="AZ438" s="36">
        <f>5.5/8</f>
        <v>0.6875</v>
      </c>
      <c r="BA438" s="36"/>
      <c r="BB438" s="36"/>
      <c r="BC438" s="36" t="s">
        <v>38</v>
      </c>
      <c r="BD438" s="36">
        <f>3.5/8</f>
        <v>0.4375</v>
      </c>
      <c r="BE438" s="26" t="s">
        <v>39</v>
      </c>
      <c r="BF438" s="26" t="s">
        <v>46</v>
      </c>
      <c r="BG438" s="37">
        <v>2</v>
      </c>
      <c r="BH438" s="26">
        <v>6</v>
      </c>
      <c r="BI438" s="26">
        <v>1</v>
      </c>
      <c r="BJ438" s="26">
        <v>4</v>
      </c>
      <c r="BK438" s="26"/>
      <c r="BL438" s="26"/>
      <c r="BM438" s="26"/>
      <c r="BN438" s="26"/>
      <c r="BO438" s="37">
        <f t="shared" si="34"/>
        <v>4</v>
      </c>
      <c r="BP438" s="56">
        <f t="shared" si="35"/>
        <v>10</v>
      </c>
      <c r="BQ438" s="56">
        <f t="shared" si="36"/>
        <v>0</v>
      </c>
      <c r="BR438" s="57">
        <f t="shared" si="37"/>
        <v>0</v>
      </c>
      <c r="BS438" s="38"/>
      <c r="BT438" s="38"/>
      <c r="BU438" s="26">
        <v>1</v>
      </c>
      <c r="BV438" s="26"/>
      <c r="BW438" s="39">
        <f t="shared" si="38"/>
        <v>14</v>
      </c>
      <c r="BX438" s="78">
        <v>2</v>
      </c>
      <c r="BY438" s="63">
        <v>1</v>
      </c>
      <c r="CB438" s="7"/>
      <c r="CC438" s="7"/>
    </row>
    <row r="439" spans="1:81" ht="16" x14ac:dyDescent="0.2">
      <c r="A439" s="109" t="s">
        <v>304</v>
      </c>
      <c r="B439" s="26">
        <v>41</v>
      </c>
      <c r="C439" s="109" t="s">
        <v>162</v>
      </c>
      <c r="D439" s="26">
        <v>2</v>
      </c>
      <c r="E439" s="26">
        <v>2</v>
      </c>
      <c r="F439" s="26">
        <v>2</v>
      </c>
      <c r="G439" s="26" t="s">
        <v>51</v>
      </c>
      <c r="H439" s="26">
        <v>4</v>
      </c>
      <c r="I439" s="26" t="s">
        <v>51</v>
      </c>
      <c r="J439" s="26" t="s">
        <v>41</v>
      </c>
      <c r="K439" s="26"/>
      <c r="L439" s="26">
        <v>5</v>
      </c>
      <c r="M439" s="40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 t="s">
        <v>38</v>
      </c>
      <c r="AD439" s="36">
        <f>12/10</f>
        <v>1.2</v>
      </c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 t="s">
        <v>39</v>
      </c>
      <c r="BD439" s="36">
        <f>12/10</f>
        <v>1.2</v>
      </c>
      <c r="BE439" s="26"/>
      <c r="BF439" s="26"/>
      <c r="BG439" s="37">
        <v>1</v>
      </c>
      <c r="BH439" s="26"/>
      <c r="BI439" s="26">
        <v>1</v>
      </c>
      <c r="BJ439" s="26"/>
      <c r="BK439" s="26"/>
      <c r="BL439" s="26"/>
      <c r="BM439" s="26"/>
      <c r="BN439" s="26"/>
      <c r="BO439" s="37">
        <f t="shared" si="34"/>
        <v>2</v>
      </c>
      <c r="BP439" s="56">
        <f t="shared" si="35"/>
        <v>0</v>
      </c>
      <c r="BQ439" s="56">
        <f t="shared" si="36"/>
        <v>0</v>
      </c>
      <c r="BR439" s="57">
        <f t="shared" si="37"/>
        <v>0</v>
      </c>
      <c r="BS439" s="38"/>
      <c r="BT439" s="38"/>
      <c r="BU439" s="26"/>
      <c r="BV439" s="26"/>
      <c r="BW439" s="39">
        <f t="shared" si="38"/>
        <v>2</v>
      </c>
      <c r="BX439" s="78">
        <v>1</v>
      </c>
      <c r="BY439" s="63">
        <v>10</v>
      </c>
      <c r="BZ439" s="7"/>
      <c r="CA439" s="8"/>
      <c r="CB439" s="7"/>
      <c r="CC439" s="7"/>
    </row>
    <row r="440" spans="1:81" ht="16" x14ac:dyDescent="0.2">
      <c r="A440" s="109" t="s">
        <v>304</v>
      </c>
      <c r="B440" s="26">
        <v>41</v>
      </c>
      <c r="C440" s="109" t="s">
        <v>162</v>
      </c>
      <c r="D440" s="26">
        <v>3</v>
      </c>
      <c r="E440" s="26">
        <v>2</v>
      </c>
      <c r="F440" s="26">
        <v>2</v>
      </c>
      <c r="G440" s="26" t="s">
        <v>51</v>
      </c>
      <c r="H440" s="26">
        <v>4</v>
      </c>
      <c r="I440" s="26" t="s">
        <v>51</v>
      </c>
      <c r="J440" s="26" t="s">
        <v>41</v>
      </c>
      <c r="K440" s="26"/>
      <c r="L440" s="26">
        <v>5</v>
      </c>
      <c r="M440" s="40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 t="s">
        <v>39</v>
      </c>
      <c r="AJ440" s="36">
        <f>8/9</f>
        <v>0.88888888888888884</v>
      </c>
      <c r="AK440" s="36"/>
      <c r="AL440" s="36"/>
      <c r="AM440" s="36" t="s">
        <v>39</v>
      </c>
      <c r="AN440" s="36">
        <f>8.5/9</f>
        <v>0.94444444444444442</v>
      </c>
      <c r="AO440" s="36" t="s">
        <v>39</v>
      </c>
      <c r="AP440" s="36">
        <f>8.5/9</f>
        <v>0.94444444444444442</v>
      </c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26"/>
      <c r="BF440" s="26"/>
      <c r="BG440" s="39"/>
      <c r="BH440" s="38"/>
      <c r="BI440" s="38">
        <v>3</v>
      </c>
      <c r="BJ440" s="38"/>
      <c r="BK440" s="38"/>
      <c r="BL440" s="38"/>
      <c r="BM440" s="38"/>
      <c r="BN440" s="38"/>
      <c r="BO440" s="37">
        <f t="shared" si="34"/>
        <v>3</v>
      </c>
      <c r="BP440" s="56">
        <f t="shared" si="35"/>
        <v>0</v>
      </c>
      <c r="BQ440" s="56">
        <f t="shared" si="36"/>
        <v>0</v>
      </c>
      <c r="BR440" s="57">
        <f t="shared" si="37"/>
        <v>0</v>
      </c>
      <c r="BS440" s="38"/>
      <c r="BT440" s="38"/>
      <c r="BU440" s="26"/>
      <c r="BV440" s="26"/>
      <c r="BW440" s="39">
        <f t="shared" si="38"/>
        <v>3</v>
      </c>
      <c r="BX440" s="78">
        <v>1</v>
      </c>
      <c r="BY440" s="63">
        <v>10</v>
      </c>
      <c r="BZ440" s="7"/>
      <c r="CA440" s="8"/>
      <c r="CB440" s="7"/>
      <c r="CC440" s="7"/>
    </row>
    <row r="441" spans="1:81" ht="16" x14ac:dyDescent="0.2">
      <c r="A441" s="109" t="s">
        <v>304</v>
      </c>
      <c r="B441" s="26">
        <v>42</v>
      </c>
      <c r="C441" s="109" t="s">
        <v>163</v>
      </c>
      <c r="D441" s="38">
        <v>2</v>
      </c>
      <c r="E441" s="38">
        <v>2</v>
      </c>
      <c r="F441" s="38">
        <v>2</v>
      </c>
      <c r="G441" s="38" t="s">
        <v>51</v>
      </c>
      <c r="H441" s="38">
        <v>4</v>
      </c>
      <c r="I441" s="38" t="s">
        <v>51</v>
      </c>
      <c r="J441" s="38" t="s">
        <v>64</v>
      </c>
      <c r="K441" s="38"/>
      <c r="L441" s="38">
        <v>6</v>
      </c>
      <c r="M441" s="40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 t="s">
        <v>38</v>
      </c>
      <c r="AL441" s="36">
        <f>16/16</f>
        <v>1</v>
      </c>
      <c r="AM441" s="36"/>
      <c r="AN441" s="36"/>
      <c r="AO441" s="36"/>
      <c r="AP441" s="36"/>
      <c r="AQ441" s="36" t="s">
        <v>38</v>
      </c>
      <c r="AR441" s="36">
        <f>15/16</f>
        <v>0.9375</v>
      </c>
      <c r="AS441" s="36"/>
      <c r="AT441" s="36"/>
      <c r="AU441" s="36"/>
      <c r="AV441" s="36"/>
      <c r="AW441" s="36" t="s">
        <v>38</v>
      </c>
      <c r="AX441" s="36">
        <f>30.5/16</f>
        <v>1.90625</v>
      </c>
      <c r="AY441" s="36"/>
      <c r="AZ441" s="36"/>
      <c r="BA441" s="36"/>
      <c r="BB441" s="36"/>
      <c r="BC441" s="36" t="s">
        <v>38</v>
      </c>
      <c r="BD441" s="36">
        <f>14/16</f>
        <v>0.875</v>
      </c>
      <c r="BE441" s="38"/>
      <c r="BF441" s="38"/>
      <c r="BG441" s="39">
        <v>4</v>
      </c>
      <c r="BH441" s="38"/>
      <c r="BI441" s="38"/>
      <c r="BJ441" s="38"/>
      <c r="BK441" s="38"/>
      <c r="BL441" s="38"/>
      <c r="BM441" s="38"/>
      <c r="BN441" s="38"/>
      <c r="BO441" s="37">
        <f t="shared" si="34"/>
        <v>4</v>
      </c>
      <c r="BP441" s="56">
        <f t="shared" si="35"/>
        <v>0</v>
      </c>
      <c r="BQ441" s="56">
        <f t="shared" si="36"/>
        <v>0</v>
      </c>
      <c r="BR441" s="57">
        <f t="shared" si="37"/>
        <v>0</v>
      </c>
      <c r="BS441" s="38"/>
      <c r="BT441" s="38"/>
      <c r="BU441" s="26"/>
      <c r="BV441" s="26"/>
      <c r="BW441" s="39">
        <f t="shared" si="38"/>
        <v>4</v>
      </c>
      <c r="BX441" s="78">
        <v>1</v>
      </c>
      <c r="BY441" s="64">
        <v>6</v>
      </c>
      <c r="BZ441" s="17"/>
      <c r="CA441" s="20"/>
      <c r="CB441" s="7"/>
      <c r="CC441" s="7"/>
    </row>
    <row r="442" spans="1:81" ht="16" x14ac:dyDescent="0.2">
      <c r="A442" s="109" t="s">
        <v>304</v>
      </c>
      <c r="B442" s="26">
        <v>42</v>
      </c>
      <c r="C442" s="109" t="s">
        <v>163</v>
      </c>
      <c r="D442" s="38">
        <v>3</v>
      </c>
      <c r="E442" s="38">
        <v>2</v>
      </c>
      <c r="F442" s="38">
        <v>2</v>
      </c>
      <c r="G442" s="38" t="s">
        <v>51</v>
      </c>
      <c r="H442" s="38">
        <v>4</v>
      </c>
      <c r="I442" s="38" t="s">
        <v>51</v>
      </c>
      <c r="J442" s="38" t="s">
        <v>65</v>
      </c>
      <c r="K442" s="38"/>
      <c r="L442" s="38">
        <v>5</v>
      </c>
      <c r="M442" s="40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 t="s">
        <v>38</v>
      </c>
      <c r="AB442" s="36">
        <f>16/16</f>
        <v>1</v>
      </c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8"/>
      <c r="BF442" s="38"/>
      <c r="BG442" s="43">
        <v>1</v>
      </c>
      <c r="BO442" s="37">
        <f t="shared" si="34"/>
        <v>1</v>
      </c>
      <c r="BP442" s="56">
        <f t="shared" si="35"/>
        <v>0</v>
      </c>
      <c r="BQ442" s="56">
        <f t="shared" si="36"/>
        <v>0</v>
      </c>
      <c r="BR442" s="57">
        <f t="shared" si="37"/>
        <v>0</v>
      </c>
      <c r="BS442" s="38"/>
      <c r="BT442" s="38"/>
      <c r="BU442" s="26"/>
      <c r="BV442" s="26"/>
      <c r="BW442" s="39">
        <f t="shared" si="38"/>
        <v>1</v>
      </c>
      <c r="BX442" s="78">
        <v>1</v>
      </c>
      <c r="BY442" s="63">
        <v>11</v>
      </c>
      <c r="BZ442" s="7"/>
      <c r="CA442" s="8"/>
      <c r="CB442" s="7"/>
      <c r="CC442" s="7"/>
    </row>
    <row r="443" spans="1:81" ht="16" x14ac:dyDescent="0.2">
      <c r="A443" s="109" t="s">
        <v>304</v>
      </c>
      <c r="B443" s="26">
        <v>42</v>
      </c>
      <c r="C443" s="109" t="s">
        <v>163</v>
      </c>
      <c r="D443" s="38">
        <v>4</v>
      </c>
      <c r="E443" s="38">
        <v>2</v>
      </c>
      <c r="F443" s="38">
        <v>2</v>
      </c>
      <c r="G443" s="38" t="s">
        <v>51</v>
      </c>
      <c r="H443" s="38">
        <v>4</v>
      </c>
      <c r="I443" s="38" t="s">
        <v>51</v>
      </c>
      <c r="J443" s="38" t="s">
        <v>41</v>
      </c>
      <c r="K443" s="38"/>
      <c r="L443" s="38">
        <v>5</v>
      </c>
      <c r="M443" s="40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 t="s">
        <v>38</v>
      </c>
      <c r="AD443" s="36">
        <f>14.5/16</f>
        <v>0.90625</v>
      </c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8"/>
      <c r="BF443" s="38"/>
      <c r="BG443" s="43">
        <v>1</v>
      </c>
      <c r="BO443" s="37">
        <f t="shared" si="34"/>
        <v>1</v>
      </c>
      <c r="BP443" s="56">
        <f t="shared" si="35"/>
        <v>0</v>
      </c>
      <c r="BQ443" s="56">
        <f t="shared" si="36"/>
        <v>0</v>
      </c>
      <c r="BR443" s="57">
        <f t="shared" si="37"/>
        <v>0</v>
      </c>
      <c r="BS443" s="38"/>
      <c r="BT443" s="38"/>
      <c r="BU443" s="26"/>
      <c r="BV443" s="26"/>
      <c r="BW443" s="39">
        <f t="shared" si="38"/>
        <v>1</v>
      </c>
      <c r="BX443" s="78">
        <v>1</v>
      </c>
      <c r="BY443" s="63">
        <v>10</v>
      </c>
      <c r="BZ443" s="7"/>
      <c r="CA443" s="19"/>
      <c r="CB443" s="7"/>
      <c r="CC443" s="7"/>
    </row>
    <row r="444" spans="1:81" ht="16" x14ac:dyDescent="0.2">
      <c r="A444" s="109" t="s">
        <v>304</v>
      </c>
      <c r="B444" s="26">
        <v>42</v>
      </c>
      <c r="C444" s="109" t="s">
        <v>163</v>
      </c>
      <c r="D444" s="38">
        <v>6</v>
      </c>
      <c r="E444" s="38">
        <v>2</v>
      </c>
      <c r="F444" s="38">
        <v>2</v>
      </c>
      <c r="G444" s="38" t="s">
        <v>51</v>
      </c>
      <c r="H444" s="38">
        <v>4</v>
      </c>
      <c r="I444" s="38" t="s">
        <v>51</v>
      </c>
      <c r="J444" s="38" t="s">
        <v>69</v>
      </c>
      <c r="K444" s="38"/>
      <c r="L444" s="38">
        <v>5</v>
      </c>
      <c r="M444" s="40"/>
      <c r="N444" s="36"/>
      <c r="O444" s="36"/>
      <c r="P444" s="36"/>
      <c r="Q444" s="36"/>
      <c r="R444" s="36"/>
      <c r="S444" s="36"/>
      <c r="T444" s="36"/>
      <c r="U444" s="36" t="s">
        <v>57</v>
      </c>
      <c r="V444" s="36">
        <f>5/16</f>
        <v>0.3125</v>
      </c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8"/>
      <c r="BF444" s="38"/>
      <c r="BG444" s="43"/>
      <c r="BN444" s="41">
        <v>1</v>
      </c>
      <c r="BO444" s="37">
        <f t="shared" si="34"/>
        <v>0</v>
      </c>
      <c r="BP444" s="56">
        <f t="shared" si="35"/>
        <v>0</v>
      </c>
      <c r="BQ444" s="56">
        <f t="shared" si="36"/>
        <v>0</v>
      </c>
      <c r="BR444" s="57">
        <f t="shared" si="37"/>
        <v>1</v>
      </c>
      <c r="BS444" s="38"/>
      <c r="BT444" s="38"/>
      <c r="BU444" s="26"/>
      <c r="BV444" s="26"/>
      <c r="BW444" s="39">
        <f t="shared" si="38"/>
        <v>1</v>
      </c>
      <c r="BX444" s="78">
        <v>4</v>
      </c>
      <c r="BY444" s="63">
        <v>12</v>
      </c>
      <c r="BZ444" s="7"/>
      <c r="CA444" s="19"/>
      <c r="CB444" s="7"/>
      <c r="CC444" s="7"/>
    </row>
    <row r="445" spans="1:81" x14ac:dyDescent="0.2">
      <c r="A445" s="109" t="s">
        <v>304</v>
      </c>
      <c r="B445" s="26">
        <v>42</v>
      </c>
      <c r="C445" s="109" t="s">
        <v>163</v>
      </c>
      <c r="D445" s="38">
        <v>9</v>
      </c>
      <c r="E445" s="38">
        <v>2</v>
      </c>
      <c r="F445" s="38">
        <v>2</v>
      </c>
      <c r="G445" s="38" t="s">
        <v>51</v>
      </c>
      <c r="H445" s="38">
        <v>4</v>
      </c>
      <c r="I445" s="38" t="s">
        <v>51</v>
      </c>
      <c r="J445" s="38"/>
      <c r="K445" s="38" t="s">
        <v>63</v>
      </c>
      <c r="L445" s="38">
        <v>6</v>
      </c>
      <c r="M445" s="40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8"/>
      <c r="BF445" s="38"/>
      <c r="BG445" s="43"/>
      <c r="BO445" s="37">
        <f t="shared" ref="BO445:BO508" si="39">BG445+BI445+BU445</f>
        <v>0</v>
      </c>
      <c r="BP445" s="56">
        <f t="shared" ref="BP445:BP508" si="40">BH445+BJ445</f>
        <v>0</v>
      </c>
      <c r="BQ445" s="56">
        <f t="shared" ref="BQ445:BQ508" si="41">BK445+BM445+BV445+BS445</f>
        <v>0</v>
      </c>
      <c r="BR445" s="57">
        <f t="shared" ref="BR445:BR508" si="42">BL445+BN445+BT445</f>
        <v>0</v>
      </c>
      <c r="BS445" s="38"/>
      <c r="BT445" s="38"/>
      <c r="BU445" s="26"/>
      <c r="BV445" s="26"/>
      <c r="BW445" s="39">
        <f t="shared" ref="BW445:BW508" si="43">SUM(BO445:BR445)</f>
        <v>0</v>
      </c>
      <c r="BX445" s="78">
        <v>0</v>
      </c>
      <c r="BY445" s="63">
        <v>2</v>
      </c>
      <c r="BZ445" s="7"/>
      <c r="CA445" s="19"/>
      <c r="CB445" s="7"/>
      <c r="CC445" s="7"/>
    </row>
    <row r="446" spans="1:81" ht="16" x14ac:dyDescent="0.2">
      <c r="A446" s="125" t="s">
        <v>305</v>
      </c>
      <c r="B446" s="26">
        <v>43</v>
      </c>
      <c r="C446" s="109" t="s">
        <v>164</v>
      </c>
      <c r="D446" s="26">
        <v>1</v>
      </c>
      <c r="E446" s="26">
        <v>2</v>
      </c>
      <c r="F446" s="26">
        <v>2</v>
      </c>
      <c r="G446" s="26" t="s">
        <v>51</v>
      </c>
      <c r="H446" s="26">
        <v>3</v>
      </c>
      <c r="I446" s="26" t="s">
        <v>54</v>
      </c>
      <c r="J446" s="26" t="s">
        <v>60</v>
      </c>
      <c r="K446" s="26"/>
      <c r="L446" s="26">
        <v>6</v>
      </c>
      <c r="M446" s="40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 t="s">
        <v>39</v>
      </c>
      <c r="AH446" s="36">
        <f>5.5/5.5</f>
        <v>1</v>
      </c>
      <c r="AI446" s="36" t="s">
        <v>38</v>
      </c>
      <c r="AJ446" s="36">
        <f>5.5/5.5</f>
        <v>1</v>
      </c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26"/>
      <c r="BF446" s="26"/>
      <c r="BG446" s="40">
        <v>1</v>
      </c>
      <c r="BH446" s="36"/>
      <c r="BI446" s="36">
        <v>1</v>
      </c>
      <c r="BJ446" s="36"/>
      <c r="BK446" s="36"/>
      <c r="BL446" s="36"/>
      <c r="BM446" s="36"/>
      <c r="BN446" s="36"/>
      <c r="BO446" s="37">
        <f t="shared" si="39"/>
        <v>2</v>
      </c>
      <c r="BP446" s="56">
        <f t="shared" si="40"/>
        <v>0</v>
      </c>
      <c r="BQ446" s="56">
        <f t="shared" si="41"/>
        <v>0</v>
      </c>
      <c r="BR446" s="57">
        <f t="shared" si="42"/>
        <v>0</v>
      </c>
      <c r="BS446" s="38"/>
      <c r="BT446" s="38"/>
      <c r="BU446" s="26"/>
      <c r="BV446" s="26"/>
      <c r="BW446" s="39">
        <f t="shared" si="43"/>
        <v>2</v>
      </c>
      <c r="BX446" s="78">
        <v>1</v>
      </c>
      <c r="BY446" s="65">
        <v>7</v>
      </c>
      <c r="BZ446" s="16"/>
      <c r="CA446" s="21"/>
      <c r="CB446" s="16"/>
      <c r="CC446" s="16"/>
    </row>
    <row r="447" spans="1:81" ht="16" x14ac:dyDescent="0.2">
      <c r="A447" s="125" t="s">
        <v>305</v>
      </c>
      <c r="B447" s="26">
        <v>43</v>
      </c>
      <c r="C447" s="109" t="s">
        <v>164</v>
      </c>
      <c r="D447" s="26">
        <v>2</v>
      </c>
      <c r="E447" s="26">
        <v>2</v>
      </c>
      <c r="F447" s="26">
        <v>2</v>
      </c>
      <c r="G447" s="26" t="s">
        <v>51</v>
      </c>
      <c r="H447" s="26">
        <v>4</v>
      </c>
      <c r="I447" s="26" t="s">
        <v>51</v>
      </c>
      <c r="J447" s="26" t="s">
        <v>60</v>
      </c>
      <c r="K447" s="26"/>
      <c r="L447" s="26">
        <v>6</v>
      </c>
      <c r="M447" s="40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 t="s">
        <v>38</v>
      </c>
      <c r="AJ447" s="36">
        <f>10.5/8</f>
        <v>1.3125</v>
      </c>
      <c r="AK447" s="36"/>
      <c r="AL447" s="36"/>
      <c r="AM447" s="36" t="s">
        <v>39</v>
      </c>
      <c r="AN447" s="36">
        <f>8/8</f>
        <v>1</v>
      </c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26" t="s">
        <v>39</v>
      </c>
      <c r="BF447" s="26" t="s">
        <v>46</v>
      </c>
      <c r="BG447" s="40">
        <v>1</v>
      </c>
      <c r="BH447" s="36"/>
      <c r="BI447" s="36">
        <v>1</v>
      </c>
      <c r="BJ447" s="36"/>
      <c r="BK447" s="36"/>
      <c r="BL447" s="36"/>
      <c r="BM447" s="36"/>
      <c r="BN447" s="36"/>
      <c r="BO447" s="37">
        <f t="shared" si="39"/>
        <v>3</v>
      </c>
      <c r="BP447" s="56">
        <f t="shared" si="40"/>
        <v>0</v>
      </c>
      <c r="BQ447" s="56">
        <f t="shared" si="41"/>
        <v>0</v>
      </c>
      <c r="BR447" s="57">
        <f t="shared" si="42"/>
        <v>0</v>
      </c>
      <c r="BS447" s="38"/>
      <c r="BT447" s="38"/>
      <c r="BU447" s="26">
        <v>1</v>
      </c>
      <c r="BV447" s="26"/>
      <c r="BW447" s="39">
        <f t="shared" si="43"/>
        <v>3</v>
      </c>
      <c r="BX447" s="78">
        <v>1</v>
      </c>
      <c r="BY447" s="65">
        <v>7</v>
      </c>
      <c r="BZ447" s="16"/>
      <c r="CA447" s="21"/>
      <c r="CB447" s="16"/>
      <c r="CC447" s="16"/>
    </row>
    <row r="448" spans="1:81" ht="16" x14ac:dyDescent="0.2">
      <c r="A448" s="109" t="s">
        <v>305</v>
      </c>
      <c r="B448" s="26">
        <v>43</v>
      </c>
      <c r="C448" s="109" t="s">
        <v>164</v>
      </c>
      <c r="D448" s="26">
        <v>3</v>
      </c>
      <c r="E448" s="26">
        <v>2</v>
      </c>
      <c r="F448" s="26">
        <v>4</v>
      </c>
      <c r="G448" s="26" t="s">
        <v>50</v>
      </c>
      <c r="H448" s="26"/>
      <c r="I448" s="26"/>
      <c r="J448" s="26"/>
      <c r="K448" s="26">
        <v>8</v>
      </c>
      <c r="L448" s="26">
        <v>6</v>
      </c>
      <c r="M448" s="40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 t="s">
        <v>39</v>
      </c>
      <c r="AR448" s="36">
        <v>1</v>
      </c>
      <c r="AS448" s="36" t="s">
        <v>38</v>
      </c>
      <c r="AT448" s="36">
        <v>1</v>
      </c>
      <c r="AU448" s="36"/>
      <c r="AV448" s="36"/>
      <c r="AW448" s="36"/>
      <c r="AX448" s="36"/>
      <c r="AY448" s="36"/>
      <c r="AZ448" s="36"/>
      <c r="BA448" s="36" t="s">
        <v>39</v>
      </c>
      <c r="BB448" s="36">
        <v>0.44</v>
      </c>
      <c r="BC448" s="36"/>
      <c r="BD448" s="36"/>
      <c r="BE448" s="26"/>
      <c r="BF448" s="26"/>
      <c r="BG448" s="37">
        <v>1</v>
      </c>
      <c r="BH448" s="26"/>
      <c r="BI448" s="26">
        <v>1</v>
      </c>
      <c r="BJ448" s="26">
        <v>1</v>
      </c>
      <c r="BK448" s="26"/>
      <c r="BL448" s="26"/>
      <c r="BM448" s="26"/>
      <c r="BO448" s="37">
        <f t="shared" si="39"/>
        <v>2</v>
      </c>
      <c r="BP448" s="56">
        <f t="shared" si="40"/>
        <v>1</v>
      </c>
      <c r="BQ448" s="56">
        <f t="shared" si="41"/>
        <v>0</v>
      </c>
      <c r="BR448" s="57">
        <f t="shared" si="42"/>
        <v>0</v>
      </c>
      <c r="BS448" s="38"/>
      <c r="BT448" s="38"/>
      <c r="BU448" s="26"/>
      <c r="BV448" s="26"/>
      <c r="BW448" s="39">
        <f t="shared" si="43"/>
        <v>3</v>
      </c>
      <c r="BX448" s="78">
        <v>2</v>
      </c>
      <c r="BY448" s="63">
        <v>1</v>
      </c>
    </row>
    <row r="449" spans="1:81" ht="16" x14ac:dyDescent="0.2">
      <c r="A449" s="109" t="s">
        <v>305</v>
      </c>
      <c r="B449" s="26">
        <v>43</v>
      </c>
      <c r="C449" s="109" t="s">
        <v>164</v>
      </c>
      <c r="D449" s="26">
        <v>4</v>
      </c>
      <c r="E449" s="26">
        <v>2</v>
      </c>
      <c r="F449" s="26">
        <v>2</v>
      </c>
      <c r="G449" s="26" t="s">
        <v>51</v>
      </c>
      <c r="H449" s="26">
        <v>4</v>
      </c>
      <c r="I449" s="26" t="s">
        <v>51</v>
      </c>
      <c r="J449" s="26" t="s">
        <v>41</v>
      </c>
      <c r="K449" s="26"/>
      <c r="L449" s="26">
        <v>5</v>
      </c>
      <c r="M449" s="40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 t="s">
        <v>39</v>
      </c>
      <c r="AB449" s="36">
        <f>8/8</f>
        <v>1</v>
      </c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 t="s">
        <v>38</v>
      </c>
      <c r="AP449" s="36">
        <f>7.5/8</f>
        <v>0.9375</v>
      </c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26"/>
      <c r="BF449" s="26"/>
      <c r="BG449" s="37">
        <v>1</v>
      </c>
      <c r="BH449" s="26"/>
      <c r="BI449" s="26">
        <v>1</v>
      </c>
      <c r="BJ449" s="26"/>
      <c r="BK449" s="26"/>
      <c r="BL449" s="26"/>
      <c r="BM449" s="26"/>
      <c r="BO449" s="37">
        <f t="shared" si="39"/>
        <v>2</v>
      </c>
      <c r="BP449" s="56">
        <f t="shared" si="40"/>
        <v>0</v>
      </c>
      <c r="BQ449" s="56">
        <f t="shared" si="41"/>
        <v>0</v>
      </c>
      <c r="BR449" s="57">
        <f t="shared" si="42"/>
        <v>0</v>
      </c>
      <c r="BS449" s="38"/>
      <c r="BT449" s="38"/>
      <c r="BU449" s="26"/>
      <c r="BV449" s="26"/>
      <c r="BW449" s="39">
        <f t="shared" si="43"/>
        <v>2</v>
      </c>
      <c r="BX449" s="78">
        <v>1</v>
      </c>
      <c r="BY449" s="63">
        <v>10</v>
      </c>
    </row>
    <row r="450" spans="1:81" ht="16" x14ac:dyDescent="0.2">
      <c r="A450" s="109" t="s">
        <v>305</v>
      </c>
      <c r="B450" s="26">
        <v>44</v>
      </c>
      <c r="C450" s="109" t="s">
        <v>165</v>
      </c>
      <c r="D450" s="38">
        <v>1</v>
      </c>
      <c r="E450" s="38">
        <v>2</v>
      </c>
      <c r="F450" s="38">
        <v>2</v>
      </c>
      <c r="G450" s="38" t="s">
        <v>51</v>
      </c>
      <c r="H450" s="38">
        <v>4</v>
      </c>
      <c r="I450" s="38" t="s">
        <v>51</v>
      </c>
      <c r="J450" s="38"/>
      <c r="K450" s="38">
        <v>8</v>
      </c>
      <c r="L450" s="38">
        <v>6</v>
      </c>
      <c r="M450" s="40"/>
      <c r="N450" s="36"/>
      <c r="O450" s="36"/>
      <c r="P450" s="36"/>
      <c r="Q450" s="36"/>
      <c r="R450" s="36"/>
      <c r="S450" s="36"/>
      <c r="T450" s="36"/>
      <c r="U450" s="36"/>
      <c r="V450" s="36"/>
      <c r="W450" s="36" t="s">
        <v>38</v>
      </c>
      <c r="X450" s="36">
        <f>3/7.5</f>
        <v>0.4</v>
      </c>
      <c r="Y450" s="36"/>
      <c r="Z450" s="36"/>
      <c r="AA450" s="36"/>
      <c r="AB450" s="36"/>
      <c r="AC450" s="36" t="s">
        <v>39</v>
      </c>
      <c r="AD450" s="36">
        <f>3.5/7.5</f>
        <v>0.46666666666666667</v>
      </c>
      <c r="AE450" s="36" t="s">
        <v>39</v>
      </c>
      <c r="AF450" s="36">
        <f>7.5/7.5</f>
        <v>1</v>
      </c>
      <c r="AG450" s="36"/>
      <c r="AH450" s="36"/>
      <c r="AI450" s="36" t="s">
        <v>38</v>
      </c>
      <c r="AJ450" s="36">
        <f>3/7.5</f>
        <v>0.4</v>
      </c>
      <c r="AK450" s="36" t="s">
        <v>39</v>
      </c>
      <c r="AL450" s="36">
        <f>4/7.5</f>
        <v>0.53333333333333333</v>
      </c>
      <c r="AM450" s="36"/>
      <c r="AN450" s="36"/>
      <c r="AO450" s="36"/>
      <c r="AP450" s="36"/>
      <c r="AQ450" s="36"/>
      <c r="AR450" s="36"/>
      <c r="AS450" s="36" t="s">
        <v>38</v>
      </c>
      <c r="AT450" s="36">
        <f>7/7.5</f>
        <v>0.93333333333333335</v>
      </c>
      <c r="AU450" s="36"/>
      <c r="AV450" s="36"/>
      <c r="AW450" s="36" t="s">
        <v>39</v>
      </c>
      <c r="AX450" s="36">
        <f>6/7.5</f>
        <v>0.8</v>
      </c>
      <c r="AY450" s="36"/>
      <c r="AZ450" s="36"/>
      <c r="BA450" s="36"/>
      <c r="BB450" s="36"/>
      <c r="BC450" s="36"/>
      <c r="BD450" s="36"/>
      <c r="BE450" s="38"/>
      <c r="BF450" s="38"/>
      <c r="BG450" s="37">
        <v>1</v>
      </c>
      <c r="BH450" s="26">
        <v>2</v>
      </c>
      <c r="BI450" s="26">
        <v>2</v>
      </c>
      <c r="BJ450" s="26">
        <v>2</v>
      </c>
      <c r="BK450" s="26"/>
      <c r="BL450" s="26"/>
      <c r="BM450" s="26"/>
      <c r="BN450" s="26"/>
      <c r="BO450" s="37">
        <f t="shared" si="39"/>
        <v>3</v>
      </c>
      <c r="BP450" s="56">
        <f t="shared" si="40"/>
        <v>4</v>
      </c>
      <c r="BQ450" s="56">
        <f t="shared" si="41"/>
        <v>0</v>
      </c>
      <c r="BR450" s="57">
        <f t="shared" si="42"/>
        <v>0</v>
      </c>
      <c r="BS450" s="38"/>
      <c r="BT450" s="38"/>
      <c r="BU450" s="26"/>
      <c r="BV450" s="26"/>
      <c r="BW450" s="39">
        <f t="shared" si="43"/>
        <v>7</v>
      </c>
      <c r="BX450" s="78">
        <v>2</v>
      </c>
      <c r="BY450" s="63">
        <v>1</v>
      </c>
      <c r="BZ450" s="7"/>
      <c r="CA450" s="8"/>
      <c r="CB450" s="7"/>
      <c r="CC450" s="7"/>
    </row>
    <row r="451" spans="1:81" ht="16" x14ac:dyDescent="0.2">
      <c r="A451" s="109" t="s">
        <v>305</v>
      </c>
      <c r="B451" s="26">
        <v>44</v>
      </c>
      <c r="C451" s="109" t="s">
        <v>165</v>
      </c>
      <c r="D451" s="38">
        <v>3</v>
      </c>
      <c r="E451" s="38">
        <v>2</v>
      </c>
      <c r="F451" s="38">
        <v>4</v>
      </c>
      <c r="G451" s="38" t="s">
        <v>50</v>
      </c>
      <c r="H451" s="38"/>
      <c r="I451" s="38"/>
      <c r="J451" s="38"/>
      <c r="K451" s="38" t="s">
        <v>63</v>
      </c>
      <c r="L451" s="38">
        <v>7</v>
      </c>
      <c r="M451" s="40"/>
      <c r="N451" s="36"/>
      <c r="O451" s="36"/>
      <c r="P451" s="36"/>
      <c r="Q451" s="36"/>
      <c r="R451" s="36"/>
      <c r="S451" s="36"/>
      <c r="T451" s="36"/>
      <c r="U451" s="36" t="s">
        <v>39</v>
      </c>
      <c r="V451" s="36">
        <f>4.5/6</f>
        <v>0.75</v>
      </c>
      <c r="W451" s="36"/>
      <c r="X451" s="36"/>
      <c r="Y451" s="36"/>
      <c r="Z451" s="36"/>
      <c r="AA451" s="36" t="s">
        <v>38</v>
      </c>
      <c r="AB451" s="36">
        <f>6/6</f>
        <v>1</v>
      </c>
      <c r="AC451" s="36"/>
      <c r="AD451" s="36"/>
      <c r="AE451" s="36"/>
      <c r="AF451" s="36"/>
      <c r="AG451" s="36" t="s">
        <v>39</v>
      </c>
      <c r="AH451" s="36">
        <f>6/6</f>
        <v>1</v>
      </c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 t="s">
        <v>39</v>
      </c>
      <c r="BB451" s="36">
        <f>4.5/6</f>
        <v>0.75</v>
      </c>
      <c r="BC451" s="36"/>
      <c r="BD451" s="36"/>
      <c r="BE451" s="38"/>
      <c r="BF451" s="38"/>
      <c r="BG451" s="37">
        <v>1</v>
      </c>
      <c r="BH451" s="26"/>
      <c r="BI451" s="26">
        <v>3</v>
      </c>
      <c r="BJ451" s="26"/>
      <c r="BK451" s="26"/>
      <c r="BL451" s="26"/>
      <c r="BM451" s="26"/>
      <c r="BN451" s="26"/>
      <c r="BO451" s="37">
        <f t="shared" si="39"/>
        <v>4</v>
      </c>
      <c r="BP451" s="56">
        <f t="shared" si="40"/>
        <v>0</v>
      </c>
      <c r="BQ451" s="56">
        <f t="shared" si="41"/>
        <v>0</v>
      </c>
      <c r="BR451" s="57">
        <f t="shared" si="42"/>
        <v>0</v>
      </c>
      <c r="BS451" s="38"/>
      <c r="BT451" s="38"/>
      <c r="BU451" s="26"/>
      <c r="BV451" s="26"/>
      <c r="BW451" s="39">
        <f t="shared" si="43"/>
        <v>4</v>
      </c>
      <c r="BX451" s="78">
        <v>1</v>
      </c>
      <c r="BY451" s="63">
        <v>2</v>
      </c>
      <c r="BZ451" s="7"/>
      <c r="CA451" s="8"/>
      <c r="CB451" s="7"/>
      <c r="CC451" s="7"/>
    </row>
    <row r="452" spans="1:81" ht="16" x14ac:dyDescent="0.2">
      <c r="A452" s="109" t="s">
        <v>305</v>
      </c>
      <c r="B452" s="26">
        <v>44</v>
      </c>
      <c r="C452" s="109" t="s">
        <v>165</v>
      </c>
      <c r="D452" s="38">
        <v>4</v>
      </c>
      <c r="E452" s="38">
        <v>2</v>
      </c>
      <c r="F452" s="38">
        <v>2</v>
      </c>
      <c r="G452" s="38" t="s">
        <v>51</v>
      </c>
      <c r="H452" s="38">
        <v>3</v>
      </c>
      <c r="I452" s="38" t="s">
        <v>54</v>
      </c>
      <c r="J452" s="38"/>
      <c r="K452" s="38">
        <v>5</v>
      </c>
      <c r="L452" s="38">
        <v>7</v>
      </c>
      <c r="M452" s="40"/>
      <c r="N452" s="36"/>
      <c r="O452" s="36"/>
      <c r="P452" s="36"/>
      <c r="Q452" s="36" t="s">
        <v>70</v>
      </c>
      <c r="R452" s="36">
        <f>3.5/7.5</f>
        <v>0.46666666666666667</v>
      </c>
      <c r="S452" s="36"/>
      <c r="T452" s="36"/>
      <c r="U452" s="36"/>
      <c r="V452" s="36"/>
      <c r="W452" s="36"/>
      <c r="X452" s="36"/>
      <c r="Y452" s="36" t="s">
        <v>57</v>
      </c>
      <c r="Z452" s="36">
        <f>3.5/7.5</f>
        <v>0.46666666666666667</v>
      </c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 t="s">
        <v>48</v>
      </c>
      <c r="AZ452" s="36">
        <f>3/7.5</f>
        <v>0.4</v>
      </c>
      <c r="BA452" s="36"/>
      <c r="BB452" s="36"/>
      <c r="BC452" s="36"/>
      <c r="BD452" s="36"/>
      <c r="BE452" s="38"/>
      <c r="BF452" s="38"/>
      <c r="BG452" s="37"/>
      <c r="BH452" s="26"/>
      <c r="BI452" s="26"/>
      <c r="BJ452" s="26"/>
      <c r="BK452" s="26"/>
      <c r="BL452" s="26">
        <v>1</v>
      </c>
      <c r="BM452" s="26"/>
      <c r="BN452" s="26">
        <v>1</v>
      </c>
      <c r="BO452" s="37">
        <f t="shared" si="39"/>
        <v>0</v>
      </c>
      <c r="BP452" s="56">
        <f t="shared" si="40"/>
        <v>0</v>
      </c>
      <c r="BQ452" s="56">
        <f t="shared" si="41"/>
        <v>1</v>
      </c>
      <c r="BR452" s="57">
        <f t="shared" si="42"/>
        <v>2</v>
      </c>
      <c r="BS452" s="38">
        <v>1</v>
      </c>
      <c r="BT452" s="38"/>
      <c r="BU452" s="26"/>
      <c r="BV452" s="26"/>
      <c r="BW452" s="39">
        <f t="shared" si="43"/>
        <v>3</v>
      </c>
      <c r="BX452" s="78">
        <v>4</v>
      </c>
      <c r="BY452" s="63">
        <v>1</v>
      </c>
      <c r="BZ452" s="7"/>
      <c r="CA452" s="8"/>
      <c r="CB452" s="7"/>
      <c r="CC452" s="7"/>
    </row>
    <row r="453" spans="1:81" ht="16" x14ac:dyDescent="0.2">
      <c r="A453" s="109" t="s">
        <v>305</v>
      </c>
      <c r="B453" s="26">
        <v>44</v>
      </c>
      <c r="C453" s="109" t="s">
        <v>165</v>
      </c>
      <c r="D453" s="38">
        <v>5</v>
      </c>
      <c r="E453" s="38">
        <v>2</v>
      </c>
      <c r="F453" s="38">
        <v>2</v>
      </c>
      <c r="G453" s="38" t="s">
        <v>51</v>
      </c>
      <c r="H453" s="38">
        <v>4</v>
      </c>
      <c r="I453" s="38" t="s">
        <v>51</v>
      </c>
      <c r="J453" s="38"/>
      <c r="K453" s="38" t="s">
        <v>63</v>
      </c>
      <c r="L453" s="38">
        <v>7</v>
      </c>
      <c r="M453" s="40"/>
      <c r="N453" s="36"/>
      <c r="O453" s="36"/>
      <c r="P453" s="36"/>
      <c r="Q453" s="36" t="s">
        <v>39</v>
      </c>
      <c r="R453" s="36">
        <f>6/7</f>
        <v>0.8571428571428571</v>
      </c>
      <c r="S453" s="36"/>
      <c r="T453" s="36"/>
      <c r="U453" s="36"/>
      <c r="V453" s="36"/>
      <c r="W453" s="36"/>
      <c r="X453" s="36"/>
      <c r="Y453" s="36"/>
      <c r="Z453" s="36"/>
      <c r="AA453" s="36" t="s">
        <v>39</v>
      </c>
      <c r="AB453" s="36">
        <f>6.5/7</f>
        <v>0.9285714285714286</v>
      </c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8" t="s">
        <v>39</v>
      </c>
      <c r="BF453" s="38" t="s">
        <v>46</v>
      </c>
      <c r="BG453" s="37"/>
      <c r="BH453" s="26"/>
      <c r="BI453" s="26">
        <v>2</v>
      </c>
      <c r="BJ453" s="26"/>
      <c r="BK453" s="26"/>
      <c r="BL453" s="26"/>
      <c r="BM453" s="26"/>
      <c r="BN453" s="26"/>
      <c r="BO453" s="37">
        <f t="shared" si="39"/>
        <v>3</v>
      </c>
      <c r="BP453" s="56">
        <f t="shared" si="40"/>
        <v>0</v>
      </c>
      <c r="BQ453" s="56">
        <f t="shared" si="41"/>
        <v>0</v>
      </c>
      <c r="BR453" s="57">
        <f t="shared" si="42"/>
        <v>0</v>
      </c>
      <c r="BS453" s="38"/>
      <c r="BT453" s="38"/>
      <c r="BU453" s="26">
        <v>1</v>
      </c>
      <c r="BV453" s="26"/>
      <c r="BW453" s="39">
        <f t="shared" si="43"/>
        <v>3</v>
      </c>
      <c r="BX453" s="78">
        <v>1</v>
      </c>
      <c r="BY453" s="63">
        <v>2</v>
      </c>
      <c r="BZ453" s="7"/>
      <c r="CA453" s="8"/>
      <c r="CB453" s="7"/>
      <c r="CC453" s="7"/>
    </row>
    <row r="454" spans="1:81" ht="16" x14ac:dyDescent="0.2">
      <c r="A454" s="109" t="s">
        <v>305</v>
      </c>
      <c r="B454" s="26">
        <v>44</v>
      </c>
      <c r="C454" s="109" t="s">
        <v>165</v>
      </c>
      <c r="D454" s="38">
        <v>6</v>
      </c>
      <c r="E454" s="38">
        <v>2</v>
      </c>
      <c r="F454" s="38">
        <v>2</v>
      </c>
      <c r="G454" s="38" t="s">
        <v>51</v>
      </c>
      <c r="H454" s="38">
        <v>4</v>
      </c>
      <c r="I454" s="38" t="s">
        <v>51</v>
      </c>
      <c r="J454" s="38"/>
      <c r="K454" s="26" t="s">
        <v>47</v>
      </c>
      <c r="L454" s="38">
        <v>7</v>
      </c>
      <c r="M454" s="40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 t="s">
        <v>39</v>
      </c>
      <c r="AD454" s="36">
        <f>7/7</f>
        <v>1</v>
      </c>
      <c r="AE454" s="36"/>
      <c r="AF454" s="36"/>
      <c r="AG454" s="36"/>
      <c r="AH454" s="36"/>
      <c r="AI454" s="36"/>
      <c r="AJ454" s="36"/>
      <c r="AK454" s="36"/>
      <c r="AL454" s="36"/>
      <c r="AM454" s="36" t="s">
        <v>39</v>
      </c>
      <c r="AN454" s="36">
        <f>6.5/7</f>
        <v>0.9285714285714286</v>
      </c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 t="s">
        <v>38</v>
      </c>
      <c r="BB454" s="36">
        <f>7/7</f>
        <v>1</v>
      </c>
      <c r="BC454" s="36" t="s">
        <v>39</v>
      </c>
      <c r="BD454" s="36">
        <f>7/7</f>
        <v>1</v>
      </c>
      <c r="BE454" s="38"/>
      <c r="BF454" s="38"/>
      <c r="BG454" s="37">
        <v>1</v>
      </c>
      <c r="BH454" s="26"/>
      <c r="BI454" s="26">
        <v>3</v>
      </c>
      <c r="BJ454" s="26"/>
      <c r="BK454" s="26"/>
      <c r="BL454" s="26"/>
      <c r="BM454" s="26"/>
      <c r="BN454" s="26"/>
      <c r="BO454" s="37">
        <f t="shared" si="39"/>
        <v>4</v>
      </c>
      <c r="BP454" s="56">
        <f t="shared" si="40"/>
        <v>0</v>
      </c>
      <c r="BQ454" s="56">
        <f t="shared" si="41"/>
        <v>0</v>
      </c>
      <c r="BR454" s="57">
        <f t="shared" si="42"/>
        <v>0</v>
      </c>
      <c r="BS454" s="38"/>
      <c r="BT454" s="38"/>
      <c r="BU454" s="26"/>
      <c r="BV454" s="26"/>
      <c r="BW454" s="39">
        <f t="shared" si="43"/>
        <v>4</v>
      </c>
      <c r="BX454" s="78">
        <v>1</v>
      </c>
      <c r="BY454" s="63">
        <v>3</v>
      </c>
      <c r="BZ454" s="7"/>
      <c r="CA454" s="8"/>
      <c r="CB454" s="7"/>
      <c r="CC454" s="7"/>
    </row>
    <row r="455" spans="1:81" ht="16" x14ac:dyDescent="0.2">
      <c r="A455" s="109" t="s">
        <v>305</v>
      </c>
      <c r="B455" s="26">
        <v>44</v>
      </c>
      <c r="C455" s="109" t="s">
        <v>165</v>
      </c>
      <c r="D455" s="38">
        <v>7</v>
      </c>
      <c r="E455" s="38">
        <v>2</v>
      </c>
      <c r="F455" s="38">
        <v>2</v>
      </c>
      <c r="G455" s="38" t="s">
        <v>51</v>
      </c>
      <c r="H455" s="38">
        <v>4</v>
      </c>
      <c r="I455" s="38" t="s">
        <v>51</v>
      </c>
      <c r="J455" s="38" t="s">
        <v>60</v>
      </c>
      <c r="K455" s="38"/>
      <c r="L455" s="38">
        <v>7</v>
      </c>
      <c r="M455" s="40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 t="s">
        <v>38</v>
      </c>
      <c r="AP455" s="36">
        <f>7.5/8</f>
        <v>0.9375</v>
      </c>
      <c r="AQ455" s="36"/>
      <c r="AR455" s="36"/>
      <c r="AS455" s="36"/>
      <c r="AT455" s="36"/>
      <c r="AU455" s="36"/>
      <c r="AV455" s="36"/>
      <c r="AW455" s="36" t="s">
        <v>39</v>
      </c>
      <c r="AX455" s="36">
        <f>6.5/8</f>
        <v>0.8125</v>
      </c>
      <c r="AY455" s="36"/>
      <c r="AZ455" s="36"/>
      <c r="BA455" s="36"/>
      <c r="BB455" s="36"/>
      <c r="BC455" s="36"/>
      <c r="BD455" s="36"/>
      <c r="BE455" s="38"/>
      <c r="BF455" s="38"/>
      <c r="BG455" s="39">
        <v>1</v>
      </c>
      <c r="BH455" s="38"/>
      <c r="BI455" s="38">
        <v>1</v>
      </c>
      <c r="BJ455" s="38"/>
      <c r="BK455" s="38"/>
      <c r="BL455" s="38"/>
      <c r="BM455" s="38"/>
      <c r="BN455" s="38"/>
      <c r="BO455" s="37">
        <f t="shared" si="39"/>
        <v>2</v>
      </c>
      <c r="BP455" s="56">
        <f t="shared" si="40"/>
        <v>0</v>
      </c>
      <c r="BQ455" s="56">
        <f t="shared" si="41"/>
        <v>0</v>
      </c>
      <c r="BR455" s="57">
        <f t="shared" si="42"/>
        <v>0</v>
      </c>
      <c r="BS455" s="38"/>
      <c r="BT455" s="38"/>
      <c r="BU455" s="26"/>
      <c r="BV455" s="26"/>
      <c r="BW455" s="39">
        <f t="shared" si="43"/>
        <v>2</v>
      </c>
      <c r="BX455" s="78">
        <v>1</v>
      </c>
      <c r="BY455" s="63">
        <v>7</v>
      </c>
      <c r="BZ455" s="7"/>
      <c r="CA455" s="8"/>
      <c r="CB455" s="7"/>
      <c r="CC455" s="7"/>
    </row>
    <row r="456" spans="1:81" ht="16" x14ac:dyDescent="0.2">
      <c r="A456" s="109" t="s">
        <v>305</v>
      </c>
      <c r="B456" s="26">
        <v>44</v>
      </c>
      <c r="C456" s="109" t="s">
        <v>166</v>
      </c>
      <c r="D456" s="38">
        <v>1</v>
      </c>
      <c r="E456" s="38">
        <v>2</v>
      </c>
      <c r="F456" s="38">
        <v>2</v>
      </c>
      <c r="G456" s="38" t="s">
        <v>51</v>
      </c>
      <c r="H456" s="38">
        <v>4</v>
      </c>
      <c r="I456" s="38" t="s">
        <v>51</v>
      </c>
      <c r="J456" s="38" t="s">
        <v>42</v>
      </c>
      <c r="K456" s="38"/>
      <c r="L456" s="38">
        <v>6</v>
      </c>
      <c r="M456" s="40"/>
      <c r="N456" s="36"/>
      <c r="O456" s="36" t="s">
        <v>39</v>
      </c>
      <c r="P456" s="36">
        <f>16/16</f>
        <v>1</v>
      </c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 t="s">
        <v>38</v>
      </c>
      <c r="AB456" s="36">
        <f>16/16</f>
        <v>1</v>
      </c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 t="s">
        <v>39</v>
      </c>
      <c r="AX456" s="36">
        <f>12/16</f>
        <v>0.75</v>
      </c>
      <c r="AY456" s="36"/>
      <c r="AZ456" s="36"/>
      <c r="BA456" s="36"/>
      <c r="BB456" s="36"/>
      <c r="BC456" s="36"/>
      <c r="BD456" s="36"/>
      <c r="BE456" s="38"/>
      <c r="BF456" s="38"/>
      <c r="BG456" s="39">
        <v>1</v>
      </c>
      <c r="BH456" s="38"/>
      <c r="BI456" s="38">
        <v>2</v>
      </c>
      <c r="BJ456" s="38"/>
      <c r="BK456" s="38"/>
      <c r="BL456" s="38"/>
      <c r="BM456" s="38"/>
      <c r="BN456" s="38"/>
      <c r="BO456" s="37">
        <f t="shared" si="39"/>
        <v>3</v>
      </c>
      <c r="BP456" s="56">
        <f t="shared" si="40"/>
        <v>0</v>
      </c>
      <c r="BQ456" s="56">
        <f t="shared" si="41"/>
        <v>0</v>
      </c>
      <c r="BR456" s="57">
        <f t="shared" si="42"/>
        <v>0</v>
      </c>
      <c r="BS456" s="38"/>
      <c r="BT456" s="38"/>
      <c r="BU456" s="26"/>
      <c r="BV456" s="26"/>
      <c r="BW456" s="39">
        <f t="shared" si="43"/>
        <v>3</v>
      </c>
      <c r="BX456" s="78">
        <v>1</v>
      </c>
      <c r="BY456" s="63">
        <v>8</v>
      </c>
      <c r="BZ456" s="7"/>
      <c r="CA456" s="8"/>
      <c r="CB456" s="7"/>
      <c r="CC456" s="7"/>
    </row>
    <row r="457" spans="1:81" ht="16" x14ac:dyDescent="0.2">
      <c r="A457" s="109" t="s">
        <v>305</v>
      </c>
      <c r="B457" s="26">
        <v>44</v>
      </c>
      <c r="C457" s="109" t="s">
        <v>166</v>
      </c>
      <c r="D457" s="38">
        <v>4</v>
      </c>
      <c r="E457" s="38">
        <v>2</v>
      </c>
      <c r="F457" s="38">
        <v>2</v>
      </c>
      <c r="G457" s="38" t="s">
        <v>51</v>
      </c>
      <c r="H457" s="38">
        <v>4</v>
      </c>
      <c r="I457" s="38" t="s">
        <v>51</v>
      </c>
      <c r="J457" s="38" t="s">
        <v>64</v>
      </c>
      <c r="K457" s="38"/>
      <c r="L457" s="38">
        <v>6</v>
      </c>
      <c r="M457" s="40"/>
      <c r="N457" s="36"/>
      <c r="O457" s="36"/>
      <c r="P457" s="36"/>
      <c r="Q457" s="36"/>
      <c r="R457" s="36"/>
      <c r="S457" s="36"/>
      <c r="T457" s="36"/>
      <c r="U457" s="36"/>
      <c r="V457" s="36"/>
      <c r="W457" s="36" t="s">
        <v>38</v>
      </c>
      <c r="X457" s="36">
        <f>5/16</f>
        <v>0.3125</v>
      </c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 t="s">
        <v>39</v>
      </c>
      <c r="AX457" s="36">
        <f>11/16</f>
        <v>0.6875</v>
      </c>
      <c r="AY457" s="36"/>
      <c r="AZ457" s="36"/>
      <c r="BA457" s="36"/>
      <c r="BB457" s="36"/>
      <c r="BC457" s="36"/>
      <c r="BD457" s="36"/>
      <c r="BE457" s="38"/>
      <c r="BF457" s="38"/>
      <c r="BG457" s="39"/>
      <c r="BH457" s="38">
        <v>1</v>
      </c>
      <c r="BI457" s="38"/>
      <c r="BJ457" s="38">
        <v>1</v>
      </c>
      <c r="BK457" s="38"/>
      <c r="BL457" s="38"/>
      <c r="BM457" s="38"/>
      <c r="BN457" s="38"/>
      <c r="BO457" s="37">
        <f t="shared" si="39"/>
        <v>0</v>
      </c>
      <c r="BP457" s="56">
        <f t="shared" si="40"/>
        <v>2</v>
      </c>
      <c r="BQ457" s="56">
        <f t="shared" si="41"/>
        <v>0</v>
      </c>
      <c r="BR457" s="57">
        <f t="shared" si="42"/>
        <v>0</v>
      </c>
      <c r="BS457" s="38"/>
      <c r="BT457" s="38"/>
      <c r="BU457" s="26"/>
      <c r="BV457" s="26"/>
      <c r="BW457" s="39">
        <f t="shared" si="43"/>
        <v>2</v>
      </c>
      <c r="BX457" s="78">
        <v>3</v>
      </c>
      <c r="BY457" s="63">
        <v>6</v>
      </c>
      <c r="BZ457" s="7"/>
      <c r="CA457" s="8"/>
      <c r="CB457" s="7"/>
      <c r="CC457" s="7"/>
    </row>
    <row r="458" spans="1:81" ht="16" x14ac:dyDescent="0.2">
      <c r="A458" s="109" t="s">
        <v>305</v>
      </c>
      <c r="B458" s="26">
        <v>44</v>
      </c>
      <c r="C458" s="109" t="s">
        <v>166</v>
      </c>
      <c r="D458" s="38">
        <v>5</v>
      </c>
      <c r="E458" s="38">
        <v>2</v>
      </c>
      <c r="F458" s="38">
        <v>2</v>
      </c>
      <c r="G458" s="38" t="s">
        <v>51</v>
      </c>
      <c r="H458" s="38">
        <v>4</v>
      </c>
      <c r="I458" s="38" t="s">
        <v>51</v>
      </c>
      <c r="J458" s="38" t="s">
        <v>42</v>
      </c>
      <c r="K458" s="38"/>
      <c r="L458" s="38">
        <v>7</v>
      </c>
      <c r="M458" s="40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 t="s">
        <v>39</v>
      </c>
      <c r="AR458" s="36">
        <f>14/16</f>
        <v>0.875</v>
      </c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8"/>
      <c r="BF458" s="38"/>
      <c r="BG458" s="39"/>
      <c r="BH458" s="38"/>
      <c r="BI458" s="38">
        <v>1</v>
      </c>
      <c r="BJ458" s="38"/>
      <c r="BK458" s="38"/>
      <c r="BL458" s="38"/>
      <c r="BM458" s="38"/>
      <c r="BN458" s="38"/>
      <c r="BO458" s="37">
        <f t="shared" si="39"/>
        <v>1</v>
      </c>
      <c r="BP458" s="56">
        <f t="shared" si="40"/>
        <v>0</v>
      </c>
      <c r="BQ458" s="56">
        <f t="shared" si="41"/>
        <v>0</v>
      </c>
      <c r="BR458" s="57">
        <f t="shared" si="42"/>
        <v>0</v>
      </c>
      <c r="BS458" s="38"/>
      <c r="BT458" s="38"/>
      <c r="BU458" s="26"/>
      <c r="BV458" s="26"/>
      <c r="BW458" s="39">
        <f t="shared" si="43"/>
        <v>1</v>
      </c>
      <c r="BX458" s="78">
        <v>1</v>
      </c>
      <c r="BY458" s="63">
        <v>8</v>
      </c>
      <c r="BZ458" s="7"/>
      <c r="CA458" s="8"/>
      <c r="CB458" s="7"/>
      <c r="CC458" s="7"/>
    </row>
    <row r="459" spans="1:81" ht="16" x14ac:dyDescent="0.2">
      <c r="A459" s="109" t="s">
        <v>305</v>
      </c>
      <c r="B459" s="26">
        <v>44</v>
      </c>
      <c r="C459" s="109" t="s">
        <v>166</v>
      </c>
      <c r="D459" s="38">
        <v>8</v>
      </c>
      <c r="E459" s="38">
        <v>2</v>
      </c>
      <c r="F459" s="38">
        <v>2</v>
      </c>
      <c r="G459" s="38" t="s">
        <v>51</v>
      </c>
      <c r="H459" s="38">
        <v>4</v>
      </c>
      <c r="I459" s="38" t="s">
        <v>51</v>
      </c>
      <c r="J459" s="38" t="s">
        <v>41</v>
      </c>
      <c r="K459" s="38"/>
      <c r="L459" s="38">
        <v>6</v>
      </c>
      <c r="M459" s="40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 t="s">
        <v>38</v>
      </c>
      <c r="AT459" s="36">
        <f>15/16</f>
        <v>0.9375</v>
      </c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8"/>
      <c r="BF459" s="38"/>
      <c r="BG459" s="39">
        <v>1</v>
      </c>
      <c r="BH459" s="38"/>
      <c r="BI459" s="38"/>
      <c r="BJ459" s="38"/>
      <c r="BK459" s="38"/>
      <c r="BL459" s="38"/>
      <c r="BM459" s="38"/>
      <c r="BN459" s="38"/>
      <c r="BO459" s="37">
        <f t="shared" si="39"/>
        <v>1</v>
      </c>
      <c r="BP459" s="56">
        <f t="shared" si="40"/>
        <v>0</v>
      </c>
      <c r="BQ459" s="56">
        <f t="shared" si="41"/>
        <v>0</v>
      </c>
      <c r="BR459" s="57">
        <f t="shared" si="42"/>
        <v>0</v>
      </c>
      <c r="BS459" s="38"/>
      <c r="BT459" s="38"/>
      <c r="BU459" s="26"/>
      <c r="BV459" s="26"/>
      <c r="BW459" s="39">
        <f t="shared" si="43"/>
        <v>1</v>
      </c>
      <c r="BX459" s="78">
        <v>1</v>
      </c>
      <c r="BY459" s="63">
        <v>10</v>
      </c>
      <c r="BZ459" s="7"/>
      <c r="CA459" s="8"/>
      <c r="CB459" s="7"/>
      <c r="CC459" s="7"/>
    </row>
    <row r="460" spans="1:81" ht="16" x14ac:dyDescent="0.2">
      <c r="A460" s="109" t="s">
        <v>305</v>
      </c>
      <c r="B460" s="26">
        <v>44</v>
      </c>
      <c r="C460" s="109" t="s">
        <v>166</v>
      </c>
      <c r="D460" s="38">
        <v>10</v>
      </c>
      <c r="E460" s="38">
        <v>2</v>
      </c>
      <c r="F460" s="38">
        <v>2</v>
      </c>
      <c r="G460" s="38" t="s">
        <v>51</v>
      </c>
      <c r="H460" s="38">
        <v>4</v>
      </c>
      <c r="I460" s="38" t="s">
        <v>51</v>
      </c>
      <c r="J460" s="38" t="s">
        <v>41</v>
      </c>
      <c r="K460" s="38"/>
      <c r="L460" s="38">
        <v>5</v>
      </c>
      <c r="M460" s="40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 t="s">
        <v>38</v>
      </c>
      <c r="AV460" s="36">
        <f>16/16</f>
        <v>1</v>
      </c>
      <c r="AW460" s="36"/>
      <c r="AX460" s="36"/>
      <c r="AY460" s="36"/>
      <c r="AZ460" s="36"/>
      <c r="BA460" s="36"/>
      <c r="BB460" s="36"/>
      <c r="BC460" s="36"/>
      <c r="BD460" s="36"/>
      <c r="BE460" s="38"/>
      <c r="BF460" s="38"/>
      <c r="BG460" s="39">
        <v>1</v>
      </c>
      <c r="BH460" s="38"/>
      <c r="BI460" s="38"/>
      <c r="BJ460" s="38"/>
      <c r="BK460" s="38"/>
      <c r="BL460" s="38"/>
      <c r="BM460" s="38"/>
      <c r="BN460" s="38"/>
      <c r="BO460" s="37">
        <f t="shared" si="39"/>
        <v>1</v>
      </c>
      <c r="BP460" s="56">
        <f t="shared" si="40"/>
        <v>0</v>
      </c>
      <c r="BQ460" s="56">
        <f t="shared" si="41"/>
        <v>0</v>
      </c>
      <c r="BR460" s="57">
        <f t="shared" si="42"/>
        <v>0</v>
      </c>
      <c r="BS460" s="38"/>
      <c r="BT460" s="38"/>
      <c r="BU460" s="26"/>
      <c r="BV460" s="26"/>
      <c r="BW460" s="39">
        <f t="shared" si="43"/>
        <v>1</v>
      </c>
      <c r="BX460" s="78">
        <v>1</v>
      </c>
      <c r="BY460" s="63">
        <v>10</v>
      </c>
      <c r="BZ460" s="7"/>
      <c r="CA460" s="8"/>
      <c r="CB460" s="7"/>
      <c r="CC460" s="7"/>
    </row>
    <row r="461" spans="1:81" ht="16" x14ac:dyDescent="0.2">
      <c r="A461" s="109" t="s">
        <v>306</v>
      </c>
      <c r="B461" s="26">
        <v>41</v>
      </c>
      <c r="C461" s="109" t="s">
        <v>167</v>
      </c>
      <c r="D461" s="26">
        <v>1</v>
      </c>
      <c r="E461" s="26">
        <v>2</v>
      </c>
      <c r="F461" s="26">
        <v>2</v>
      </c>
      <c r="G461" s="26" t="s">
        <v>51</v>
      </c>
      <c r="H461" s="26">
        <v>4</v>
      </c>
      <c r="I461" s="26" t="s">
        <v>51</v>
      </c>
      <c r="J461" s="26" t="s">
        <v>78</v>
      </c>
      <c r="K461" s="26"/>
      <c r="L461" s="26">
        <v>5</v>
      </c>
      <c r="M461" s="40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 t="s">
        <v>38</v>
      </c>
      <c r="AP461" s="36">
        <f>10/10</f>
        <v>1</v>
      </c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26"/>
      <c r="BF461" s="26"/>
      <c r="BG461" s="37">
        <v>1</v>
      </c>
      <c r="BH461" s="26"/>
      <c r="BI461" s="26"/>
      <c r="BJ461" s="26"/>
      <c r="BK461" s="26"/>
      <c r="BL461" s="26"/>
      <c r="BM461" s="26"/>
      <c r="BN461" s="26"/>
      <c r="BO461" s="37">
        <f t="shared" si="39"/>
        <v>1</v>
      </c>
      <c r="BP461" s="56">
        <f t="shared" si="40"/>
        <v>0</v>
      </c>
      <c r="BQ461" s="56">
        <f t="shared" si="41"/>
        <v>0</v>
      </c>
      <c r="BR461" s="57">
        <f t="shared" si="42"/>
        <v>0</v>
      </c>
      <c r="BS461" s="38"/>
      <c r="BT461" s="38"/>
      <c r="BU461" s="26"/>
      <c r="BV461" s="26"/>
      <c r="BW461" s="39">
        <f t="shared" si="43"/>
        <v>1</v>
      </c>
      <c r="BX461" s="78">
        <v>1</v>
      </c>
      <c r="BY461" s="63">
        <v>13</v>
      </c>
      <c r="CB461" s="7"/>
      <c r="CC461" s="7"/>
    </row>
    <row r="462" spans="1:81" ht="16" x14ac:dyDescent="0.2">
      <c r="A462" s="109" t="s">
        <v>306</v>
      </c>
      <c r="B462" s="26">
        <v>41</v>
      </c>
      <c r="C462" s="109" t="s">
        <v>167</v>
      </c>
      <c r="D462" s="26">
        <v>2</v>
      </c>
      <c r="E462" s="26">
        <v>2</v>
      </c>
      <c r="F462" s="26" t="s">
        <v>53</v>
      </c>
      <c r="G462" s="26" t="s">
        <v>50</v>
      </c>
      <c r="H462" s="26"/>
      <c r="I462" s="26"/>
      <c r="J462" s="26"/>
      <c r="K462" s="26">
        <v>12</v>
      </c>
      <c r="L462" s="26">
        <v>5</v>
      </c>
      <c r="M462" s="40"/>
      <c r="N462" s="36"/>
      <c r="O462" s="36" t="s">
        <v>57</v>
      </c>
      <c r="P462" s="36">
        <f>5/10</f>
        <v>0.5</v>
      </c>
      <c r="Q462" s="36"/>
      <c r="R462" s="36"/>
      <c r="S462" s="36"/>
      <c r="T462" s="36"/>
      <c r="U462" s="36" t="s">
        <v>70</v>
      </c>
      <c r="V462" s="36">
        <v>0.5</v>
      </c>
      <c r="W462" s="36"/>
      <c r="X462" s="36"/>
      <c r="Y462" s="36"/>
      <c r="Z462" s="36"/>
      <c r="AA462" s="36"/>
      <c r="AB462" s="36"/>
      <c r="AC462" s="36"/>
      <c r="AD462" s="36"/>
      <c r="AE462" s="36" t="s">
        <v>43</v>
      </c>
      <c r="AF462" s="36">
        <v>1</v>
      </c>
      <c r="AG462" s="36"/>
      <c r="AH462" s="36"/>
      <c r="AI462" s="36" t="s">
        <v>48</v>
      </c>
      <c r="AJ462" s="36">
        <f>5/10</f>
        <v>0.5</v>
      </c>
      <c r="AK462" s="36"/>
      <c r="AL462" s="36"/>
      <c r="AM462" s="36" t="s">
        <v>39</v>
      </c>
      <c r="AN462" s="36">
        <f>4.5/10</f>
        <v>0.45</v>
      </c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 t="s">
        <v>48</v>
      </c>
      <c r="AZ462" s="36">
        <f>5/10</f>
        <v>0.5</v>
      </c>
      <c r="BA462" s="36" t="s">
        <v>38</v>
      </c>
      <c r="BB462" s="36">
        <f>3.5/10</f>
        <v>0.35</v>
      </c>
      <c r="BC462" s="36" t="s">
        <v>39</v>
      </c>
      <c r="BD462" s="36">
        <f>3.5/10</f>
        <v>0.35</v>
      </c>
      <c r="BE462" s="26"/>
      <c r="BF462" s="26"/>
      <c r="BG462" s="37"/>
      <c r="BH462" s="26">
        <v>1</v>
      </c>
      <c r="BI462" s="26"/>
      <c r="BJ462" s="26">
        <v>2</v>
      </c>
      <c r="BK462" s="26"/>
      <c r="BL462" s="26">
        <v>2</v>
      </c>
      <c r="BM462" s="26"/>
      <c r="BN462" s="26">
        <v>1</v>
      </c>
      <c r="BO462" s="37">
        <f t="shared" si="39"/>
        <v>0</v>
      </c>
      <c r="BP462" s="56">
        <f t="shared" si="40"/>
        <v>3</v>
      </c>
      <c r="BQ462" s="56">
        <f t="shared" si="41"/>
        <v>2</v>
      </c>
      <c r="BR462" s="57">
        <f t="shared" si="42"/>
        <v>3</v>
      </c>
      <c r="BS462" s="38">
        <v>2</v>
      </c>
      <c r="BT462" s="38"/>
      <c r="BU462" s="26"/>
      <c r="BV462" s="26"/>
      <c r="BW462" s="39">
        <f t="shared" si="43"/>
        <v>8</v>
      </c>
      <c r="BX462" s="78">
        <v>4</v>
      </c>
      <c r="BY462" s="63">
        <v>2</v>
      </c>
      <c r="CB462" s="7"/>
      <c r="CC462" s="7"/>
    </row>
    <row r="463" spans="1:81" ht="16" x14ac:dyDescent="0.2">
      <c r="A463" s="109" t="s">
        <v>306</v>
      </c>
      <c r="B463" s="26">
        <v>42</v>
      </c>
      <c r="C463" s="109" t="s">
        <v>168</v>
      </c>
      <c r="D463" s="26">
        <v>1</v>
      </c>
      <c r="E463" s="26">
        <v>2</v>
      </c>
      <c r="F463" s="26" t="s">
        <v>53</v>
      </c>
      <c r="G463" s="26" t="s">
        <v>50</v>
      </c>
      <c r="H463" s="26"/>
      <c r="I463" s="26"/>
      <c r="J463" s="26"/>
      <c r="K463" s="26">
        <v>5</v>
      </c>
      <c r="L463" s="26">
        <v>6</v>
      </c>
      <c r="M463" s="40"/>
      <c r="N463" s="36"/>
      <c r="O463" s="36"/>
      <c r="P463" s="36"/>
      <c r="Q463" s="36"/>
      <c r="R463" s="36"/>
      <c r="S463" s="36"/>
      <c r="T463" s="36"/>
      <c r="U463" s="36"/>
      <c r="V463" s="36"/>
      <c r="W463" s="36" t="s">
        <v>48</v>
      </c>
      <c r="X463" s="36">
        <f>6/8</f>
        <v>0.75</v>
      </c>
      <c r="Y463" s="36"/>
      <c r="Z463" s="36"/>
      <c r="AA463" s="36"/>
      <c r="AB463" s="36"/>
      <c r="AC463" s="36"/>
      <c r="AD463" s="36"/>
      <c r="AE463" s="36" t="s">
        <v>38</v>
      </c>
      <c r="AF463" s="36">
        <f>9/8</f>
        <v>1.125</v>
      </c>
      <c r="AG463" s="36"/>
      <c r="AH463" s="36"/>
      <c r="AI463" s="36"/>
      <c r="AJ463" s="36"/>
      <c r="AK463" s="36"/>
      <c r="AL463" s="36"/>
      <c r="AM463" s="36"/>
      <c r="AN463" s="36"/>
      <c r="AO463" s="36" t="s">
        <v>38</v>
      </c>
      <c r="AP463" s="36">
        <f>8/8</f>
        <v>1</v>
      </c>
      <c r="AQ463" s="36"/>
      <c r="AR463" s="36"/>
      <c r="AS463" s="36"/>
      <c r="AT463" s="36"/>
      <c r="AU463" s="36"/>
      <c r="AV463" s="36"/>
      <c r="AW463" s="36" t="s">
        <v>38</v>
      </c>
      <c r="AX463" s="36">
        <f>8.5/8</f>
        <v>1.0625</v>
      </c>
      <c r="AY463" s="36"/>
      <c r="AZ463" s="36"/>
      <c r="BA463" s="36" t="s">
        <v>39</v>
      </c>
      <c r="BB463" s="36">
        <f>10.5/8</f>
        <v>1.3125</v>
      </c>
      <c r="BC463" s="36"/>
      <c r="BD463" s="36"/>
      <c r="BE463" s="26"/>
      <c r="BF463" s="26"/>
      <c r="BG463" s="37">
        <v>3</v>
      </c>
      <c r="BH463" s="26"/>
      <c r="BI463" s="26">
        <v>1</v>
      </c>
      <c r="BJ463" s="26"/>
      <c r="BK463" s="26">
        <v>1</v>
      </c>
      <c r="BL463" s="26"/>
      <c r="BM463" s="26"/>
      <c r="BO463" s="37">
        <f t="shared" si="39"/>
        <v>4</v>
      </c>
      <c r="BP463" s="56">
        <f t="shared" si="40"/>
        <v>0</v>
      </c>
      <c r="BQ463" s="56">
        <f t="shared" si="41"/>
        <v>1</v>
      </c>
      <c r="BR463" s="57">
        <f t="shared" si="42"/>
        <v>0</v>
      </c>
      <c r="BS463" s="38"/>
      <c r="BT463" s="38"/>
      <c r="BU463" s="26"/>
      <c r="BV463" s="26"/>
      <c r="BW463" s="39">
        <f t="shared" si="43"/>
        <v>5</v>
      </c>
      <c r="BX463" s="78">
        <v>2</v>
      </c>
      <c r="BY463" s="63">
        <v>1</v>
      </c>
    </row>
    <row r="464" spans="1:81" ht="16" x14ac:dyDescent="0.2">
      <c r="A464" s="109" t="s">
        <v>306</v>
      </c>
      <c r="B464" s="26">
        <v>42</v>
      </c>
      <c r="C464" s="109" t="s">
        <v>168</v>
      </c>
      <c r="D464" s="26">
        <v>2</v>
      </c>
      <c r="E464" s="26">
        <v>2</v>
      </c>
      <c r="F464" s="26">
        <v>2</v>
      </c>
      <c r="G464" s="26" t="s">
        <v>51</v>
      </c>
      <c r="H464" s="26">
        <v>4</v>
      </c>
      <c r="I464" s="26" t="s">
        <v>51</v>
      </c>
      <c r="J464" s="26" t="s">
        <v>45</v>
      </c>
      <c r="K464" s="26"/>
      <c r="L464" s="26">
        <v>6</v>
      </c>
      <c r="M464" s="40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 t="s">
        <v>39</v>
      </c>
      <c r="AB464" s="36">
        <f>8/8</f>
        <v>1</v>
      </c>
      <c r="AC464" s="36" t="s">
        <v>48</v>
      </c>
      <c r="AD464" s="36">
        <f>3/8</f>
        <v>0.375</v>
      </c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 t="s">
        <v>39</v>
      </c>
      <c r="AP464" s="36">
        <f>7.5/8</f>
        <v>0.9375</v>
      </c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 t="s">
        <v>39</v>
      </c>
      <c r="BD464" s="36">
        <f>7.5/8</f>
        <v>0.9375</v>
      </c>
      <c r="BE464" s="26"/>
      <c r="BF464" s="26"/>
      <c r="BG464" s="37"/>
      <c r="BH464" s="26"/>
      <c r="BI464" s="26">
        <v>3</v>
      </c>
      <c r="BJ464" s="26"/>
      <c r="BK464" s="26"/>
      <c r="BL464" s="26">
        <v>1</v>
      </c>
      <c r="BM464" s="26"/>
      <c r="BO464" s="37">
        <f t="shared" si="39"/>
        <v>3</v>
      </c>
      <c r="BP464" s="56">
        <f t="shared" si="40"/>
        <v>0</v>
      </c>
      <c r="BQ464" s="56">
        <f t="shared" si="41"/>
        <v>0</v>
      </c>
      <c r="BR464" s="57">
        <f t="shared" si="42"/>
        <v>1</v>
      </c>
      <c r="BS464" s="38"/>
      <c r="BT464" s="38"/>
      <c r="BU464" s="26"/>
      <c r="BV464" s="26"/>
      <c r="BW464" s="39">
        <f t="shared" si="43"/>
        <v>4</v>
      </c>
      <c r="BX464" s="78">
        <v>2</v>
      </c>
      <c r="BY464" s="63">
        <v>5</v>
      </c>
    </row>
    <row r="465" spans="1:81" ht="16" x14ac:dyDescent="0.2">
      <c r="A465" s="109" t="s">
        <v>306</v>
      </c>
      <c r="B465" s="26">
        <v>42</v>
      </c>
      <c r="C465" s="109" t="s">
        <v>168</v>
      </c>
      <c r="D465" s="26">
        <v>3</v>
      </c>
      <c r="E465" s="26">
        <v>2</v>
      </c>
      <c r="F465" s="26">
        <v>2</v>
      </c>
      <c r="G465" s="26" t="s">
        <v>51</v>
      </c>
      <c r="H465" s="26">
        <v>4</v>
      </c>
      <c r="I465" s="26" t="s">
        <v>51</v>
      </c>
      <c r="J465" s="26" t="s">
        <v>60</v>
      </c>
      <c r="K465" s="26"/>
      <c r="L465" s="26">
        <v>6</v>
      </c>
      <c r="M465" s="40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 t="s">
        <v>38</v>
      </c>
      <c r="AL465" s="36">
        <f>8/8</f>
        <v>1</v>
      </c>
      <c r="AM465" s="36"/>
      <c r="AN465" s="36"/>
      <c r="AO465" s="36"/>
      <c r="AP465" s="36"/>
      <c r="AQ465" s="36"/>
      <c r="AR465" s="36"/>
      <c r="AS465" s="36" t="s">
        <v>39</v>
      </c>
      <c r="AT465" s="36">
        <f>7.5/8</f>
        <v>0.9375</v>
      </c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26"/>
      <c r="BF465" s="26"/>
      <c r="BG465" s="39">
        <v>1</v>
      </c>
      <c r="BH465" s="38"/>
      <c r="BI465" s="38">
        <v>1</v>
      </c>
      <c r="BJ465" s="38"/>
      <c r="BK465" s="38"/>
      <c r="BL465" s="38"/>
      <c r="BM465" s="38"/>
      <c r="BO465" s="37">
        <f t="shared" si="39"/>
        <v>2</v>
      </c>
      <c r="BP465" s="56">
        <f t="shared" si="40"/>
        <v>0</v>
      </c>
      <c r="BQ465" s="56">
        <f t="shared" si="41"/>
        <v>0</v>
      </c>
      <c r="BR465" s="57">
        <f t="shared" si="42"/>
        <v>0</v>
      </c>
      <c r="BS465" s="38"/>
      <c r="BT465" s="38"/>
      <c r="BU465" s="26"/>
      <c r="BV465" s="26"/>
      <c r="BW465" s="39">
        <f t="shared" si="43"/>
        <v>2</v>
      </c>
      <c r="BX465" s="78">
        <v>1</v>
      </c>
      <c r="BY465" s="63">
        <v>7</v>
      </c>
    </row>
    <row r="466" spans="1:81" ht="16" x14ac:dyDescent="0.2">
      <c r="A466" s="109" t="s">
        <v>306</v>
      </c>
      <c r="B466" s="26">
        <v>42</v>
      </c>
      <c r="C466" s="109" t="s">
        <v>168</v>
      </c>
      <c r="D466" s="26">
        <v>4</v>
      </c>
      <c r="E466" s="26">
        <v>2</v>
      </c>
      <c r="F466" s="26">
        <v>3</v>
      </c>
      <c r="G466" s="26" t="s">
        <v>50</v>
      </c>
      <c r="H466" s="26">
        <v>5</v>
      </c>
      <c r="I466" s="26" t="s">
        <v>51</v>
      </c>
      <c r="J466" s="26" t="s">
        <v>41</v>
      </c>
      <c r="K466" s="26"/>
      <c r="L466" s="26">
        <v>6</v>
      </c>
      <c r="M466" s="40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 t="s">
        <v>40</v>
      </c>
      <c r="Z466" s="36">
        <f>3.5/8</f>
        <v>0.4375</v>
      </c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 t="s">
        <v>38</v>
      </c>
      <c r="BB466" s="36">
        <f>8/8</f>
        <v>1</v>
      </c>
      <c r="BC466" s="36"/>
      <c r="BD466" s="36"/>
      <c r="BE466" s="26"/>
      <c r="BF466" s="26"/>
      <c r="BG466" s="39">
        <v>1</v>
      </c>
      <c r="BH466" s="38"/>
      <c r="BI466" s="38"/>
      <c r="BJ466" s="38"/>
      <c r="BK466" s="38"/>
      <c r="BL466" s="38"/>
      <c r="BM466" s="38"/>
      <c r="BN466" s="41">
        <v>1</v>
      </c>
      <c r="BO466" s="37">
        <f t="shared" si="39"/>
        <v>1</v>
      </c>
      <c r="BP466" s="56">
        <f t="shared" si="40"/>
        <v>0</v>
      </c>
      <c r="BQ466" s="56">
        <f t="shared" si="41"/>
        <v>0</v>
      </c>
      <c r="BR466" s="57">
        <f t="shared" si="42"/>
        <v>1</v>
      </c>
      <c r="BS466" s="38"/>
      <c r="BT466" s="38"/>
      <c r="BU466" s="26"/>
      <c r="BV466" s="26"/>
      <c r="BW466" s="39">
        <f t="shared" si="43"/>
        <v>2</v>
      </c>
      <c r="BX466" s="78">
        <v>2</v>
      </c>
      <c r="BY466" s="63">
        <v>10</v>
      </c>
    </row>
    <row r="467" spans="1:81" ht="16" x14ac:dyDescent="0.2">
      <c r="A467" s="109" t="s">
        <v>306</v>
      </c>
      <c r="B467" s="26">
        <v>42</v>
      </c>
      <c r="C467" s="109" t="s">
        <v>168</v>
      </c>
      <c r="D467" s="26">
        <v>6</v>
      </c>
      <c r="E467" s="26">
        <v>2</v>
      </c>
      <c r="F467" s="26">
        <v>2</v>
      </c>
      <c r="G467" s="26" t="s">
        <v>51</v>
      </c>
      <c r="H467" s="26">
        <v>4</v>
      </c>
      <c r="I467" s="26" t="s">
        <v>51</v>
      </c>
      <c r="J467" s="26" t="s">
        <v>41</v>
      </c>
      <c r="K467" s="26"/>
      <c r="L467" s="26">
        <v>6</v>
      </c>
      <c r="M467" s="40"/>
      <c r="N467" s="36"/>
      <c r="O467" s="36"/>
      <c r="P467" s="36"/>
      <c r="Q467" s="36" t="s">
        <v>38</v>
      </c>
      <c r="R467" s="36">
        <f>8/8</f>
        <v>1</v>
      </c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 t="s">
        <v>38</v>
      </c>
      <c r="AD467" s="36">
        <f>8/8</f>
        <v>1</v>
      </c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 t="s">
        <v>38</v>
      </c>
      <c r="AR467" s="36">
        <f>8/8</f>
        <v>1</v>
      </c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 t="s">
        <v>39</v>
      </c>
      <c r="BD467" s="36">
        <f>8.5/8</f>
        <v>1.0625</v>
      </c>
      <c r="BE467" s="26"/>
      <c r="BF467" s="26"/>
      <c r="BG467" s="39">
        <v>3</v>
      </c>
      <c r="BH467" s="38"/>
      <c r="BI467" s="38">
        <v>1</v>
      </c>
      <c r="BJ467" s="38"/>
      <c r="BK467" s="38"/>
      <c r="BL467" s="38"/>
      <c r="BM467" s="38"/>
      <c r="BO467" s="37">
        <f t="shared" si="39"/>
        <v>4</v>
      </c>
      <c r="BP467" s="56">
        <f t="shared" si="40"/>
        <v>0</v>
      </c>
      <c r="BQ467" s="56">
        <f t="shared" si="41"/>
        <v>0</v>
      </c>
      <c r="BR467" s="57">
        <f t="shared" si="42"/>
        <v>0</v>
      </c>
      <c r="BS467" s="38"/>
      <c r="BT467" s="38"/>
      <c r="BU467" s="26"/>
      <c r="BV467" s="26"/>
      <c r="BW467" s="39">
        <f t="shared" si="43"/>
        <v>4</v>
      </c>
      <c r="BX467" s="78">
        <v>1</v>
      </c>
      <c r="BY467" s="63">
        <v>10</v>
      </c>
    </row>
    <row r="468" spans="1:81" ht="16" x14ac:dyDescent="0.2">
      <c r="A468" s="109" t="s">
        <v>306</v>
      </c>
      <c r="B468" s="26">
        <v>42</v>
      </c>
      <c r="C468" s="109" t="s">
        <v>168</v>
      </c>
      <c r="D468" s="26">
        <v>8</v>
      </c>
      <c r="E468" s="26">
        <v>2</v>
      </c>
      <c r="F468" s="26">
        <v>2</v>
      </c>
      <c r="G468" s="26" t="s">
        <v>51</v>
      </c>
      <c r="H468" s="26">
        <v>5</v>
      </c>
      <c r="I468" s="26" t="s">
        <v>50</v>
      </c>
      <c r="J468" s="26"/>
      <c r="K468" s="26">
        <v>5</v>
      </c>
      <c r="L468" s="26">
        <v>6</v>
      </c>
      <c r="M468" s="40" t="s">
        <v>39</v>
      </c>
      <c r="N468" s="36">
        <f>2.5/8</f>
        <v>0.3125</v>
      </c>
      <c r="O468" s="36" t="s">
        <v>38</v>
      </c>
      <c r="P468" s="36">
        <f>3/8</f>
        <v>0.375</v>
      </c>
      <c r="Q468" s="36" t="s">
        <v>38</v>
      </c>
      <c r="R468" s="36">
        <f>6.5/8</f>
        <v>0.8125</v>
      </c>
      <c r="S468" s="36"/>
      <c r="T468" s="36"/>
      <c r="U468" s="36" t="s">
        <v>39</v>
      </c>
      <c r="V468" s="36">
        <f>3/8</f>
        <v>0.375</v>
      </c>
      <c r="W468" s="36"/>
      <c r="X468" s="36"/>
      <c r="Y468" s="36"/>
      <c r="Z468" s="36"/>
      <c r="AA468" s="36" t="s">
        <v>39</v>
      </c>
      <c r="AB468" s="36">
        <f>4/8</f>
        <v>0.5</v>
      </c>
      <c r="AC468" s="36" t="s">
        <v>38</v>
      </c>
      <c r="AD468" s="36">
        <f>2.5/8</f>
        <v>0.3125</v>
      </c>
      <c r="AE468" s="36" t="s">
        <v>39</v>
      </c>
      <c r="AF468" s="36">
        <f>3/10</f>
        <v>0.3</v>
      </c>
      <c r="AG468" s="36" t="s">
        <v>39</v>
      </c>
      <c r="AH468" s="36">
        <f>3/8</f>
        <v>0.375</v>
      </c>
      <c r="AI468" s="36" t="s">
        <v>39</v>
      </c>
      <c r="AJ468" s="36">
        <f>3/8</f>
        <v>0.375</v>
      </c>
      <c r="AK468" s="36"/>
      <c r="AL468" s="36"/>
      <c r="AM468" s="36" t="s">
        <v>38</v>
      </c>
      <c r="AN468" s="36">
        <f>3/8</f>
        <v>0.375</v>
      </c>
      <c r="AO468" s="36" t="s">
        <v>39</v>
      </c>
      <c r="AP468" s="36">
        <f>3.5/8</f>
        <v>0.4375</v>
      </c>
      <c r="AQ468" s="36" t="s">
        <v>38</v>
      </c>
      <c r="AR468" s="36">
        <f>5/8</f>
        <v>0.625</v>
      </c>
      <c r="AS468" s="36"/>
      <c r="AT468" s="36"/>
      <c r="AU468" s="36" t="s">
        <v>39</v>
      </c>
      <c r="AV468" s="36">
        <f>2/8</f>
        <v>0.25</v>
      </c>
      <c r="AW468" s="36"/>
      <c r="AX468" s="36"/>
      <c r="AY468" s="36" t="s">
        <v>39</v>
      </c>
      <c r="AZ468" s="36">
        <f>3.5/8</f>
        <v>0.4375</v>
      </c>
      <c r="BA468" s="36"/>
      <c r="BB468" s="36"/>
      <c r="BC468" s="36" t="s">
        <v>39</v>
      </c>
      <c r="BD468" s="36">
        <f>3/8</f>
        <v>0.375</v>
      </c>
      <c r="BE468" s="26"/>
      <c r="BF468" s="26"/>
      <c r="BG468" s="37">
        <v>1</v>
      </c>
      <c r="BH468" s="26">
        <v>4</v>
      </c>
      <c r="BI468" s="26"/>
      <c r="BJ468" s="26">
        <v>9</v>
      </c>
      <c r="BK468" s="26"/>
      <c r="BL468" s="26"/>
      <c r="BM468" s="26"/>
      <c r="BN468" s="26"/>
      <c r="BO468" s="37">
        <f t="shared" si="39"/>
        <v>1</v>
      </c>
      <c r="BP468" s="56">
        <f t="shared" si="40"/>
        <v>13</v>
      </c>
      <c r="BQ468" s="56">
        <f t="shared" si="41"/>
        <v>0</v>
      </c>
      <c r="BR468" s="57">
        <f t="shared" si="42"/>
        <v>0</v>
      </c>
      <c r="BS468" s="38"/>
      <c r="BT468" s="38"/>
      <c r="BU468" s="26"/>
      <c r="BV468" s="26"/>
      <c r="BW468" s="39">
        <f t="shared" si="43"/>
        <v>14</v>
      </c>
      <c r="BX468" s="78">
        <v>2</v>
      </c>
      <c r="BY468" s="63">
        <v>1</v>
      </c>
      <c r="CC468" s="7"/>
    </row>
    <row r="469" spans="1:81" ht="16" x14ac:dyDescent="0.2">
      <c r="A469" s="109" t="s">
        <v>307</v>
      </c>
      <c r="B469" s="26">
        <v>35</v>
      </c>
      <c r="C469" s="109" t="s">
        <v>169</v>
      </c>
      <c r="D469" s="26">
        <v>1</v>
      </c>
      <c r="E469" s="26">
        <v>2</v>
      </c>
      <c r="F469" s="26">
        <v>2</v>
      </c>
      <c r="G469" s="26" t="s">
        <v>51</v>
      </c>
      <c r="H469" s="26">
        <v>4</v>
      </c>
      <c r="I469" s="26" t="s">
        <v>51</v>
      </c>
      <c r="J469" s="26" t="s">
        <v>41</v>
      </c>
      <c r="K469" s="26"/>
      <c r="L469" s="26">
        <v>5</v>
      </c>
      <c r="M469" s="40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 t="s">
        <v>39</v>
      </c>
      <c r="AD469" s="36">
        <v>1</v>
      </c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G469" s="37"/>
      <c r="BH469" s="26"/>
      <c r="BI469" s="26">
        <v>1</v>
      </c>
      <c r="BJ469" s="26"/>
      <c r="BK469" s="26"/>
      <c r="BL469" s="26"/>
      <c r="BM469" s="26"/>
      <c r="BN469" s="26"/>
      <c r="BO469" s="39">
        <f t="shared" si="39"/>
        <v>1</v>
      </c>
      <c r="BP469" s="58">
        <f t="shared" si="40"/>
        <v>0</v>
      </c>
      <c r="BQ469" s="56">
        <f t="shared" si="41"/>
        <v>0</v>
      </c>
      <c r="BR469" s="57">
        <f t="shared" si="42"/>
        <v>0</v>
      </c>
      <c r="BS469" s="38"/>
      <c r="BT469" s="38"/>
      <c r="BU469" s="26"/>
      <c r="BV469" s="26"/>
      <c r="BW469" s="39">
        <f t="shared" si="43"/>
        <v>1</v>
      </c>
      <c r="BX469" s="78">
        <v>1</v>
      </c>
      <c r="BY469" s="63">
        <v>10</v>
      </c>
      <c r="CB469" s="7"/>
      <c r="CC469" s="7"/>
    </row>
    <row r="470" spans="1:81" ht="16" x14ac:dyDescent="0.2">
      <c r="A470" s="109" t="s">
        <v>307</v>
      </c>
      <c r="B470" s="26">
        <v>35</v>
      </c>
      <c r="C470" s="109" t="s">
        <v>169</v>
      </c>
      <c r="D470" s="26">
        <v>2</v>
      </c>
      <c r="E470" s="26">
        <v>2</v>
      </c>
      <c r="F470" s="26">
        <v>2</v>
      </c>
      <c r="G470" s="26" t="s">
        <v>51</v>
      </c>
      <c r="H470" s="26">
        <v>4</v>
      </c>
      <c r="I470" s="26" t="s">
        <v>51</v>
      </c>
      <c r="J470" s="26" t="s">
        <v>60</v>
      </c>
      <c r="K470" s="26"/>
      <c r="L470" s="26">
        <v>6</v>
      </c>
      <c r="M470" s="40"/>
      <c r="N470" s="36"/>
      <c r="O470" s="36"/>
      <c r="P470" s="36"/>
      <c r="Q470" s="36"/>
      <c r="R470" s="36"/>
      <c r="S470" s="36"/>
      <c r="T470" s="36"/>
      <c r="U470" s="36"/>
      <c r="V470" s="36"/>
      <c r="W470" s="36" t="s">
        <v>39</v>
      </c>
      <c r="X470" s="36">
        <v>1</v>
      </c>
      <c r="Y470" s="36"/>
      <c r="Z470" s="36"/>
      <c r="AA470" s="36"/>
      <c r="AB470" s="36"/>
      <c r="AC470" s="36" t="s">
        <v>38</v>
      </c>
      <c r="AD470" s="36">
        <v>1</v>
      </c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 t="s">
        <v>38</v>
      </c>
      <c r="AP470" s="36">
        <v>1</v>
      </c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G470" s="37">
        <v>2</v>
      </c>
      <c r="BH470" s="26"/>
      <c r="BI470" s="26">
        <v>1</v>
      </c>
      <c r="BJ470" s="26"/>
      <c r="BK470" s="26"/>
      <c r="BL470" s="26"/>
      <c r="BM470" s="26"/>
      <c r="BN470" s="26"/>
      <c r="BO470" s="39">
        <f t="shared" si="39"/>
        <v>3</v>
      </c>
      <c r="BP470" s="58">
        <f t="shared" si="40"/>
        <v>0</v>
      </c>
      <c r="BQ470" s="56">
        <f t="shared" si="41"/>
        <v>0</v>
      </c>
      <c r="BR470" s="57">
        <f t="shared" si="42"/>
        <v>0</v>
      </c>
      <c r="BS470" s="38"/>
      <c r="BT470" s="38"/>
      <c r="BU470" s="26"/>
      <c r="BV470" s="26"/>
      <c r="BW470" s="39">
        <f t="shared" si="43"/>
        <v>3</v>
      </c>
      <c r="BX470" s="78">
        <v>1</v>
      </c>
      <c r="BY470" s="63">
        <v>7</v>
      </c>
      <c r="BZ470" s="7"/>
      <c r="CA470" s="8"/>
      <c r="CB470" s="7"/>
      <c r="CC470" s="7"/>
    </row>
    <row r="471" spans="1:81" x14ac:dyDescent="0.2">
      <c r="A471" s="109" t="s">
        <v>307</v>
      </c>
      <c r="B471" s="26">
        <v>35</v>
      </c>
      <c r="C471" s="109" t="s">
        <v>169</v>
      </c>
      <c r="D471" s="26">
        <v>3</v>
      </c>
      <c r="E471" s="26">
        <v>2</v>
      </c>
      <c r="F471" s="26">
        <v>2</v>
      </c>
      <c r="G471" s="26" t="s">
        <v>51</v>
      </c>
      <c r="H471" s="26">
        <v>4</v>
      </c>
      <c r="I471" s="26" t="s">
        <v>51</v>
      </c>
      <c r="J471" s="26" t="s">
        <v>69</v>
      </c>
      <c r="K471" s="26"/>
      <c r="L471" s="26">
        <v>5</v>
      </c>
      <c r="M471" s="40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G471" s="37"/>
      <c r="BH471" s="26"/>
      <c r="BI471" s="26"/>
      <c r="BJ471" s="26"/>
      <c r="BK471" s="26"/>
      <c r="BL471" s="26"/>
      <c r="BM471" s="26"/>
      <c r="BN471" s="26"/>
      <c r="BO471" s="39">
        <f t="shared" si="39"/>
        <v>0</v>
      </c>
      <c r="BP471" s="58">
        <f t="shared" si="40"/>
        <v>0</v>
      </c>
      <c r="BQ471" s="56">
        <f t="shared" si="41"/>
        <v>0</v>
      </c>
      <c r="BR471" s="57">
        <f t="shared" si="42"/>
        <v>0</v>
      </c>
      <c r="BS471" s="38"/>
      <c r="BT471" s="38"/>
      <c r="BU471" s="26"/>
      <c r="BV471" s="26"/>
      <c r="BW471" s="39">
        <f t="shared" si="43"/>
        <v>0</v>
      </c>
      <c r="BX471" s="78">
        <v>0</v>
      </c>
      <c r="BY471" s="63">
        <v>12</v>
      </c>
      <c r="BZ471" s="7"/>
      <c r="CA471" s="8"/>
      <c r="CB471" s="7"/>
      <c r="CC471" s="7"/>
    </row>
    <row r="472" spans="1:81" ht="16" x14ac:dyDescent="0.2">
      <c r="A472" s="109" t="s">
        <v>307</v>
      </c>
      <c r="B472" s="26">
        <v>35</v>
      </c>
      <c r="C472" s="109" t="s">
        <v>169</v>
      </c>
      <c r="D472" s="26">
        <v>4</v>
      </c>
      <c r="E472" s="26">
        <v>2</v>
      </c>
      <c r="F472" s="26">
        <v>2</v>
      </c>
      <c r="G472" s="26" t="s">
        <v>51</v>
      </c>
      <c r="H472" s="26">
        <v>4</v>
      </c>
      <c r="I472" s="26" t="s">
        <v>51</v>
      </c>
      <c r="J472" s="26" t="s">
        <v>69</v>
      </c>
      <c r="K472" s="26"/>
      <c r="L472" s="26">
        <v>5</v>
      </c>
      <c r="M472" s="40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 t="s">
        <v>38</v>
      </c>
      <c r="BD472" s="36">
        <v>1</v>
      </c>
      <c r="BG472" s="37">
        <v>1</v>
      </c>
      <c r="BH472" s="26"/>
      <c r="BI472" s="26"/>
      <c r="BJ472" s="26"/>
      <c r="BK472" s="26"/>
      <c r="BL472" s="26"/>
      <c r="BM472" s="26"/>
      <c r="BN472" s="26"/>
      <c r="BO472" s="39">
        <f t="shared" si="39"/>
        <v>1</v>
      </c>
      <c r="BP472" s="58">
        <f t="shared" si="40"/>
        <v>0</v>
      </c>
      <c r="BQ472" s="56">
        <f t="shared" si="41"/>
        <v>0</v>
      </c>
      <c r="BR472" s="57">
        <f t="shared" si="42"/>
        <v>0</v>
      </c>
      <c r="BS472" s="38"/>
      <c r="BT472" s="38"/>
      <c r="BU472" s="26"/>
      <c r="BV472" s="26"/>
      <c r="BW472" s="39">
        <f t="shared" si="43"/>
        <v>1</v>
      </c>
      <c r="BX472" s="78">
        <v>1</v>
      </c>
      <c r="BY472" s="63">
        <v>12</v>
      </c>
      <c r="BZ472" s="7"/>
      <c r="CA472" s="8"/>
      <c r="CB472" s="7"/>
      <c r="CC472" s="7"/>
    </row>
    <row r="473" spans="1:81" ht="16" x14ac:dyDescent="0.2">
      <c r="A473" s="109" t="s">
        <v>307</v>
      </c>
      <c r="B473" s="26">
        <v>35</v>
      </c>
      <c r="C473" s="109" t="s">
        <v>169</v>
      </c>
      <c r="D473" s="26">
        <v>5</v>
      </c>
      <c r="E473" s="26">
        <v>2</v>
      </c>
      <c r="F473" s="26">
        <v>2</v>
      </c>
      <c r="G473" s="26" t="s">
        <v>51</v>
      </c>
      <c r="H473" s="26">
        <v>4</v>
      </c>
      <c r="I473" s="26" t="s">
        <v>51</v>
      </c>
      <c r="J473" s="26" t="s">
        <v>41</v>
      </c>
      <c r="K473" s="26"/>
      <c r="L473" s="26">
        <v>5</v>
      </c>
      <c r="M473" s="40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 t="s">
        <v>38</v>
      </c>
      <c r="AR473" s="36">
        <v>1</v>
      </c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G473" s="37">
        <v>1</v>
      </c>
      <c r="BH473" s="26"/>
      <c r="BI473" s="26"/>
      <c r="BJ473" s="26"/>
      <c r="BK473" s="26"/>
      <c r="BL473" s="26"/>
      <c r="BM473" s="26"/>
      <c r="BN473" s="26"/>
      <c r="BO473" s="39">
        <f t="shared" si="39"/>
        <v>1</v>
      </c>
      <c r="BP473" s="58">
        <f t="shared" si="40"/>
        <v>0</v>
      </c>
      <c r="BQ473" s="56">
        <f t="shared" si="41"/>
        <v>0</v>
      </c>
      <c r="BR473" s="57">
        <f t="shared" si="42"/>
        <v>0</v>
      </c>
      <c r="BS473" s="38"/>
      <c r="BT473" s="38"/>
      <c r="BU473" s="26"/>
      <c r="BV473" s="26"/>
      <c r="BW473" s="39">
        <f t="shared" si="43"/>
        <v>1</v>
      </c>
      <c r="BX473" s="78">
        <v>1</v>
      </c>
      <c r="BY473" s="63">
        <v>10</v>
      </c>
      <c r="BZ473" s="7"/>
      <c r="CA473" s="8"/>
      <c r="CB473" s="7"/>
      <c r="CC473" s="7"/>
    </row>
    <row r="474" spans="1:81" ht="16" x14ac:dyDescent="0.2">
      <c r="A474" s="109" t="s">
        <v>308</v>
      </c>
      <c r="B474" s="26">
        <v>32</v>
      </c>
      <c r="C474" s="109" t="s">
        <v>170</v>
      </c>
      <c r="D474" s="38">
        <v>2</v>
      </c>
      <c r="E474" s="38">
        <v>2</v>
      </c>
      <c r="F474" s="38">
        <v>2</v>
      </c>
      <c r="G474" s="38" t="s">
        <v>51</v>
      </c>
      <c r="H474" s="38">
        <v>4</v>
      </c>
      <c r="I474" s="38" t="s">
        <v>51</v>
      </c>
      <c r="J474" s="38" t="s">
        <v>69</v>
      </c>
      <c r="K474" s="38"/>
      <c r="L474" s="38">
        <v>6</v>
      </c>
      <c r="M474" s="40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 t="s">
        <v>38</v>
      </c>
      <c r="AF474" s="36">
        <f>14.5/16</f>
        <v>0.90625</v>
      </c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8" t="s">
        <v>39</v>
      </c>
      <c r="BF474" s="38" t="s">
        <v>46</v>
      </c>
      <c r="BG474" s="39">
        <v>1</v>
      </c>
      <c r="BH474" s="38"/>
      <c r="BI474" s="38"/>
      <c r="BJ474" s="38"/>
      <c r="BK474" s="38"/>
      <c r="BL474" s="38"/>
      <c r="BM474" s="38"/>
      <c r="BN474" s="38"/>
      <c r="BO474" s="37">
        <f t="shared" si="39"/>
        <v>2</v>
      </c>
      <c r="BP474" s="56">
        <f t="shared" si="40"/>
        <v>0</v>
      </c>
      <c r="BQ474" s="56">
        <f t="shared" si="41"/>
        <v>0</v>
      </c>
      <c r="BR474" s="57">
        <f t="shared" si="42"/>
        <v>0</v>
      </c>
      <c r="BS474" s="38"/>
      <c r="BT474" s="38"/>
      <c r="BU474" s="26">
        <v>1</v>
      </c>
      <c r="BV474" s="26"/>
      <c r="BW474" s="39">
        <f t="shared" si="43"/>
        <v>2</v>
      </c>
      <c r="BX474" s="78">
        <v>1</v>
      </c>
      <c r="BY474" s="63">
        <v>12</v>
      </c>
      <c r="BZ474" s="7"/>
      <c r="CA474" s="8"/>
      <c r="CB474" s="7"/>
      <c r="CC474" s="7"/>
    </row>
    <row r="475" spans="1:81" ht="16" x14ac:dyDescent="0.2">
      <c r="A475" s="109" t="s">
        <v>308</v>
      </c>
      <c r="B475" s="26">
        <v>32</v>
      </c>
      <c r="C475" s="109" t="s">
        <v>170</v>
      </c>
      <c r="D475" s="38">
        <v>3</v>
      </c>
      <c r="E475" s="38">
        <v>2</v>
      </c>
      <c r="F475" s="38">
        <v>4</v>
      </c>
      <c r="G475" s="38" t="s">
        <v>50</v>
      </c>
      <c r="H475" s="38">
        <v>6</v>
      </c>
      <c r="I475" s="38" t="s">
        <v>56</v>
      </c>
      <c r="J475" s="38"/>
      <c r="K475" s="38">
        <v>9</v>
      </c>
      <c r="L475" s="38">
        <v>6</v>
      </c>
      <c r="M475" s="40" t="s">
        <v>38</v>
      </c>
      <c r="N475" s="36">
        <f>9/16</f>
        <v>0.5625</v>
      </c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 t="s">
        <v>38</v>
      </c>
      <c r="AB475" s="36">
        <f>6/16</f>
        <v>0.375</v>
      </c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 t="s">
        <v>39</v>
      </c>
      <c r="AV475" s="36">
        <f>8.5/16</f>
        <v>0.53125</v>
      </c>
      <c r="AW475" s="36"/>
      <c r="AX475" s="36"/>
      <c r="AY475" s="36"/>
      <c r="AZ475" s="36"/>
      <c r="BA475" s="36"/>
      <c r="BB475" s="36"/>
      <c r="BC475" s="36" t="s">
        <v>38</v>
      </c>
      <c r="BD475" s="36">
        <f>7.5/16</f>
        <v>0.46875</v>
      </c>
      <c r="BE475" s="38"/>
      <c r="BF475" s="38"/>
      <c r="BG475" s="39"/>
      <c r="BH475" s="38">
        <v>3</v>
      </c>
      <c r="BI475" s="38"/>
      <c r="BJ475" s="38">
        <v>1</v>
      </c>
      <c r="BK475" s="38"/>
      <c r="BL475" s="38"/>
      <c r="BM475" s="38"/>
      <c r="BN475" s="38"/>
      <c r="BO475" s="37">
        <f t="shared" si="39"/>
        <v>0</v>
      </c>
      <c r="BP475" s="56">
        <f t="shared" si="40"/>
        <v>4</v>
      </c>
      <c r="BQ475" s="56">
        <f t="shared" si="41"/>
        <v>0</v>
      </c>
      <c r="BR475" s="57">
        <f t="shared" si="42"/>
        <v>0</v>
      </c>
      <c r="BS475" s="38"/>
      <c r="BT475" s="38"/>
      <c r="BU475" s="26"/>
      <c r="BV475" s="26"/>
      <c r="BW475" s="39">
        <f t="shared" si="43"/>
        <v>4</v>
      </c>
      <c r="BX475" s="78">
        <v>3</v>
      </c>
      <c r="BY475" s="63">
        <v>1</v>
      </c>
      <c r="BZ475" s="7"/>
      <c r="CA475" s="8"/>
      <c r="CB475" s="7"/>
      <c r="CC475" s="7"/>
    </row>
    <row r="476" spans="1:81" ht="16" x14ac:dyDescent="0.2">
      <c r="A476" s="109" t="s">
        <v>308</v>
      </c>
      <c r="B476" s="26">
        <v>32</v>
      </c>
      <c r="C476" s="109" t="s">
        <v>170</v>
      </c>
      <c r="D476" s="38">
        <v>4</v>
      </c>
      <c r="E476" s="38">
        <v>2</v>
      </c>
      <c r="F476" s="38">
        <v>4</v>
      </c>
      <c r="G476" s="38" t="s">
        <v>56</v>
      </c>
      <c r="H476" s="38"/>
      <c r="I476" s="38"/>
      <c r="J476" s="38"/>
      <c r="K476" s="38">
        <v>10</v>
      </c>
      <c r="L476" s="38">
        <v>6</v>
      </c>
      <c r="M476" s="40"/>
      <c r="N476" s="36"/>
      <c r="O476" s="36"/>
      <c r="P476" s="36"/>
      <c r="Q476" s="36"/>
      <c r="R476" s="36"/>
      <c r="S476" s="36"/>
      <c r="T476" s="36"/>
      <c r="U476" s="36"/>
      <c r="V476" s="36"/>
      <c r="W476" s="36" t="s">
        <v>38</v>
      </c>
      <c r="X476" s="36">
        <f>8.5/16</f>
        <v>0.53125</v>
      </c>
      <c r="Y476" s="36" t="s">
        <v>39</v>
      </c>
      <c r="Z476" s="36">
        <f>8.5/16</f>
        <v>0.53125</v>
      </c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 t="s">
        <v>39</v>
      </c>
      <c r="AN476" s="36">
        <f>6/16</f>
        <v>0.375</v>
      </c>
      <c r="AO476" s="36"/>
      <c r="AP476" s="36"/>
      <c r="AQ476" s="36" t="s">
        <v>39</v>
      </c>
      <c r="AR476" s="36">
        <f>7/16</f>
        <v>0.4375</v>
      </c>
      <c r="AS476" s="36"/>
      <c r="AT476" s="36"/>
      <c r="AU476" s="36" t="s">
        <v>38</v>
      </c>
      <c r="AV476" s="36">
        <f>8/16</f>
        <v>0.5</v>
      </c>
      <c r="AW476" s="36"/>
      <c r="AX476" s="36"/>
      <c r="AY476" s="36" t="s">
        <v>38</v>
      </c>
      <c r="AZ476" s="36">
        <f>7/16</f>
        <v>0.4375</v>
      </c>
      <c r="BA476" s="36"/>
      <c r="BB476" s="36"/>
      <c r="BC476" s="36"/>
      <c r="BD476" s="36"/>
      <c r="BE476" s="38"/>
      <c r="BF476" s="38"/>
      <c r="BG476" s="39"/>
      <c r="BH476" s="38">
        <v>3</v>
      </c>
      <c r="BI476" s="38"/>
      <c r="BJ476" s="38">
        <v>3</v>
      </c>
      <c r="BK476" s="38"/>
      <c r="BL476" s="38"/>
      <c r="BM476" s="38"/>
      <c r="BN476" s="38"/>
      <c r="BO476" s="37">
        <f t="shared" si="39"/>
        <v>0</v>
      </c>
      <c r="BP476" s="56">
        <f t="shared" si="40"/>
        <v>6</v>
      </c>
      <c r="BQ476" s="56">
        <f t="shared" si="41"/>
        <v>0</v>
      </c>
      <c r="BR476" s="57">
        <f t="shared" si="42"/>
        <v>0</v>
      </c>
      <c r="BS476" s="38"/>
      <c r="BT476" s="38"/>
      <c r="BU476" s="26"/>
      <c r="BV476" s="26"/>
      <c r="BW476" s="39">
        <f t="shared" si="43"/>
        <v>6</v>
      </c>
      <c r="BX476" s="78">
        <v>3</v>
      </c>
      <c r="BY476" s="63">
        <v>1</v>
      </c>
      <c r="BZ476" s="7"/>
      <c r="CA476" s="8"/>
      <c r="CB476" s="7"/>
      <c r="CC476" s="7"/>
    </row>
    <row r="477" spans="1:81" ht="16" x14ac:dyDescent="0.2">
      <c r="A477" s="109" t="s">
        <v>308</v>
      </c>
      <c r="B477" s="26">
        <v>32</v>
      </c>
      <c r="C477" s="109" t="s">
        <v>170</v>
      </c>
      <c r="D477" s="38">
        <v>5</v>
      </c>
      <c r="E477" s="38">
        <v>2</v>
      </c>
      <c r="F477" s="38">
        <v>3</v>
      </c>
      <c r="G477" s="38" t="s">
        <v>50</v>
      </c>
      <c r="H477" s="38">
        <v>7</v>
      </c>
      <c r="I477" s="38" t="s">
        <v>56</v>
      </c>
      <c r="J477" s="38"/>
      <c r="K477" s="38">
        <v>10</v>
      </c>
      <c r="L477" s="38">
        <v>6</v>
      </c>
      <c r="M477" s="40"/>
      <c r="N477" s="36"/>
      <c r="O477" s="36" t="s">
        <v>39</v>
      </c>
      <c r="P477" s="36">
        <f>6/16</f>
        <v>0.375</v>
      </c>
      <c r="Q477" s="36"/>
      <c r="R477" s="36"/>
      <c r="S477" s="36" t="s">
        <v>38</v>
      </c>
      <c r="T477" s="36">
        <f>6/16</f>
        <v>0.375</v>
      </c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 t="s">
        <v>38</v>
      </c>
      <c r="AV477" s="36">
        <f>6/16</f>
        <v>0.375</v>
      </c>
      <c r="AW477" s="36"/>
      <c r="AX477" s="36"/>
      <c r="AY477" s="36"/>
      <c r="AZ477" s="36"/>
      <c r="BA477" s="36"/>
      <c r="BB477" s="36"/>
      <c r="BC477" s="36"/>
      <c r="BD477" s="36"/>
      <c r="BE477" s="38"/>
      <c r="BF477" s="38"/>
      <c r="BG477" s="39"/>
      <c r="BH477" s="38">
        <v>2</v>
      </c>
      <c r="BI477" s="38"/>
      <c r="BJ477" s="38">
        <v>1</v>
      </c>
      <c r="BK477" s="38"/>
      <c r="BL477" s="38"/>
      <c r="BM477" s="38"/>
      <c r="BN477" s="38"/>
      <c r="BO477" s="37">
        <f t="shared" si="39"/>
        <v>0</v>
      </c>
      <c r="BP477" s="56">
        <f t="shared" si="40"/>
        <v>3</v>
      </c>
      <c r="BQ477" s="56">
        <f t="shared" si="41"/>
        <v>0</v>
      </c>
      <c r="BR477" s="57">
        <f t="shared" si="42"/>
        <v>0</v>
      </c>
      <c r="BS477" s="38"/>
      <c r="BT477" s="38"/>
      <c r="BU477" s="26"/>
      <c r="BV477" s="26"/>
      <c r="BW477" s="39">
        <f t="shared" si="43"/>
        <v>3</v>
      </c>
      <c r="BX477" s="78">
        <v>3</v>
      </c>
      <c r="BY477" s="63">
        <v>1</v>
      </c>
      <c r="BZ477" s="7"/>
      <c r="CA477" s="8"/>
      <c r="CB477" s="7"/>
      <c r="CC477" s="7"/>
    </row>
    <row r="478" spans="1:81" x14ac:dyDescent="0.2">
      <c r="A478" s="109" t="s">
        <v>309</v>
      </c>
      <c r="B478" s="26">
        <v>39</v>
      </c>
      <c r="C478" s="109" t="s">
        <v>171</v>
      </c>
      <c r="D478" s="26">
        <v>3</v>
      </c>
      <c r="E478" s="26">
        <v>2</v>
      </c>
      <c r="F478" s="26">
        <v>3</v>
      </c>
      <c r="G478" s="26" t="s">
        <v>50</v>
      </c>
      <c r="H478" s="26">
        <v>5</v>
      </c>
      <c r="I478" s="46" t="s">
        <v>54</v>
      </c>
      <c r="J478" s="26" t="s">
        <v>42</v>
      </c>
      <c r="K478" s="26"/>
      <c r="L478" s="26">
        <v>6</v>
      </c>
      <c r="M478" s="40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26"/>
      <c r="BF478" s="26"/>
      <c r="BG478" s="37"/>
      <c r="BH478" s="26"/>
      <c r="BI478" s="26"/>
      <c r="BJ478" s="26"/>
      <c r="BK478" s="26"/>
      <c r="BL478" s="26"/>
      <c r="BM478" s="26"/>
      <c r="BN478" s="26"/>
      <c r="BO478" s="37">
        <f t="shared" si="39"/>
        <v>0</v>
      </c>
      <c r="BP478" s="56">
        <f t="shared" si="40"/>
        <v>0</v>
      </c>
      <c r="BQ478" s="56">
        <f t="shared" si="41"/>
        <v>0</v>
      </c>
      <c r="BR478" s="57">
        <f t="shared" si="42"/>
        <v>0</v>
      </c>
      <c r="BS478" s="38"/>
      <c r="BT478" s="38"/>
      <c r="BU478" s="26"/>
      <c r="BV478" s="26"/>
      <c r="BW478" s="39">
        <f t="shared" si="43"/>
        <v>0</v>
      </c>
      <c r="BX478" s="78">
        <v>0</v>
      </c>
      <c r="BY478" s="63">
        <v>8</v>
      </c>
      <c r="CB478" s="7"/>
      <c r="CC478" s="7"/>
    </row>
    <row r="479" spans="1:81" x14ac:dyDescent="0.2">
      <c r="A479" s="109" t="s">
        <v>309</v>
      </c>
      <c r="B479" s="26">
        <v>39</v>
      </c>
      <c r="C479" s="109" t="s">
        <v>171</v>
      </c>
      <c r="D479" s="26">
        <v>5</v>
      </c>
      <c r="E479" s="26">
        <v>2</v>
      </c>
      <c r="F479" s="26">
        <v>2</v>
      </c>
      <c r="G479" s="26" t="s">
        <v>51</v>
      </c>
      <c r="H479" s="26">
        <v>4</v>
      </c>
      <c r="I479" s="26" t="s">
        <v>51</v>
      </c>
      <c r="J479" s="26" t="s">
        <v>41</v>
      </c>
      <c r="K479" s="26"/>
      <c r="L479" s="26">
        <v>5</v>
      </c>
      <c r="M479" s="40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26"/>
      <c r="BF479" s="26"/>
      <c r="BG479" s="37"/>
      <c r="BH479" s="26"/>
      <c r="BI479" s="26"/>
      <c r="BJ479" s="26"/>
      <c r="BK479" s="26"/>
      <c r="BL479" s="26"/>
      <c r="BM479" s="26"/>
      <c r="BN479" s="26"/>
      <c r="BO479" s="37">
        <f t="shared" si="39"/>
        <v>0</v>
      </c>
      <c r="BP479" s="56">
        <f t="shared" si="40"/>
        <v>0</v>
      </c>
      <c r="BQ479" s="56">
        <f t="shared" si="41"/>
        <v>0</v>
      </c>
      <c r="BR479" s="57">
        <f t="shared" si="42"/>
        <v>0</v>
      </c>
      <c r="BS479" s="38"/>
      <c r="BT479" s="38"/>
      <c r="BU479" s="26"/>
      <c r="BV479" s="26"/>
      <c r="BW479" s="39">
        <f t="shared" si="43"/>
        <v>0</v>
      </c>
      <c r="BX479" s="78">
        <v>0</v>
      </c>
      <c r="BY479" s="63">
        <v>10</v>
      </c>
      <c r="CB479" s="7"/>
      <c r="CC479" s="7"/>
    </row>
    <row r="480" spans="1:81" ht="16" x14ac:dyDescent="0.2">
      <c r="A480" s="109" t="s">
        <v>309</v>
      </c>
      <c r="B480" s="26">
        <v>39</v>
      </c>
      <c r="C480" s="109" t="s">
        <v>171</v>
      </c>
      <c r="D480" s="26">
        <v>7</v>
      </c>
      <c r="E480" s="26">
        <v>2</v>
      </c>
      <c r="F480" s="26">
        <v>4</v>
      </c>
      <c r="G480" s="26" t="s">
        <v>50</v>
      </c>
      <c r="H480" s="26">
        <v>6</v>
      </c>
      <c r="I480" s="26" t="s">
        <v>51</v>
      </c>
      <c r="J480" s="26" t="s">
        <v>60</v>
      </c>
      <c r="K480" s="26"/>
      <c r="L480" s="26">
        <v>6</v>
      </c>
      <c r="M480" s="40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 t="s">
        <v>39</v>
      </c>
      <c r="BB480" s="36">
        <f>15.5/15</f>
        <v>1.0333333333333334</v>
      </c>
      <c r="BC480" s="36"/>
      <c r="BD480" s="36"/>
      <c r="BE480" s="26"/>
      <c r="BF480" s="26"/>
      <c r="BG480" s="37"/>
      <c r="BH480" s="26"/>
      <c r="BI480" s="26">
        <v>1</v>
      </c>
      <c r="BJ480" s="26"/>
      <c r="BK480" s="26"/>
      <c r="BL480" s="26"/>
      <c r="BM480" s="26"/>
      <c r="BN480" s="26"/>
      <c r="BO480" s="37">
        <f t="shared" si="39"/>
        <v>1</v>
      </c>
      <c r="BP480" s="56">
        <f t="shared" si="40"/>
        <v>0</v>
      </c>
      <c r="BQ480" s="56">
        <f t="shared" si="41"/>
        <v>0</v>
      </c>
      <c r="BR480" s="57">
        <f t="shared" si="42"/>
        <v>0</v>
      </c>
      <c r="BS480" s="38"/>
      <c r="BT480" s="38"/>
      <c r="BU480" s="26"/>
      <c r="BV480" s="26"/>
      <c r="BW480" s="39">
        <f t="shared" si="43"/>
        <v>1</v>
      </c>
      <c r="BX480" s="78">
        <v>1</v>
      </c>
      <c r="BY480" s="63">
        <v>7</v>
      </c>
      <c r="CB480" s="7"/>
      <c r="CC480" s="7"/>
    </row>
    <row r="481" spans="1:81" ht="16" x14ac:dyDescent="0.2">
      <c r="A481" s="109" t="s">
        <v>309</v>
      </c>
      <c r="B481" s="26">
        <v>39</v>
      </c>
      <c r="C481" s="109" t="s">
        <v>171</v>
      </c>
      <c r="D481" s="26">
        <v>9</v>
      </c>
      <c r="E481" s="26">
        <v>2</v>
      </c>
      <c r="F481" s="26" t="s">
        <v>53</v>
      </c>
      <c r="G481" s="26" t="s">
        <v>50</v>
      </c>
      <c r="H481" s="26"/>
      <c r="I481" s="26"/>
      <c r="J481" s="26" t="s">
        <v>60</v>
      </c>
      <c r="K481" s="26"/>
      <c r="L481" s="26">
        <v>6</v>
      </c>
      <c r="M481" s="40"/>
      <c r="N481" s="36"/>
      <c r="O481" s="36"/>
      <c r="P481" s="36"/>
      <c r="Q481" s="36"/>
      <c r="R481" s="36"/>
      <c r="S481" s="36"/>
      <c r="T481" s="36"/>
      <c r="U481" s="36" t="s">
        <v>39</v>
      </c>
      <c r="V481" s="36">
        <f>9/15</f>
        <v>0.6</v>
      </c>
      <c r="W481" s="36"/>
      <c r="X481" s="36"/>
      <c r="Y481" s="36" t="s">
        <v>39</v>
      </c>
      <c r="Z481" s="36">
        <f>8/15</f>
        <v>0.53333333333333333</v>
      </c>
      <c r="AA481" s="36"/>
      <c r="AB481" s="36"/>
      <c r="AC481" s="36"/>
      <c r="AD481" s="36"/>
      <c r="AE481" s="36" t="s">
        <v>39</v>
      </c>
      <c r="AF481" s="36">
        <f>8/15</f>
        <v>0.53333333333333333</v>
      </c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 t="s">
        <v>39</v>
      </c>
      <c r="AX481" s="36">
        <f>6.5/15</f>
        <v>0.43333333333333335</v>
      </c>
      <c r="AY481" s="36"/>
      <c r="AZ481" s="36"/>
      <c r="BA481" s="36" t="s">
        <v>39</v>
      </c>
      <c r="BB481" s="36">
        <f>10/15</f>
        <v>0.66666666666666663</v>
      </c>
      <c r="BC481" s="36" t="s">
        <v>39</v>
      </c>
      <c r="BD481" s="36">
        <f>8/15</f>
        <v>0.53333333333333333</v>
      </c>
      <c r="BE481" s="26"/>
      <c r="BF481" s="26"/>
      <c r="BG481" s="37"/>
      <c r="BH481" s="26"/>
      <c r="BI481" s="26"/>
      <c r="BJ481" s="26">
        <v>6</v>
      </c>
      <c r="BK481" s="26"/>
      <c r="BL481" s="26"/>
      <c r="BM481" s="26"/>
      <c r="BN481" s="26"/>
      <c r="BO481" s="37">
        <f t="shared" si="39"/>
        <v>0</v>
      </c>
      <c r="BP481" s="56">
        <f t="shared" si="40"/>
        <v>6</v>
      </c>
      <c r="BQ481" s="56">
        <f t="shared" si="41"/>
        <v>0</v>
      </c>
      <c r="BR481" s="57">
        <f t="shared" si="42"/>
        <v>0</v>
      </c>
      <c r="BS481" s="38"/>
      <c r="BT481" s="38"/>
      <c r="BU481" s="26"/>
      <c r="BV481" s="26"/>
      <c r="BW481" s="39">
        <f t="shared" si="43"/>
        <v>6</v>
      </c>
      <c r="BX481" s="78">
        <v>3</v>
      </c>
      <c r="BY481" s="63">
        <v>7</v>
      </c>
      <c r="CB481" s="7"/>
      <c r="CC481" s="7"/>
    </row>
    <row r="482" spans="1:81" ht="16" x14ac:dyDescent="0.2">
      <c r="A482" s="109" t="s">
        <v>309</v>
      </c>
      <c r="B482" s="26">
        <v>39</v>
      </c>
      <c r="C482" s="109" t="s">
        <v>171</v>
      </c>
      <c r="D482" s="26">
        <v>12</v>
      </c>
      <c r="E482" s="26">
        <v>2</v>
      </c>
      <c r="F482" s="26">
        <v>2</v>
      </c>
      <c r="G482" s="26" t="s">
        <v>51</v>
      </c>
      <c r="H482" s="26">
        <v>4</v>
      </c>
      <c r="I482" s="26" t="s">
        <v>51</v>
      </c>
      <c r="J482" s="26"/>
      <c r="K482" s="26" t="s">
        <v>47</v>
      </c>
      <c r="L482" s="26">
        <v>7</v>
      </c>
      <c r="M482" s="40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 t="s">
        <v>39</v>
      </c>
      <c r="AD482" s="36">
        <f>11/15</f>
        <v>0.73333333333333328</v>
      </c>
      <c r="AE482" s="36" t="s">
        <v>39</v>
      </c>
      <c r="AF482" s="36">
        <f>14.5/15</f>
        <v>0.96666666666666667</v>
      </c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 t="s">
        <v>38</v>
      </c>
      <c r="AX482" s="36">
        <f>14/15</f>
        <v>0.93333333333333335</v>
      </c>
      <c r="AY482" s="36"/>
      <c r="AZ482" s="36"/>
      <c r="BA482" s="36"/>
      <c r="BB482" s="36"/>
      <c r="BC482" s="36" t="s">
        <v>38</v>
      </c>
      <c r="BD482" s="36">
        <f>13/15</f>
        <v>0.8666666666666667</v>
      </c>
      <c r="BE482" s="26"/>
      <c r="BF482" s="26"/>
      <c r="BG482" s="37">
        <v>2</v>
      </c>
      <c r="BH482" s="26"/>
      <c r="BI482" s="26">
        <v>2</v>
      </c>
      <c r="BJ482" s="26"/>
      <c r="BK482" s="26"/>
      <c r="BL482" s="26"/>
      <c r="BM482" s="26"/>
      <c r="BN482" s="26"/>
      <c r="BO482" s="37">
        <f t="shared" si="39"/>
        <v>4</v>
      </c>
      <c r="BP482" s="56">
        <f t="shared" si="40"/>
        <v>0</v>
      </c>
      <c r="BQ482" s="56">
        <f t="shared" si="41"/>
        <v>0</v>
      </c>
      <c r="BR482" s="57">
        <f t="shared" si="42"/>
        <v>0</v>
      </c>
      <c r="BS482" s="38"/>
      <c r="BT482" s="38"/>
      <c r="BU482" s="26"/>
      <c r="BV482" s="26"/>
      <c r="BW482" s="39">
        <f t="shared" si="43"/>
        <v>4</v>
      </c>
      <c r="BX482" s="78">
        <v>1</v>
      </c>
      <c r="BY482" s="63">
        <v>3</v>
      </c>
      <c r="CB482" s="7"/>
      <c r="CC482" s="7"/>
    </row>
    <row r="483" spans="1:81" ht="16" x14ac:dyDescent="0.2">
      <c r="A483" s="109" t="s">
        <v>310</v>
      </c>
      <c r="B483" s="26">
        <v>39</v>
      </c>
      <c r="C483" s="109" t="s">
        <v>172</v>
      </c>
      <c r="D483" s="26">
        <v>1</v>
      </c>
      <c r="E483" s="26">
        <v>2</v>
      </c>
      <c r="F483" s="26">
        <v>3</v>
      </c>
      <c r="G483" s="26" t="s">
        <v>50</v>
      </c>
      <c r="H483" s="26">
        <v>6</v>
      </c>
      <c r="I483" s="26" t="s">
        <v>51</v>
      </c>
      <c r="J483" s="26" t="s">
        <v>42</v>
      </c>
      <c r="K483" s="26"/>
      <c r="L483" s="26">
        <v>5</v>
      </c>
      <c r="M483" s="40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 t="s">
        <v>38</v>
      </c>
      <c r="AP483" s="36">
        <f>4/12.5</f>
        <v>0.32</v>
      </c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 t="s">
        <v>39</v>
      </c>
      <c r="BD483" s="36">
        <f>10/12.5</f>
        <v>0.8</v>
      </c>
      <c r="BE483" s="26"/>
      <c r="BF483" s="26"/>
      <c r="BG483" s="37"/>
      <c r="BH483" s="26">
        <v>1</v>
      </c>
      <c r="BI483" s="26">
        <v>1</v>
      </c>
      <c r="BJ483" s="26"/>
      <c r="BK483" s="26"/>
      <c r="BL483" s="26"/>
      <c r="BM483" s="26"/>
      <c r="BO483" s="37">
        <f t="shared" si="39"/>
        <v>1</v>
      </c>
      <c r="BP483" s="56">
        <f t="shared" si="40"/>
        <v>1</v>
      </c>
      <c r="BQ483" s="56">
        <f t="shared" si="41"/>
        <v>0</v>
      </c>
      <c r="BR483" s="57">
        <f t="shared" si="42"/>
        <v>0</v>
      </c>
      <c r="BS483" s="38"/>
      <c r="BT483" s="38"/>
      <c r="BU483" s="26"/>
      <c r="BV483" s="26"/>
      <c r="BW483" s="39">
        <f t="shared" si="43"/>
        <v>2</v>
      </c>
      <c r="BX483" s="78">
        <v>2</v>
      </c>
      <c r="BY483" s="63">
        <v>8</v>
      </c>
    </row>
    <row r="484" spans="1:81" ht="16" x14ac:dyDescent="0.2">
      <c r="A484" s="109" t="s">
        <v>310</v>
      </c>
      <c r="B484" s="26">
        <v>39</v>
      </c>
      <c r="C484" s="109" t="s">
        <v>172</v>
      </c>
      <c r="D484" s="26">
        <v>3</v>
      </c>
      <c r="E484" s="26">
        <v>2</v>
      </c>
      <c r="F484" s="26">
        <v>3</v>
      </c>
      <c r="G484" s="26" t="s">
        <v>50</v>
      </c>
      <c r="H484" s="26">
        <v>6</v>
      </c>
      <c r="I484" s="26" t="s">
        <v>51</v>
      </c>
      <c r="J484" s="26" t="s">
        <v>37</v>
      </c>
      <c r="K484" s="26"/>
      <c r="L484" s="26">
        <v>6</v>
      </c>
      <c r="M484" s="40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 t="s">
        <v>39</v>
      </c>
      <c r="AR484" s="36">
        <f>11/12.5</f>
        <v>0.88</v>
      </c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26"/>
      <c r="BF484" s="26"/>
      <c r="BG484" s="37"/>
      <c r="BH484" s="26"/>
      <c r="BI484" s="26">
        <v>1</v>
      </c>
      <c r="BJ484" s="26"/>
      <c r="BK484" s="26"/>
      <c r="BL484" s="26"/>
      <c r="BM484" s="26"/>
      <c r="BO484" s="37">
        <f t="shared" si="39"/>
        <v>1</v>
      </c>
      <c r="BP484" s="56">
        <f t="shared" si="40"/>
        <v>0</v>
      </c>
      <c r="BQ484" s="56">
        <f t="shared" si="41"/>
        <v>0</v>
      </c>
      <c r="BR484" s="57">
        <f t="shared" si="42"/>
        <v>0</v>
      </c>
      <c r="BS484" s="38"/>
      <c r="BT484" s="38"/>
      <c r="BU484" s="26"/>
      <c r="BV484" s="26"/>
      <c r="BW484" s="39">
        <f t="shared" si="43"/>
        <v>1</v>
      </c>
      <c r="BX484" s="78">
        <v>1</v>
      </c>
      <c r="BY484" s="63">
        <v>9</v>
      </c>
    </row>
    <row r="485" spans="1:81" ht="16" x14ac:dyDescent="0.2">
      <c r="A485" s="109" t="s">
        <v>310</v>
      </c>
      <c r="B485" s="26">
        <v>39</v>
      </c>
      <c r="C485" s="109" t="s">
        <v>172</v>
      </c>
      <c r="D485" s="26">
        <v>4</v>
      </c>
      <c r="E485" s="26">
        <v>2</v>
      </c>
      <c r="F485" s="26">
        <v>1</v>
      </c>
      <c r="G485" s="26" t="s">
        <v>54</v>
      </c>
      <c r="H485" s="26">
        <v>3</v>
      </c>
      <c r="I485" s="26" t="s">
        <v>50</v>
      </c>
      <c r="J485" s="26"/>
      <c r="K485" s="26">
        <v>10</v>
      </c>
      <c r="L485" s="26">
        <v>6</v>
      </c>
      <c r="M485" s="40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 t="s">
        <v>39</v>
      </c>
      <c r="BD485" s="36">
        <f>7/7.5</f>
        <v>0.93333333333333335</v>
      </c>
      <c r="BE485" s="26"/>
      <c r="BF485" s="26"/>
      <c r="BG485" s="37"/>
      <c r="BH485" s="26"/>
      <c r="BI485" s="26">
        <v>1</v>
      </c>
      <c r="BJ485" s="26"/>
      <c r="BK485" s="26"/>
      <c r="BL485" s="26"/>
      <c r="BM485" s="26"/>
      <c r="BO485" s="37">
        <f t="shared" si="39"/>
        <v>1</v>
      </c>
      <c r="BP485" s="56">
        <f t="shared" si="40"/>
        <v>0</v>
      </c>
      <c r="BQ485" s="56">
        <f t="shared" si="41"/>
        <v>0</v>
      </c>
      <c r="BR485" s="57">
        <f t="shared" si="42"/>
        <v>0</v>
      </c>
      <c r="BS485" s="38"/>
      <c r="BT485" s="38"/>
      <c r="BU485" s="26"/>
      <c r="BV485" s="26"/>
      <c r="BW485" s="39">
        <f t="shared" si="43"/>
        <v>1</v>
      </c>
      <c r="BX485" s="78">
        <v>1</v>
      </c>
      <c r="BY485" s="63">
        <v>1</v>
      </c>
    </row>
    <row r="486" spans="1:81" ht="16" x14ac:dyDescent="0.2">
      <c r="A486" s="109" t="s">
        <v>310</v>
      </c>
      <c r="B486" s="26">
        <v>39</v>
      </c>
      <c r="C486" s="109" t="s">
        <v>173</v>
      </c>
      <c r="D486" s="38">
        <v>1</v>
      </c>
      <c r="E486" s="38">
        <v>2</v>
      </c>
      <c r="F486" s="38">
        <v>2</v>
      </c>
      <c r="G486" s="38" t="s">
        <v>51</v>
      </c>
      <c r="H486" s="38">
        <v>4</v>
      </c>
      <c r="I486" s="38" t="s">
        <v>51</v>
      </c>
      <c r="J486" s="38" t="s">
        <v>41</v>
      </c>
      <c r="K486" s="38"/>
      <c r="L486" s="38">
        <v>5</v>
      </c>
      <c r="M486" s="40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 t="s">
        <v>40</v>
      </c>
      <c r="BB486" s="36">
        <f>8/19</f>
        <v>0.42105263157894735</v>
      </c>
      <c r="BC486" s="36"/>
      <c r="BD486" s="36"/>
      <c r="BE486" s="38"/>
      <c r="BF486" s="38"/>
      <c r="BG486" s="39"/>
      <c r="BH486" s="38"/>
      <c r="BI486" s="38"/>
      <c r="BJ486" s="38"/>
      <c r="BK486" s="38"/>
      <c r="BL486" s="38"/>
      <c r="BM486" s="38"/>
      <c r="BN486" s="38">
        <v>1</v>
      </c>
      <c r="BO486" s="37">
        <f t="shared" si="39"/>
        <v>0</v>
      </c>
      <c r="BP486" s="56">
        <f t="shared" si="40"/>
        <v>0</v>
      </c>
      <c r="BQ486" s="56">
        <f t="shared" si="41"/>
        <v>0</v>
      </c>
      <c r="BR486" s="57">
        <f t="shared" si="42"/>
        <v>1</v>
      </c>
      <c r="BS486" s="38"/>
      <c r="BT486" s="38"/>
      <c r="BU486" s="26"/>
      <c r="BV486" s="26"/>
      <c r="BW486" s="39">
        <f t="shared" si="43"/>
        <v>1</v>
      </c>
      <c r="BX486" s="78">
        <v>4</v>
      </c>
      <c r="BY486" s="63">
        <v>10</v>
      </c>
      <c r="BZ486" s="7"/>
      <c r="CA486" s="8"/>
      <c r="CB486" s="7"/>
      <c r="CC486" s="7"/>
    </row>
    <row r="487" spans="1:81" ht="16" x14ac:dyDescent="0.2">
      <c r="A487" s="109" t="s">
        <v>311</v>
      </c>
      <c r="B487" s="26">
        <v>42</v>
      </c>
      <c r="C487" s="109" t="s">
        <v>174</v>
      </c>
      <c r="D487" s="38">
        <v>5</v>
      </c>
      <c r="E487" s="38">
        <v>2</v>
      </c>
      <c r="F487" s="38">
        <v>2</v>
      </c>
      <c r="G487" s="38" t="s">
        <v>51</v>
      </c>
      <c r="H487" s="38">
        <v>4</v>
      </c>
      <c r="I487" s="38" t="s">
        <v>51</v>
      </c>
      <c r="J487" s="38" t="s">
        <v>41</v>
      </c>
      <c r="K487" s="38"/>
      <c r="L487" s="38">
        <v>6</v>
      </c>
      <c r="M487" s="40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 t="s">
        <v>38</v>
      </c>
      <c r="AN487" s="36">
        <f>15.5/16</f>
        <v>0.96875</v>
      </c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8"/>
      <c r="BF487" s="38"/>
      <c r="BG487" s="37">
        <v>1</v>
      </c>
      <c r="BH487" s="26"/>
      <c r="BI487" s="26"/>
      <c r="BJ487" s="26"/>
      <c r="BK487" s="26"/>
      <c r="BL487" s="26"/>
      <c r="BM487" s="26"/>
      <c r="BO487" s="37">
        <f t="shared" si="39"/>
        <v>1</v>
      </c>
      <c r="BP487" s="56">
        <f t="shared" si="40"/>
        <v>0</v>
      </c>
      <c r="BQ487" s="56">
        <f t="shared" si="41"/>
        <v>0</v>
      </c>
      <c r="BR487" s="57">
        <f t="shared" si="42"/>
        <v>0</v>
      </c>
      <c r="BS487" s="38"/>
      <c r="BT487" s="38"/>
      <c r="BU487" s="26"/>
      <c r="BV487" s="26"/>
      <c r="BW487" s="39">
        <f t="shared" si="43"/>
        <v>1</v>
      </c>
      <c r="BX487" s="78">
        <v>1</v>
      </c>
      <c r="BY487" s="63">
        <v>10</v>
      </c>
    </row>
    <row r="488" spans="1:81" ht="16" x14ac:dyDescent="0.2">
      <c r="A488" s="109" t="s">
        <v>311</v>
      </c>
      <c r="B488" s="26">
        <v>42</v>
      </c>
      <c r="C488" s="109" t="s">
        <v>174</v>
      </c>
      <c r="D488" s="38">
        <v>8</v>
      </c>
      <c r="E488" s="38">
        <v>2</v>
      </c>
      <c r="F488" s="38">
        <v>2</v>
      </c>
      <c r="G488" s="38" t="s">
        <v>51</v>
      </c>
      <c r="H488" s="38">
        <v>4</v>
      </c>
      <c r="I488" s="38" t="s">
        <v>51</v>
      </c>
      <c r="J488" s="38" t="s">
        <v>37</v>
      </c>
      <c r="K488" s="38"/>
      <c r="L488" s="38">
        <v>5</v>
      </c>
      <c r="M488" s="40" t="s">
        <v>40</v>
      </c>
      <c r="N488" s="36">
        <f>12/16</f>
        <v>0.75</v>
      </c>
      <c r="O488" s="36"/>
      <c r="P488" s="36"/>
      <c r="Q488" s="36"/>
      <c r="R488" s="36"/>
      <c r="S488" s="36"/>
      <c r="T488" s="36"/>
      <c r="U488" s="36" t="s">
        <v>61</v>
      </c>
      <c r="V488" s="36">
        <v>0.40625</v>
      </c>
      <c r="W488" s="36"/>
      <c r="X488" s="36"/>
      <c r="Y488" s="36"/>
      <c r="Z488" s="36"/>
      <c r="AA488" s="36" t="s">
        <v>38</v>
      </c>
      <c r="AB488" s="36">
        <f>15/16</f>
        <v>0.9375</v>
      </c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 t="s">
        <v>38</v>
      </c>
      <c r="AR488" s="36">
        <f>5.5/16</f>
        <v>0.34375</v>
      </c>
      <c r="AS488" s="36"/>
      <c r="AT488" s="36"/>
      <c r="AU488" s="36"/>
      <c r="AV488" s="36"/>
      <c r="AW488" s="36"/>
      <c r="AX488" s="36"/>
      <c r="AY488" s="36"/>
      <c r="AZ488" s="36"/>
      <c r="BA488" s="36" t="s">
        <v>39</v>
      </c>
      <c r="BB488" s="36">
        <f>15.5/16</f>
        <v>0.96875</v>
      </c>
      <c r="BC488" s="36"/>
      <c r="BD488" s="36"/>
      <c r="BE488" s="38"/>
      <c r="BF488" s="38"/>
      <c r="BG488" s="37">
        <v>1</v>
      </c>
      <c r="BH488" s="26">
        <v>1</v>
      </c>
      <c r="BI488" s="26">
        <v>1</v>
      </c>
      <c r="BJ488" s="26"/>
      <c r="BK488" s="26"/>
      <c r="BL488" s="26"/>
      <c r="BM488" s="26">
        <v>1</v>
      </c>
      <c r="BO488" s="37">
        <f t="shared" si="39"/>
        <v>2</v>
      </c>
      <c r="BP488" s="56">
        <f t="shared" si="40"/>
        <v>1</v>
      </c>
      <c r="BQ488" s="56">
        <f t="shared" si="41"/>
        <v>2</v>
      </c>
      <c r="BR488" s="57">
        <f t="shared" si="42"/>
        <v>0</v>
      </c>
      <c r="BS488" s="38">
        <v>1</v>
      </c>
      <c r="BT488" s="38"/>
      <c r="BU488" s="26"/>
      <c r="BV488" s="26"/>
      <c r="BW488" s="39">
        <f t="shared" si="43"/>
        <v>5</v>
      </c>
      <c r="BX488" s="78">
        <v>2</v>
      </c>
      <c r="BY488" s="63">
        <v>9</v>
      </c>
    </row>
    <row r="489" spans="1:81" x14ac:dyDescent="0.2">
      <c r="A489" s="109" t="s">
        <v>311</v>
      </c>
      <c r="B489" s="26">
        <v>42</v>
      </c>
      <c r="C489" s="109" t="s">
        <v>174</v>
      </c>
      <c r="D489" s="38">
        <v>12</v>
      </c>
      <c r="E489" s="38">
        <v>2</v>
      </c>
      <c r="F489" s="38">
        <v>2</v>
      </c>
      <c r="G489" s="38" t="s">
        <v>51</v>
      </c>
      <c r="H489" s="38">
        <v>4</v>
      </c>
      <c r="I489" s="38" t="s">
        <v>51</v>
      </c>
      <c r="J489" s="38" t="s">
        <v>41</v>
      </c>
      <c r="K489" s="38"/>
      <c r="L489" s="38">
        <v>5</v>
      </c>
      <c r="M489" s="40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8"/>
      <c r="BF489" s="38"/>
      <c r="BG489" s="37"/>
      <c r="BH489" s="26"/>
      <c r="BI489" s="26"/>
      <c r="BJ489" s="26"/>
      <c r="BK489" s="26"/>
      <c r="BL489" s="26"/>
      <c r="BM489" s="26"/>
      <c r="BN489" s="26"/>
      <c r="BO489" s="37">
        <f t="shared" si="39"/>
        <v>0</v>
      </c>
      <c r="BP489" s="56">
        <f t="shared" si="40"/>
        <v>0</v>
      </c>
      <c r="BQ489" s="56">
        <f t="shared" si="41"/>
        <v>0</v>
      </c>
      <c r="BR489" s="57">
        <f t="shared" si="42"/>
        <v>0</v>
      </c>
      <c r="BS489" s="38"/>
      <c r="BT489" s="38"/>
      <c r="BU489" s="26"/>
      <c r="BV489" s="26"/>
      <c r="BW489" s="39">
        <f t="shared" si="43"/>
        <v>0</v>
      </c>
      <c r="BX489" s="78">
        <v>0</v>
      </c>
      <c r="BY489" s="63">
        <v>10</v>
      </c>
      <c r="CB489" s="7"/>
      <c r="CC489" s="7"/>
    </row>
    <row r="490" spans="1:81" ht="16" x14ac:dyDescent="0.2">
      <c r="A490" s="109" t="s">
        <v>311</v>
      </c>
      <c r="B490" s="26">
        <v>42</v>
      </c>
      <c r="C490" s="109" t="s">
        <v>174</v>
      </c>
      <c r="D490" s="38">
        <v>13</v>
      </c>
      <c r="E490" s="38">
        <v>2</v>
      </c>
      <c r="F490" s="38">
        <v>2</v>
      </c>
      <c r="G490" s="38" t="s">
        <v>51</v>
      </c>
      <c r="H490" s="38">
        <v>4</v>
      </c>
      <c r="I490" s="38" t="s">
        <v>51</v>
      </c>
      <c r="J490" s="38" t="s">
        <v>41</v>
      </c>
      <c r="K490" s="38"/>
      <c r="L490" s="38">
        <v>5</v>
      </c>
      <c r="M490" s="40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 t="s">
        <v>38</v>
      </c>
      <c r="AF490" s="36">
        <f>13.5/16</f>
        <v>0.84375</v>
      </c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8"/>
      <c r="BF490" s="38"/>
      <c r="BG490" s="37">
        <v>1</v>
      </c>
      <c r="BH490" s="26"/>
      <c r="BI490" s="26"/>
      <c r="BJ490" s="26"/>
      <c r="BK490" s="26"/>
      <c r="BL490" s="26"/>
      <c r="BM490" s="26"/>
      <c r="BN490" s="26"/>
      <c r="BO490" s="37">
        <f t="shared" si="39"/>
        <v>1</v>
      </c>
      <c r="BP490" s="56">
        <f t="shared" si="40"/>
        <v>0</v>
      </c>
      <c r="BQ490" s="56">
        <f t="shared" si="41"/>
        <v>0</v>
      </c>
      <c r="BR490" s="57">
        <f t="shared" si="42"/>
        <v>0</v>
      </c>
      <c r="BS490" s="38"/>
      <c r="BT490" s="38"/>
      <c r="BU490" s="26"/>
      <c r="BV490" s="26"/>
      <c r="BW490" s="39">
        <f t="shared" si="43"/>
        <v>1</v>
      </c>
      <c r="BX490" s="78">
        <v>1</v>
      </c>
      <c r="BY490" s="63">
        <v>10</v>
      </c>
      <c r="CB490" s="7"/>
      <c r="CC490" s="7"/>
    </row>
    <row r="491" spans="1:81" x14ac:dyDescent="0.2">
      <c r="A491" s="109" t="s">
        <v>311</v>
      </c>
      <c r="B491" s="26">
        <v>42</v>
      </c>
      <c r="C491" s="109" t="s">
        <v>174</v>
      </c>
      <c r="D491" s="38">
        <v>15</v>
      </c>
      <c r="E491" s="38">
        <v>2</v>
      </c>
      <c r="F491" s="38">
        <v>2</v>
      </c>
      <c r="G491" s="38" t="s">
        <v>51</v>
      </c>
      <c r="H491" s="38">
        <v>4</v>
      </c>
      <c r="I491" s="38" t="s">
        <v>51</v>
      </c>
      <c r="J491" s="38" t="s">
        <v>78</v>
      </c>
      <c r="K491" s="38"/>
      <c r="L491" s="38">
        <v>5</v>
      </c>
      <c r="M491" s="40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8"/>
      <c r="BF491" s="38"/>
      <c r="BG491" s="37"/>
      <c r="BH491" s="26"/>
      <c r="BI491" s="26"/>
      <c r="BJ491" s="26"/>
      <c r="BK491" s="26"/>
      <c r="BL491" s="26"/>
      <c r="BM491" s="26"/>
      <c r="BO491" s="37">
        <f t="shared" si="39"/>
        <v>0</v>
      </c>
      <c r="BP491" s="56">
        <f t="shared" si="40"/>
        <v>0</v>
      </c>
      <c r="BQ491" s="56">
        <f t="shared" si="41"/>
        <v>0</v>
      </c>
      <c r="BR491" s="57">
        <f t="shared" si="42"/>
        <v>0</v>
      </c>
      <c r="BS491" s="38"/>
      <c r="BT491" s="38"/>
      <c r="BU491" s="26"/>
      <c r="BV491" s="26"/>
      <c r="BW491" s="39">
        <f t="shared" si="43"/>
        <v>0</v>
      </c>
      <c r="BX491" s="78">
        <v>0</v>
      </c>
      <c r="BY491" s="63">
        <v>13</v>
      </c>
    </row>
    <row r="492" spans="1:81" x14ac:dyDescent="0.2">
      <c r="A492" s="109" t="s">
        <v>311</v>
      </c>
      <c r="B492" s="26">
        <v>42</v>
      </c>
      <c r="C492" s="109" t="s">
        <v>174</v>
      </c>
      <c r="D492" s="38">
        <v>19</v>
      </c>
      <c r="E492" s="38">
        <v>2</v>
      </c>
      <c r="F492" s="38">
        <v>2</v>
      </c>
      <c r="G492" s="38" t="s">
        <v>51</v>
      </c>
      <c r="H492" s="38">
        <v>4</v>
      </c>
      <c r="I492" s="38" t="s">
        <v>51</v>
      </c>
      <c r="J492" s="38" t="s">
        <v>41</v>
      </c>
      <c r="K492" s="38"/>
      <c r="L492" s="38">
        <v>5</v>
      </c>
      <c r="M492" s="40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8"/>
      <c r="BF492" s="38"/>
      <c r="BG492" s="37"/>
      <c r="BH492" s="26"/>
      <c r="BI492" s="26"/>
      <c r="BJ492" s="26"/>
      <c r="BK492" s="26"/>
      <c r="BL492" s="26"/>
      <c r="BM492" s="26"/>
      <c r="BO492" s="37">
        <f t="shared" si="39"/>
        <v>0</v>
      </c>
      <c r="BP492" s="56">
        <f t="shared" si="40"/>
        <v>0</v>
      </c>
      <c r="BQ492" s="56">
        <f t="shared" si="41"/>
        <v>0</v>
      </c>
      <c r="BR492" s="57">
        <f t="shared" si="42"/>
        <v>0</v>
      </c>
      <c r="BS492" s="38"/>
      <c r="BT492" s="38"/>
      <c r="BU492" s="26"/>
      <c r="BV492" s="26"/>
      <c r="BW492" s="39">
        <f t="shared" si="43"/>
        <v>0</v>
      </c>
      <c r="BX492" s="78">
        <v>0</v>
      </c>
      <c r="BY492" s="63">
        <v>10</v>
      </c>
    </row>
    <row r="493" spans="1:81" x14ac:dyDescent="0.2">
      <c r="A493" s="109" t="s">
        <v>312</v>
      </c>
      <c r="B493" s="26">
        <v>41</v>
      </c>
      <c r="C493" s="109" t="s">
        <v>175</v>
      </c>
      <c r="D493" s="38">
        <v>1</v>
      </c>
      <c r="E493" s="38">
        <v>2</v>
      </c>
      <c r="F493" s="38">
        <v>2</v>
      </c>
      <c r="G493" s="38" t="s">
        <v>51</v>
      </c>
      <c r="H493" s="38">
        <v>4</v>
      </c>
      <c r="I493" s="38" t="s">
        <v>51</v>
      </c>
      <c r="J493" s="38" t="s">
        <v>69</v>
      </c>
      <c r="K493" s="38"/>
      <c r="L493" s="38">
        <v>5</v>
      </c>
      <c r="M493" s="40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8"/>
      <c r="BF493" s="38"/>
      <c r="BG493" s="39"/>
      <c r="BH493" s="38"/>
      <c r="BI493" s="38"/>
      <c r="BJ493" s="38"/>
      <c r="BK493" s="38"/>
      <c r="BL493" s="38"/>
      <c r="BM493" s="38"/>
      <c r="BO493" s="37">
        <f t="shared" si="39"/>
        <v>0</v>
      </c>
      <c r="BP493" s="56">
        <f t="shared" si="40"/>
        <v>0</v>
      </c>
      <c r="BQ493" s="56">
        <f t="shared" si="41"/>
        <v>0</v>
      </c>
      <c r="BR493" s="57">
        <f t="shared" si="42"/>
        <v>0</v>
      </c>
      <c r="BS493" s="38"/>
      <c r="BT493" s="38"/>
      <c r="BU493" s="26"/>
      <c r="BV493" s="26"/>
      <c r="BW493" s="39">
        <f t="shared" si="43"/>
        <v>0</v>
      </c>
      <c r="BX493" s="78">
        <v>0</v>
      </c>
      <c r="BY493" s="63">
        <v>12</v>
      </c>
    </row>
    <row r="494" spans="1:81" ht="16" x14ac:dyDescent="0.2">
      <c r="A494" s="109" t="s">
        <v>312</v>
      </c>
      <c r="B494" s="26">
        <v>41</v>
      </c>
      <c r="C494" s="109" t="s">
        <v>175</v>
      </c>
      <c r="D494" s="38">
        <v>2</v>
      </c>
      <c r="E494" s="38">
        <v>2</v>
      </c>
      <c r="F494" s="38">
        <v>2</v>
      </c>
      <c r="G494" s="38" t="s">
        <v>51</v>
      </c>
      <c r="H494" s="38">
        <v>4</v>
      </c>
      <c r="I494" s="38" t="s">
        <v>51</v>
      </c>
      <c r="J494" s="38" t="s">
        <v>65</v>
      </c>
      <c r="K494" s="38"/>
      <c r="L494" s="38">
        <v>5</v>
      </c>
      <c r="M494" s="40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 t="s">
        <v>39</v>
      </c>
      <c r="AL494" s="36">
        <f>3/7</f>
        <v>0.42857142857142855</v>
      </c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 t="s">
        <v>38</v>
      </c>
      <c r="AX494" s="36">
        <f>6/7</f>
        <v>0.8571428571428571</v>
      </c>
      <c r="AY494" s="36"/>
      <c r="AZ494" s="36"/>
      <c r="BA494" s="36"/>
      <c r="BB494" s="36"/>
      <c r="BC494" s="36" t="s">
        <v>38</v>
      </c>
      <c r="BD494" s="36">
        <f>6/7</f>
        <v>0.8571428571428571</v>
      </c>
      <c r="BE494" s="38"/>
      <c r="BF494" s="38"/>
      <c r="BG494" s="39">
        <v>2</v>
      </c>
      <c r="BH494" s="38"/>
      <c r="BI494" s="38"/>
      <c r="BJ494" s="38">
        <v>1</v>
      </c>
      <c r="BK494" s="38"/>
      <c r="BL494" s="38"/>
      <c r="BM494" s="38"/>
      <c r="BN494" s="38"/>
      <c r="BO494" s="37">
        <f t="shared" si="39"/>
        <v>2</v>
      </c>
      <c r="BP494" s="56">
        <f t="shared" si="40"/>
        <v>1</v>
      </c>
      <c r="BQ494" s="56">
        <f t="shared" si="41"/>
        <v>0</v>
      </c>
      <c r="BR494" s="57">
        <f t="shared" si="42"/>
        <v>0</v>
      </c>
      <c r="BS494" s="38"/>
      <c r="BT494" s="38"/>
      <c r="BU494" s="26"/>
      <c r="BV494" s="26"/>
      <c r="BW494" s="39">
        <f t="shared" si="43"/>
        <v>3</v>
      </c>
      <c r="BX494" s="78">
        <v>2</v>
      </c>
      <c r="BY494" s="64">
        <v>11</v>
      </c>
      <c r="BZ494" s="17"/>
      <c r="CA494" s="8"/>
      <c r="CB494" s="7"/>
      <c r="CC494" s="7"/>
    </row>
    <row r="495" spans="1:81" x14ac:dyDescent="0.2">
      <c r="A495" s="109" t="s">
        <v>312</v>
      </c>
      <c r="B495" s="26">
        <v>41</v>
      </c>
      <c r="C495" s="109" t="s">
        <v>175</v>
      </c>
      <c r="D495" s="38">
        <v>3</v>
      </c>
      <c r="E495" s="38">
        <v>2</v>
      </c>
      <c r="F495" s="38">
        <v>2</v>
      </c>
      <c r="G495" s="38" t="s">
        <v>51</v>
      </c>
      <c r="H495" s="38">
        <v>4</v>
      </c>
      <c r="I495" s="38" t="s">
        <v>51</v>
      </c>
      <c r="J495" s="38" t="s">
        <v>41</v>
      </c>
      <c r="K495" s="38"/>
      <c r="L495" s="38">
        <v>6</v>
      </c>
      <c r="M495" s="40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8"/>
      <c r="BF495" s="38"/>
      <c r="BG495" s="39"/>
      <c r="BH495" s="38"/>
      <c r="BI495" s="38"/>
      <c r="BJ495" s="38"/>
      <c r="BK495" s="38"/>
      <c r="BL495" s="38"/>
      <c r="BM495" s="38"/>
      <c r="BN495" s="38"/>
      <c r="BO495" s="37">
        <f t="shared" si="39"/>
        <v>0</v>
      </c>
      <c r="BP495" s="56">
        <f t="shared" si="40"/>
        <v>0</v>
      </c>
      <c r="BQ495" s="56">
        <f t="shared" si="41"/>
        <v>0</v>
      </c>
      <c r="BR495" s="57">
        <f t="shared" si="42"/>
        <v>0</v>
      </c>
      <c r="BS495" s="38"/>
      <c r="BT495" s="38"/>
      <c r="BU495" s="26"/>
      <c r="BV495" s="26"/>
      <c r="BW495" s="39">
        <f t="shared" si="43"/>
        <v>0</v>
      </c>
      <c r="BX495" s="78">
        <v>0</v>
      </c>
      <c r="BY495" s="63">
        <v>10</v>
      </c>
      <c r="BZ495" s="7"/>
      <c r="CA495" s="8"/>
      <c r="CB495" s="7"/>
      <c r="CC495" s="7"/>
    </row>
    <row r="496" spans="1:81" ht="16" x14ac:dyDescent="0.2">
      <c r="A496" s="109" t="s">
        <v>312</v>
      </c>
      <c r="B496" s="26">
        <v>41</v>
      </c>
      <c r="C496" s="109" t="s">
        <v>175</v>
      </c>
      <c r="D496" s="38">
        <v>4</v>
      </c>
      <c r="E496" s="38">
        <v>2</v>
      </c>
      <c r="F496" s="38">
        <v>2</v>
      </c>
      <c r="G496" s="38" t="s">
        <v>51</v>
      </c>
      <c r="H496" s="38">
        <v>4</v>
      </c>
      <c r="I496" s="38" t="s">
        <v>51</v>
      </c>
      <c r="J496" s="38" t="s">
        <v>42</v>
      </c>
      <c r="K496" s="38"/>
      <c r="L496" s="38">
        <v>5</v>
      </c>
      <c r="M496" s="40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 t="s">
        <v>38</v>
      </c>
      <c r="AT496" s="36">
        <f>7.5/8</f>
        <v>0.9375</v>
      </c>
      <c r="AU496" s="36"/>
      <c r="AV496" s="36"/>
      <c r="AW496" s="36"/>
      <c r="AX496" s="36"/>
      <c r="AY496" s="36"/>
      <c r="AZ496" s="36"/>
      <c r="BA496" s="36" t="s">
        <v>38</v>
      </c>
      <c r="BB496" s="36">
        <f>9/8</f>
        <v>1.125</v>
      </c>
      <c r="BC496" s="36"/>
      <c r="BD496" s="36"/>
      <c r="BE496" s="38"/>
      <c r="BF496" s="38"/>
      <c r="BG496" s="39">
        <v>2</v>
      </c>
      <c r="BH496" s="38"/>
      <c r="BI496" s="38"/>
      <c r="BJ496" s="38"/>
      <c r="BK496" s="38"/>
      <c r="BL496" s="38"/>
      <c r="BM496" s="38"/>
      <c r="BN496" s="38"/>
      <c r="BO496" s="37">
        <f t="shared" si="39"/>
        <v>2</v>
      </c>
      <c r="BP496" s="56">
        <f t="shared" si="40"/>
        <v>0</v>
      </c>
      <c r="BQ496" s="56">
        <f t="shared" si="41"/>
        <v>0</v>
      </c>
      <c r="BR496" s="57">
        <f t="shared" si="42"/>
        <v>0</v>
      </c>
      <c r="BS496" s="38"/>
      <c r="BT496" s="38"/>
      <c r="BU496" s="26"/>
      <c r="BV496" s="26"/>
      <c r="BW496" s="39">
        <f t="shared" si="43"/>
        <v>2</v>
      </c>
      <c r="BX496" s="78">
        <v>1</v>
      </c>
      <c r="BY496" s="63">
        <v>8</v>
      </c>
      <c r="BZ496" s="7"/>
      <c r="CA496" s="8"/>
      <c r="CB496" s="7"/>
      <c r="CC496" s="7"/>
    </row>
    <row r="497" spans="1:81" ht="16" x14ac:dyDescent="0.2">
      <c r="A497" s="109" t="s">
        <v>312</v>
      </c>
      <c r="B497" s="26">
        <v>41</v>
      </c>
      <c r="C497" s="109" t="s">
        <v>175</v>
      </c>
      <c r="D497" s="38">
        <v>5</v>
      </c>
      <c r="E497" s="38">
        <v>2</v>
      </c>
      <c r="F497" s="38">
        <v>2</v>
      </c>
      <c r="G497" s="38" t="s">
        <v>51</v>
      </c>
      <c r="H497" s="38">
        <v>4</v>
      </c>
      <c r="I497" s="38" t="s">
        <v>51</v>
      </c>
      <c r="J497" s="38" t="s">
        <v>41</v>
      </c>
      <c r="K497" s="38"/>
      <c r="L497" s="38">
        <v>5</v>
      </c>
      <c r="M497" s="40"/>
      <c r="N497" s="36"/>
      <c r="O497" s="36"/>
      <c r="P497" s="36"/>
      <c r="Q497" s="36" t="s">
        <v>38</v>
      </c>
      <c r="R497" s="36">
        <f>9/9</f>
        <v>1</v>
      </c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 t="s">
        <v>38</v>
      </c>
      <c r="AF497" s="36">
        <f>4/9</f>
        <v>0.44444444444444442</v>
      </c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8"/>
      <c r="BF497" s="38"/>
      <c r="BG497" s="39">
        <v>1</v>
      </c>
      <c r="BH497" s="38">
        <v>1</v>
      </c>
      <c r="BI497" s="38"/>
      <c r="BJ497" s="38"/>
      <c r="BK497" s="38"/>
      <c r="BL497" s="38"/>
      <c r="BM497" s="38"/>
      <c r="BN497" s="38"/>
      <c r="BO497" s="37">
        <f t="shared" si="39"/>
        <v>1</v>
      </c>
      <c r="BP497" s="56">
        <f t="shared" si="40"/>
        <v>1</v>
      </c>
      <c r="BQ497" s="56">
        <f t="shared" si="41"/>
        <v>0</v>
      </c>
      <c r="BR497" s="57">
        <f t="shared" si="42"/>
        <v>0</v>
      </c>
      <c r="BS497" s="38"/>
      <c r="BT497" s="38"/>
      <c r="BU497" s="26"/>
      <c r="BV497" s="26"/>
      <c r="BW497" s="39">
        <f t="shared" si="43"/>
        <v>2</v>
      </c>
      <c r="BX497" s="78">
        <v>2</v>
      </c>
      <c r="BY497" s="63">
        <v>10</v>
      </c>
      <c r="BZ497" s="7"/>
      <c r="CA497" s="8"/>
      <c r="CB497" s="7"/>
      <c r="CC497" s="7"/>
    </row>
    <row r="498" spans="1:81" ht="16" x14ac:dyDescent="0.2">
      <c r="A498" s="109" t="s">
        <v>312</v>
      </c>
      <c r="B498" s="26">
        <v>41</v>
      </c>
      <c r="C498" s="109" t="s">
        <v>175</v>
      </c>
      <c r="D498" s="38">
        <v>6</v>
      </c>
      <c r="E498" s="38">
        <v>2</v>
      </c>
      <c r="F498" s="38" t="s">
        <v>53</v>
      </c>
      <c r="G498" s="38" t="s">
        <v>50</v>
      </c>
      <c r="H498" s="38"/>
      <c r="I498" s="38"/>
      <c r="J498" s="38"/>
      <c r="K498" s="38">
        <v>7</v>
      </c>
      <c r="L498" s="38">
        <v>6</v>
      </c>
      <c r="M498" s="40"/>
      <c r="N498" s="36"/>
      <c r="O498" s="36" t="s">
        <v>55</v>
      </c>
      <c r="P498" s="36">
        <f>4.5/9</f>
        <v>0.5</v>
      </c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 t="s">
        <v>39</v>
      </c>
      <c r="AP498" s="36">
        <f>7/9</f>
        <v>0.77777777777777779</v>
      </c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 t="s">
        <v>38</v>
      </c>
      <c r="BD498" s="36">
        <f>7.5/9</f>
        <v>0.83333333333333337</v>
      </c>
      <c r="BE498" s="38"/>
      <c r="BF498" s="38"/>
      <c r="BG498" s="39">
        <v>1</v>
      </c>
      <c r="BH498" s="38"/>
      <c r="BI498" s="38">
        <v>1</v>
      </c>
      <c r="BJ498" s="38"/>
      <c r="BK498" s="38"/>
      <c r="BL498" s="38">
        <v>1</v>
      </c>
      <c r="BM498" s="38"/>
      <c r="BN498" s="38"/>
      <c r="BO498" s="37">
        <f t="shared" si="39"/>
        <v>2</v>
      </c>
      <c r="BP498" s="56">
        <f t="shared" si="40"/>
        <v>0</v>
      </c>
      <c r="BQ498" s="56">
        <f t="shared" si="41"/>
        <v>0</v>
      </c>
      <c r="BR498" s="57">
        <f t="shared" si="42"/>
        <v>1</v>
      </c>
      <c r="BS498" s="38"/>
      <c r="BT498" s="38"/>
      <c r="BU498" s="26"/>
      <c r="BV498" s="26"/>
      <c r="BW498" s="39">
        <f t="shared" si="43"/>
        <v>3</v>
      </c>
      <c r="BX498" s="78">
        <v>2</v>
      </c>
      <c r="BY498" s="63">
        <v>1</v>
      </c>
      <c r="BZ498" s="7"/>
      <c r="CA498" s="8"/>
      <c r="CB498" s="7"/>
      <c r="CC498" s="7"/>
    </row>
    <row r="499" spans="1:81" ht="16" x14ac:dyDescent="0.2">
      <c r="A499" s="109" t="s">
        <v>312</v>
      </c>
      <c r="B499" s="26">
        <v>41</v>
      </c>
      <c r="C499" s="109" t="s">
        <v>175</v>
      </c>
      <c r="D499" s="38">
        <v>7</v>
      </c>
      <c r="E499" s="38">
        <v>2</v>
      </c>
      <c r="F499" s="38">
        <v>2</v>
      </c>
      <c r="G499" s="38" t="s">
        <v>51</v>
      </c>
      <c r="H499" s="38">
        <v>4</v>
      </c>
      <c r="I499" s="38" t="s">
        <v>51</v>
      </c>
      <c r="J499" s="38"/>
      <c r="K499" s="38">
        <v>6</v>
      </c>
      <c r="L499" s="38">
        <v>6</v>
      </c>
      <c r="M499" s="40"/>
      <c r="N499" s="36"/>
      <c r="O499" s="36" t="s">
        <v>39</v>
      </c>
      <c r="P499" s="36">
        <f>5/9</f>
        <v>0.55555555555555558</v>
      </c>
      <c r="Q499" s="36"/>
      <c r="R499" s="36"/>
      <c r="S499" s="36"/>
      <c r="T499" s="36"/>
      <c r="U499" s="36"/>
      <c r="V499" s="36"/>
      <c r="W499" s="36"/>
      <c r="X499" s="36"/>
      <c r="Y499" s="36" t="s">
        <v>38</v>
      </c>
      <c r="Z499" s="36">
        <f>11.5/9</f>
        <v>1.2777777777777777</v>
      </c>
      <c r="AA499" s="36"/>
      <c r="AB499" s="36"/>
      <c r="AC499" s="36"/>
      <c r="AD499" s="36"/>
      <c r="AE499" s="36"/>
      <c r="AF499" s="36"/>
      <c r="AG499" s="36" t="s">
        <v>39</v>
      </c>
      <c r="AH499" s="36">
        <f>9.5/9</f>
        <v>1.0555555555555556</v>
      </c>
      <c r="AI499" s="36"/>
      <c r="AJ499" s="36"/>
      <c r="AK499" s="36"/>
      <c r="AL499" s="36"/>
      <c r="AM499" s="36" t="s">
        <v>38</v>
      </c>
      <c r="AN499" s="36">
        <f>3/9</f>
        <v>0.33333333333333331</v>
      </c>
      <c r="AO499" s="36" t="s">
        <v>38</v>
      </c>
      <c r="AP499" s="36">
        <f>10.5/9</f>
        <v>1.1666666666666667</v>
      </c>
      <c r="AQ499" s="36"/>
      <c r="AR499" s="36"/>
      <c r="AS499" s="36"/>
      <c r="AT499" s="36"/>
      <c r="AU499" s="36" t="s">
        <v>39</v>
      </c>
      <c r="AV499" s="36">
        <f>3/9</f>
        <v>0.33333333333333331</v>
      </c>
      <c r="AW499" s="36"/>
      <c r="AX499" s="36"/>
      <c r="AY499" s="36"/>
      <c r="AZ499" s="36"/>
      <c r="BA499" s="36"/>
      <c r="BB499" s="36"/>
      <c r="BC499" s="36"/>
      <c r="BD499" s="36"/>
      <c r="BE499" s="38"/>
      <c r="BF499" s="38"/>
      <c r="BG499" s="39">
        <v>2</v>
      </c>
      <c r="BH499" s="38">
        <v>1</v>
      </c>
      <c r="BI499" s="38">
        <v>1</v>
      </c>
      <c r="BJ499" s="38">
        <v>2</v>
      </c>
      <c r="BK499" s="38"/>
      <c r="BL499" s="38"/>
      <c r="BM499" s="38"/>
      <c r="BN499" s="38"/>
      <c r="BO499" s="37">
        <f t="shared" si="39"/>
        <v>3</v>
      </c>
      <c r="BP499" s="56">
        <f t="shared" si="40"/>
        <v>3</v>
      </c>
      <c r="BQ499" s="56">
        <f t="shared" si="41"/>
        <v>0</v>
      </c>
      <c r="BR499" s="57">
        <f t="shared" si="42"/>
        <v>0</v>
      </c>
      <c r="BS499" s="38"/>
      <c r="BT499" s="38"/>
      <c r="BU499" s="26"/>
      <c r="BV499" s="26"/>
      <c r="BW499" s="39">
        <f t="shared" si="43"/>
        <v>6</v>
      </c>
      <c r="BX499" s="78">
        <v>2</v>
      </c>
      <c r="BY499" s="64">
        <v>1</v>
      </c>
      <c r="BZ499" s="17"/>
      <c r="CA499" s="20"/>
      <c r="CB499" s="7"/>
      <c r="CC499" s="7"/>
    </row>
    <row r="500" spans="1:81" ht="16" x14ac:dyDescent="0.2">
      <c r="A500" s="109" t="s">
        <v>313</v>
      </c>
      <c r="B500" s="26">
        <v>38</v>
      </c>
      <c r="C500" s="109" t="s">
        <v>176</v>
      </c>
      <c r="D500" s="26">
        <v>1</v>
      </c>
      <c r="E500" s="26">
        <v>2</v>
      </c>
      <c r="F500" s="26">
        <v>3</v>
      </c>
      <c r="G500" s="26" t="s">
        <v>50</v>
      </c>
      <c r="H500" s="26">
        <v>6</v>
      </c>
      <c r="I500" s="26" t="s">
        <v>51</v>
      </c>
      <c r="J500" s="26"/>
      <c r="K500" s="26">
        <v>8</v>
      </c>
      <c r="L500" s="26">
        <v>6</v>
      </c>
      <c r="M500" s="40"/>
      <c r="N500" s="36"/>
      <c r="O500" s="36"/>
      <c r="P500" s="36"/>
      <c r="Q500" s="36"/>
      <c r="R500" s="36"/>
      <c r="S500" s="36" t="s">
        <v>39</v>
      </c>
      <c r="T500" s="36">
        <f>3/8</f>
        <v>0.375</v>
      </c>
      <c r="U500" s="36"/>
      <c r="V500" s="36"/>
      <c r="W500" s="36" t="s">
        <v>38</v>
      </c>
      <c r="X500" s="36">
        <f>2.5/8</f>
        <v>0.3125</v>
      </c>
      <c r="Y500" s="36" t="s">
        <v>38</v>
      </c>
      <c r="Z500" s="36">
        <f>4/8</f>
        <v>0.5</v>
      </c>
      <c r="AA500" s="36" t="s">
        <v>38</v>
      </c>
      <c r="AB500" s="36">
        <f>4/8</f>
        <v>0.5</v>
      </c>
      <c r="AC500" s="36" t="s">
        <v>39</v>
      </c>
      <c r="AD500" s="36">
        <f>3/8</f>
        <v>0.375</v>
      </c>
      <c r="AE500" s="36" t="s">
        <v>38</v>
      </c>
      <c r="AF500" s="36">
        <f>4/8</f>
        <v>0.5</v>
      </c>
      <c r="AG500" s="36" t="s">
        <v>39</v>
      </c>
      <c r="AH500" s="36">
        <f>6.5/8</f>
        <v>0.8125</v>
      </c>
      <c r="AI500" s="36"/>
      <c r="AJ500" s="36"/>
      <c r="AK500" s="36" t="s">
        <v>39</v>
      </c>
      <c r="AL500" s="36">
        <f>5/8</f>
        <v>0.625</v>
      </c>
      <c r="AM500" s="36" t="s">
        <v>38</v>
      </c>
      <c r="AN500" s="36">
        <f>5/8</f>
        <v>0.625</v>
      </c>
      <c r="AO500" s="36"/>
      <c r="AP500" s="36"/>
      <c r="AQ500" s="36" t="s">
        <v>38</v>
      </c>
      <c r="AR500" s="36">
        <f>3/8</f>
        <v>0.375</v>
      </c>
      <c r="AS500" s="36" t="s">
        <v>39</v>
      </c>
      <c r="AT500" s="36">
        <f>3/8</f>
        <v>0.375</v>
      </c>
      <c r="AU500" s="36" t="s">
        <v>39</v>
      </c>
      <c r="AV500" s="36">
        <f>6/8</f>
        <v>0.75</v>
      </c>
      <c r="AW500" s="36"/>
      <c r="AX500" s="36"/>
      <c r="AY500" s="36" t="s">
        <v>38</v>
      </c>
      <c r="AZ500" s="36">
        <f>3.5/8</f>
        <v>0.4375</v>
      </c>
      <c r="BA500" s="36"/>
      <c r="BB500" s="36"/>
      <c r="BC500" s="36"/>
      <c r="BD500" s="36"/>
      <c r="BE500" s="26"/>
      <c r="BF500" s="26"/>
      <c r="BG500" s="39"/>
      <c r="BH500" s="38">
        <v>7</v>
      </c>
      <c r="BI500" s="38">
        <v>2</v>
      </c>
      <c r="BJ500" s="38">
        <v>4</v>
      </c>
      <c r="BK500" s="38"/>
      <c r="BL500" s="38"/>
      <c r="BM500" s="38"/>
      <c r="BN500" s="38"/>
      <c r="BO500" s="37">
        <f t="shared" si="39"/>
        <v>2</v>
      </c>
      <c r="BP500" s="56">
        <f t="shared" si="40"/>
        <v>11</v>
      </c>
      <c r="BQ500" s="56">
        <f t="shared" si="41"/>
        <v>0</v>
      </c>
      <c r="BR500" s="57">
        <f t="shared" si="42"/>
        <v>0</v>
      </c>
      <c r="BS500" s="38"/>
      <c r="BT500" s="38"/>
      <c r="BU500" s="26"/>
      <c r="BV500" s="26"/>
      <c r="BW500" s="39">
        <f t="shared" si="43"/>
        <v>13</v>
      </c>
      <c r="BX500" s="78">
        <v>2</v>
      </c>
      <c r="BY500" s="63">
        <v>1</v>
      </c>
      <c r="BZ500" s="7"/>
      <c r="CA500" s="8"/>
      <c r="CB500" s="7"/>
      <c r="CC500" s="7"/>
    </row>
    <row r="501" spans="1:81" ht="16" x14ac:dyDescent="0.2">
      <c r="A501" s="109" t="s">
        <v>313</v>
      </c>
      <c r="B501" s="26">
        <v>38</v>
      </c>
      <c r="C501" s="109" t="s">
        <v>176</v>
      </c>
      <c r="D501" s="26">
        <v>2</v>
      </c>
      <c r="E501" s="26">
        <v>2</v>
      </c>
      <c r="F501" s="26" t="s">
        <v>53</v>
      </c>
      <c r="G501" s="26" t="s">
        <v>50</v>
      </c>
      <c r="H501" s="26"/>
      <c r="I501" s="26"/>
      <c r="J501" s="26"/>
      <c r="K501" s="26">
        <v>8</v>
      </c>
      <c r="L501" s="26">
        <v>6</v>
      </c>
      <c r="M501" s="40"/>
      <c r="N501" s="36"/>
      <c r="O501" s="36"/>
      <c r="P501" s="36"/>
      <c r="Q501" s="36"/>
      <c r="R501" s="36"/>
      <c r="S501" s="36" t="s">
        <v>39</v>
      </c>
      <c r="T501" s="36">
        <f>2/8</f>
        <v>0.25</v>
      </c>
      <c r="U501" s="36"/>
      <c r="V501" s="36"/>
      <c r="W501" s="36" t="s">
        <v>38</v>
      </c>
      <c r="X501" s="36">
        <f>2/8</f>
        <v>0.25</v>
      </c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 t="s">
        <v>39</v>
      </c>
      <c r="AJ501" s="36">
        <f>3.5/8</f>
        <v>0.4375</v>
      </c>
      <c r="AK501" s="36"/>
      <c r="AL501" s="36"/>
      <c r="AM501" s="36"/>
      <c r="AN501" s="36"/>
      <c r="AO501" s="36"/>
      <c r="AP501" s="36"/>
      <c r="AQ501" s="36" t="s">
        <v>38</v>
      </c>
      <c r="AR501" s="36">
        <f>2/8</f>
        <v>0.25</v>
      </c>
      <c r="AS501" s="36" t="s">
        <v>38</v>
      </c>
      <c r="AT501" s="36">
        <f>3/8</f>
        <v>0.375</v>
      </c>
      <c r="AU501" s="36"/>
      <c r="AV501" s="36"/>
      <c r="AW501" s="36"/>
      <c r="AX501" s="36"/>
      <c r="AY501" s="36"/>
      <c r="AZ501" s="36"/>
      <c r="BA501" s="36" t="s">
        <v>39</v>
      </c>
      <c r="BB501" s="36">
        <f>4/8</f>
        <v>0.5</v>
      </c>
      <c r="BC501" s="36"/>
      <c r="BD501" s="36"/>
      <c r="BE501" s="26"/>
      <c r="BF501" s="26"/>
      <c r="BG501" s="39"/>
      <c r="BH501" s="38">
        <v>1</v>
      </c>
      <c r="BI501" s="38"/>
      <c r="BJ501" s="38">
        <v>2</v>
      </c>
      <c r="BK501" s="38"/>
      <c r="BL501" s="38"/>
      <c r="BM501" s="38"/>
      <c r="BN501" s="38"/>
      <c r="BO501" s="37">
        <f t="shared" si="39"/>
        <v>0</v>
      </c>
      <c r="BP501" s="56">
        <f t="shared" si="40"/>
        <v>3</v>
      </c>
      <c r="BQ501" s="56">
        <f t="shared" si="41"/>
        <v>0</v>
      </c>
      <c r="BR501" s="57">
        <f t="shared" si="42"/>
        <v>0</v>
      </c>
      <c r="BS501" s="38"/>
      <c r="BT501" s="38"/>
      <c r="BU501" s="26"/>
      <c r="BV501" s="26"/>
      <c r="BW501" s="39">
        <f t="shared" si="43"/>
        <v>3</v>
      </c>
      <c r="BX501" s="78">
        <v>3</v>
      </c>
      <c r="BY501" s="63">
        <v>1</v>
      </c>
      <c r="BZ501" s="7"/>
      <c r="CA501" s="8"/>
      <c r="CB501" s="7"/>
      <c r="CC501" s="7"/>
    </row>
    <row r="502" spans="1:81" ht="16" x14ac:dyDescent="0.2">
      <c r="A502" s="109" t="s">
        <v>313</v>
      </c>
      <c r="B502" s="26">
        <v>38</v>
      </c>
      <c r="C502" s="109" t="s">
        <v>176</v>
      </c>
      <c r="D502" s="26">
        <v>4</v>
      </c>
      <c r="E502" s="26">
        <v>2</v>
      </c>
      <c r="F502" s="26">
        <v>2</v>
      </c>
      <c r="G502" s="26" t="s">
        <v>51</v>
      </c>
      <c r="H502" s="26">
        <v>5</v>
      </c>
      <c r="I502" s="26" t="s">
        <v>56</v>
      </c>
      <c r="J502" s="26"/>
      <c r="K502" s="38" t="s">
        <v>63</v>
      </c>
      <c r="L502" s="26">
        <v>6</v>
      </c>
      <c r="M502" s="40" t="s">
        <v>38</v>
      </c>
      <c r="N502" s="36">
        <f>3.5/8</f>
        <v>0.4375</v>
      </c>
      <c r="O502" s="36"/>
      <c r="P502" s="36"/>
      <c r="Q502" s="36" t="s">
        <v>38</v>
      </c>
      <c r="R502" s="36">
        <f>3.5/8</f>
        <v>0.4375</v>
      </c>
      <c r="S502" s="36" t="s">
        <v>39</v>
      </c>
      <c r="T502" s="36">
        <f>3/8</f>
        <v>0.375</v>
      </c>
      <c r="U502" s="36"/>
      <c r="V502" s="36"/>
      <c r="W502" s="36" t="s">
        <v>39</v>
      </c>
      <c r="X502" s="36">
        <f>3/8</f>
        <v>0.375</v>
      </c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 t="s">
        <v>38</v>
      </c>
      <c r="AV502" s="36">
        <f>2.5/8</f>
        <v>0.3125</v>
      </c>
      <c r="AW502" s="36"/>
      <c r="AX502" s="36"/>
      <c r="AY502" s="36" t="s">
        <v>39</v>
      </c>
      <c r="AZ502" s="36">
        <f>3/8</f>
        <v>0.375</v>
      </c>
      <c r="BA502" s="36"/>
      <c r="BB502" s="36"/>
      <c r="BC502" s="36"/>
      <c r="BD502" s="36"/>
      <c r="BE502" s="26" t="s">
        <v>38</v>
      </c>
      <c r="BF502" s="26" t="s">
        <v>67</v>
      </c>
      <c r="BG502" s="39"/>
      <c r="BH502" s="38">
        <v>3</v>
      </c>
      <c r="BI502" s="38"/>
      <c r="BJ502" s="38">
        <v>3</v>
      </c>
      <c r="BK502" s="38"/>
      <c r="BL502" s="38"/>
      <c r="BM502" s="38"/>
      <c r="BN502" s="38"/>
      <c r="BO502" s="37">
        <f t="shared" si="39"/>
        <v>1</v>
      </c>
      <c r="BP502" s="56">
        <f t="shared" si="40"/>
        <v>6</v>
      </c>
      <c r="BQ502" s="56">
        <f t="shared" si="41"/>
        <v>0</v>
      </c>
      <c r="BR502" s="57">
        <f t="shared" si="42"/>
        <v>0</v>
      </c>
      <c r="BS502" s="38"/>
      <c r="BT502" s="38"/>
      <c r="BU502" s="26">
        <v>1</v>
      </c>
      <c r="BV502" s="26"/>
      <c r="BW502" s="39">
        <f t="shared" si="43"/>
        <v>7</v>
      </c>
      <c r="BX502" s="78">
        <v>2</v>
      </c>
      <c r="BY502" s="63">
        <v>2</v>
      </c>
      <c r="BZ502" s="7"/>
      <c r="CA502" s="8"/>
      <c r="CB502" s="7"/>
      <c r="CC502" s="7"/>
    </row>
    <row r="503" spans="1:81" ht="16" x14ac:dyDescent="0.2">
      <c r="A503" s="109" t="s">
        <v>313</v>
      </c>
      <c r="B503" s="26">
        <v>38</v>
      </c>
      <c r="C503" s="109" t="s">
        <v>176</v>
      </c>
      <c r="D503" s="26">
        <v>5</v>
      </c>
      <c r="E503" s="26">
        <v>2</v>
      </c>
      <c r="F503" s="26">
        <v>2</v>
      </c>
      <c r="G503" s="26" t="s">
        <v>51</v>
      </c>
      <c r="H503" s="26">
        <v>4</v>
      </c>
      <c r="I503" s="26" t="s">
        <v>51</v>
      </c>
      <c r="J503" s="26" t="s">
        <v>44</v>
      </c>
      <c r="K503" s="26"/>
      <c r="L503" s="26">
        <v>6</v>
      </c>
      <c r="M503" s="40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 t="s">
        <v>38</v>
      </c>
      <c r="AP503" s="36">
        <f>8/8</f>
        <v>1</v>
      </c>
      <c r="AQ503" s="36"/>
      <c r="AR503" s="36"/>
      <c r="AS503" s="36"/>
      <c r="AT503" s="36"/>
      <c r="AU503" s="36"/>
      <c r="AV503" s="36"/>
      <c r="AW503" s="36" t="s">
        <v>38</v>
      </c>
      <c r="AX503" s="36">
        <f>5/8</f>
        <v>0.625</v>
      </c>
      <c r="AY503" s="36"/>
      <c r="AZ503" s="36"/>
      <c r="BA503" s="36"/>
      <c r="BB503" s="36"/>
      <c r="BC503" s="36"/>
      <c r="BD503" s="36"/>
      <c r="BE503" s="26"/>
      <c r="BF503" s="26"/>
      <c r="BG503" s="39">
        <v>1</v>
      </c>
      <c r="BH503" s="38">
        <v>1</v>
      </c>
      <c r="BI503" s="38"/>
      <c r="BJ503" s="38"/>
      <c r="BK503" s="38"/>
      <c r="BL503" s="38"/>
      <c r="BM503" s="38"/>
      <c r="BO503" s="37">
        <f t="shared" si="39"/>
        <v>1</v>
      </c>
      <c r="BP503" s="56">
        <f t="shared" si="40"/>
        <v>1</v>
      </c>
      <c r="BQ503" s="56">
        <f t="shared" si="41"/>
        <v>0</v>
      </c>
      <c r="BR503" s="57">
        <f t="shared" si="42"/>
        <v>0</v>
      </c>
      <c r="BS503" s="38"/>
      <c r="BT503" s="38"/>
      <c r="BU503" s="26"/>
      <c r="BV503" s="26"/>
      <c r="BW503" s="39">
        <f t="shared" si="43"/>
        <v>2</v>
      </c>
      <c r="BX503" s="78">
        <v>2</v>
      </c>
      <c r="BY503" s="63">
        <v>4</v>
      </c>
    </row>
    <row r="504" spans="1:81" ht="16" x14ac:dyDescent="0.2">
      <c r="A504" s="109" t="s">
        <v>313</v>
      </c>
      <c r="B504" s="26">
        <v>38</v>
      </c>
      <c r="C504" s="109" t="s">
        <v>176</v>
      </c>
      <c r="D504" s="26">
        <v>6</v>
      </c>
      <c r="E504" s="26">
        <v>2</v>
      </c>
      <c r="F504" s="26">
        <v>2</v>
      </c>
      <c r="G504" s="26" t="s">
        <v>51</v>
      </c>
      <c r="H504" s="26">
        <v>4</v>
      </c>
      <c r="I504" s="26" t="s">
        <v>51</v>
      </c>
      <c r="J504" s="26" t="s">
        <v>60</v>
      </c>
      <c r="K504" s="26"/>
      <c r="L504" s="26">
        <v>6</v>
      </c>
      <c r="M504" s="40"/>
      <c r="N504" s="36"/>
      <c r="O504" s="36"/>
      <c r="P504" s="36"/>
      <c r="Q504" s="36" t="s">
        <v>61</v>
      </c>
      <c r="R504" s="36">
        <v>1</v>
      </c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 t="s">
        <v>39</v>
      </c>
      <c r="AX504" s="36">
        <f>3/8</f>
        <v>0.375</v>
      </c>
      <c r="AY504" s="36"/>
      <c r="AZ504" s="36"/>
      <c r="BA504" s="36"/>
      <c r="BB504" s="36"/>
      <c r="BC504" s="36"/>
      <c r="BD504" s="36"/>
      <c r="BE504" s="26" t="s">
        <v>38</v>
      </c>
      <c r="BF504" s="26" t="s">
        <v>66</v>
      </c>
      <c r="BG504" s="39"/>
      <c r="BH504" s="38"/>
      <c r="BI504" s="38"/>
      <c r="BJ504" s="38">
        <v>1</v>
      </c>
      <c r="BK504" s="38"/>
      <c r="BL504" s="38"/>
      <c r="BM504" s="38"/>
      <c r="BN504" s="38"/>
      <c r="BO504" s="37">
        <f t="shared" si="39"/>
        <v>1</v>
      </c>
      <c r="BP504" s="56">
        <f t="shared" si="40"/>
        <v>1</v>
      </c>
      <c r="BQ504" s="56">
        <f t="shared" si="41"/>
        <v>1</v>
      </c>
      <c r="BR504" s="57">
        <f t="shared" si="42"/>
        <v>0</v>
      </c>
      <c r="BS504" s="38">
        <v>1</v>
      </c>
      <c r="BT504" s="38"/>
      <c r="BU504" s="26">
        <v>1</v>
      </c>
      <c r="BV504" s="26"/>
      <c r="BW504" s="39">
        <f t="shared" si="43"/>
        <v>3</v>
      </c>
      <c r="BX504" s="78">
        <v>2</v>
      </c>
      <c r="BY504" s="63">
        <v>7</v>
      </c>
      <c r="BZ504" s="7"/>
      <c r="CA504" s="8"/>
      <c r="CB504" s="7"/>
      <c r="CC504" s="7"/>
    </row>
    <row r="505" spans="1:81" ht="16" x14ac:dyDescent="0.2">
      <c r="A505" s="125" t="s">
        <v>313</v>
      </c>
      <c r="B505" s="26">
        <v>38</v>
      </c>
      <c r="C505" s="109" t="s">
        <v>176</v>
      </c>
      <c r="D505" s="26">
        <v>7</v>
      </c>
      <c r="E505" s="26">
        <v>2</v>
      </c>
      <c r="F505" s="26">
        <v>2</v>
      </c>
      <c r="G505" s="26" t="s">
        <v>51</v>
      </c>
      <c r="H505" s="26">
        <v>4</v>
      </c>
      <c r="I505" s="26" t="s">
        <v>51</v>
      </c>
      <c r="J505" s="26" t="s">
        <v>41</v>
      </c>
      <c r="K505" s="26"/>
      <c r="L505" s="26">
        <v>5</v>
      </c>
      <c r="M505" s="40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26"/>
      <c r="BF505" s="26"/>
      <c r="BG505" s="40"/>
      <c r="BH505" s="36"/>
      <c r="BI505" s="36"/>
      <c r="BJ505" s="36"/>
      <c r="BK505" s="36"/>
      <c r="BL505" s="36"/>
      <c r="BM505" s="36"/>
      <c r="BN505" s="36"/>
      <c r="BO505" s="37">
        <f t="shared" si="39"/>
        <v>0</v>
      </c>
      <c r="BP505" s="56">
        <f t="shared" si="40"/>
        <v>0</v>
      </c>
      <c r="BQ505" s="56">
        <f t="shared" si="41"/>
        <v>0</v>
      </c>
      <c r="BR505" s="57">
        <f t="shared" si="42"/>
        <v>0</v>
      </c>
      <c r="BS505" s="38"/>
      <c r="BT505" s="38"/>
      <c r="BU505" s="26"/>
      <c r="BV505" s="26"/>
      <c r="BW505" s="39">
        <f t="shared" si="43"/>
        <v>0</v>
      </c>
      <c r="BX505" s="78">
        <v>0</v>
      </c>
      <c r="BY505" s="75">
        <v>10</v>
      </c>
      <c r="BZ505" s="16"/>
      <c r="CA505" s="21"/>
      <c r="CB505" s="16"/>
      <c r="CC505" s="16"/>
    </row>
    <row r="506" spans="1:81" ht="16" x14ac:dyDescent="0.2">
      <c r="A506" s="125" t="s">
        <v>313</v>
      </c>
      <c r="B506" s="26">
        <v>38</v>
      </c>
      <c r="C506" s="109" t="s">
        <v>176</v>
      </c>
      <c r="D506" s="26">
        <v>8</v>
      </c>
      <c r="E506" s="26">
        <v>2</v>
      </c>
      <c r="F506" s="26">
        <v>2</v>
      </c>
      <c r="G506" s="26" t="s">
        <v>51</v>
      </c>
      <c r="H506" s="26">
        <v>4</v>
      </c>
      <c r="I506" s="26" t="s">
        <v>51</v>
      </c>
      <c r="J506" s="26" t="s">
        <v>41</v>
      </c>
      <c r="K506" s="26"/>
      <c r="L506" s="26">
        <v>5</v>
      </c>
      <c r="M506" s="40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26"/>
      <c r="BF506" s="26"/>
      <c r="BG506" s="40"/>
      <c r="BH506" s="36"/>
      <c r="BI506" s="36"/>
      <c r="BJ506" s="36"/>
      <c r="BK506" s="36"/>
      <c r="BL506" s="36"/>
      <c r="BM506" s="36"/>
      <c r="BN506" s="36"/>
      <c r="BO506" s="37">
        <f t="shared" si="39"/>
        <v>0</v>
      </c>
      <c r="BP506" s="56">
        <f t="shared" si="40"/>
        <v>0</v>
      </c>
      <c r="BQ506" s="56">
        <f t="shared" si="41"/>
        <v>0</v>
      </c>
      <c r="BR506" s="57">
        <f t="shared" si="42"/>
        <v>0</v>
      </c>
      <c r="BS506" s="38"/>
      <c r="BT506" s="38"/>
      <c r="BU506" s="26"/>
      <c r="BV506" s="26"/>
      <c r="BW506" s="39">
        <f t="shared" si="43"/>
        <v>0</v>
      </c>
      <c r="BX506" s="78">
        <v>0</v>
      </c>
      <c r="BY506" s="75">
        <v>10</v>
      </c>
      <c r="BZ506" s="16"/>
      <c r="CA506" s="21"/>
      <c r="CB506" s="16"/>
      <c r="CC506" s="16"/>
    </row>
    <row r="507" spans="1:81" ht="16" x14ac:dyDescent="0.2">
      <c r="A507" s="125" t="s">
        <v>313</v>
      </c>
      <c r="B507" s="26">
        <v>38</v>
      </c>
      <c r="C507" s="109" t="s">
        <v>176</v>
      </c>
      <c r="D507" s="26">
        <v>10</v>
      </c>
      <c r="E507" s="26">
        <v>2</v>
      </c>
      <c r="F507" s="26">
        <v>2</v>
      </c>
      <c r="G507" s="26" t="s">
        <v>51</v>
      </c>
      <c r="H507" s="26">
        <v>4</v>
      </c>
      <c r="I507" s="26" t="s">
        <v>51</v>
      </c>
      <c r="J507" s="26"/>
      <c r="K507" s="38" t="s">
        <v>63</v>
      </c>
      <c r="L507" s="26">
        <v>6</v>
      </c>
      <c r="M507" s="40"/>
      <c r="N507" s="36"/>
      <c r="O507" s="36"/>
      <c r="P507" s="36"/>
      <c r="Q507" s="36"/>
      <c r="R507" s="36"/>
      <c r="S507" s="36"/>
      <c r="T507" s="36"/>
      <c r="U507" s="36"/>
      <c r="V507" s="36"/>
      <c r="W507" s="36" t="s">
        <v>38</v>
      </c>
      <c r="X507" s="36">
        <f>6/8</f>
        <v>0.75</v>
      </c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 t="s">
        <v>39</v>
      </c>
      <c r="BD507" s="36">
        <f>7.5/8</f>
        <v>0.9375</v>
      </c>
      <c r="BE507" s="26"/>
      <c r="BF507" s="26"/>
      <c r="BG507" s="40">
        <v>1</v>
      </c>
      <c r="BH507" s="36"/>
      <c r="BI507" s="36">
        <v>1</v>
      </c>
      <c r="BJ507" s="36"/>
      <c r="BK507" s="36"/>
      <c r="BL507" s="36"/>
      <c r="BM507" s="36"/>
      <c r="BN507" s="36"/>
      <c r="BO507" s="37">
        <f t="shared" si="39"/>
        <v>2</v>
      </c>
      <c r="BP507" s="56">
        <f t="shared" si="40"/>
        <v>0</v>
      </c>
      <c r="BQ507" s="56">
        <f t="shared" si="41"/>
        <v>0</v>
      </c>
      <c r="BR507" s="57">
        <f t="shared" si="42"/>
        <v>0</v>
      </c>
      <c r="BS507" s="38"/>
      <c r="BT507" s="38"/>
      <c r="BU507" s="26"/>
      <c r="BV507" s="26"/>
      <c r="BW507" s="39">
        <f t="shared" si="43"/>
        <v>2</v>
      </c>
      <c r="BX507" s="78">
        <v>1</v>
      </c>
      <c r="BY507" s="65">
        <v>2</v>
      </c>
      <c r="BZ507" s="16"/>
      <c r="CA507" s="21"/>
      <c r="CB507" s="16"/>
      <c r="CC507" s="16"/>
    </row>
    <row r="508" spans="1:81" ht="16" x14ac:dyDescent="0.2">
      <c r="A508" s="109" t="s">
        <v>313</v>
      </c>
      <c r="B508" s="26">
        <v>38</v>
      </c>
      <c r="C508" s="109" t="s">
        <v>176</v>
      </c>
      <c r="D508" s="26">
        <v>11</v>
      </c>
      <c r="E508" s="26">
        <v>2</v>
      </c>
      <c r="F508" s="26">
        <v>2</v>
      </c>
      <c r="G508" s="26" t="s">
        <v>51</v>
      </c>
      <c r="H508" s="26" t="s">
        <v>79</v>
      </c>
      <c r="I508" s="26" t="s">
        <v>50</v>
      </c>
      <c r="J508" s="26"/>
      <c r="K508" s="26">
        <v>12</v>
      </c>
      <c r="L508" s="26">
        <v>6</v>
      </c>
      <c r="M508" s="40"/>
      <c r="N508" s="36"/>
      <c r="O508" s="36" t="s">
        <v>39</v>
      </c>
      <c r="P508" s="36">
        <f>3/8</f>
        <v>0.375</v>
      </c>
      <c r="Q508" s="36" t="s">
        <v>38</v>
      </c>
      <c r="R508" s="36">
        <f>16/8</f>
        <v>2</v>
      </c>
      <c r="S508" s="36"/>
      <c r="T508" s="36"/>
      <c r="U508" s="36" t="s">
        <v>39</v>
      </c>
      <c r="V508" s="36">
        <f>4/8</f>
        <v>0.5</v>
      </c>
      <c r="W508" s="36" t="s">
        <v>39</v>
      </c>
      <c r="X508" s="36">
        <f>10/8</f>
        <v>1.25</v>
      </c>
      <c r="Y508" s="36" t="s">
        <v>38</v>
      </c>
      <c r="Z508" s="36">
        <f>5/8</f>
        <v>0.625</v>
      </c>
      <c r="AA508" s="36" t="s">
        <v>38</v>
      </c>
      <c r="AB508" s="36">
        <f>4/8</f>
        <v>0.5</v>
      </c>
      <c r="AC508" s="36"/>
      <c r="AD508" s="36"/>
      <c r="AE508" s="36" t="s">
        <v>38</v>
      </c>
      <c r="AF508" s="36">
        <f>5/8</f>
        <v>0.625</v>
      </c>
      <c r="AG508" s="36" t="s">
        <v>38</v>
      </c>
      <c r="AH508" s="36">
        <f>7/8</f>
        <v>0.875</v>
      </c>
      <c r="AI508" s="36"/>
      <c r="AJ508" s="36"/>
      <c r="AK508" s="36" t="s">
        <v>38</v>
      </c>
      <c r="AL508" s="36">
        <f>4/8</f>
        <v>0.5</v>
      </c>
      <c r="AM508" s="36" t="s">
        <v>38</v>
      </c>
      <c r="AN508" s="36">
        <f>12/8</f>
        <v>1.5</v>
      </c>
      <c r="AO508" s="36" t="s">
        <v>39</v>
      </c>
      <c r="AP508" s="36">
        <f>6.5/8</f>
        <v>0.8125</v>
      </c>
      <c r="AQ508" s="36" t="s">
        <v>39</v>
      </c>
      <c r="AR508" s="36">
        <f>5/8</f>
        <v>0.625</v>
      </c>
      <c r="AS508" s="36" t="s">
        <v>39</v>
      </c>
      <c r="AT508" s="36">
        <f>4/8</f>
        <v>0.5</v>
      </c>
      <c r="AU508" s="36"/>
      <c r="AV508" s="36"/>
      <c r="AW508" s="36"/>
      <c r="AX508" s="36"/>
      <c r="AY508" s="36"/>
      <c r="AZ508" s="36"/>
      <c r="BA508" s="36"/>
      <c r="BB508" s="36"/>
      <c r="BC508" s="36" t="s">
        <v>38</v>
      </c>
      <c r="BD508" s="36">
        <f>4.5/8</f>
        <v>0.5625</v>
      </c>
      <c r="BE508" s="26"/>
      <c r="BF508" s="26"/>
      <c r="BG508" s="37">
        <v>3</v>
      </c>
      <c r="BH508" s="26">
        <v>5</v>
      </c>
      <c r="BI508" s="26">
        <v>2</v>
      </c>
      <c r="BJ508" s="26">
        <v>4</v>
      </c>
      <c r="BK508" s="26"/>
      <c r="BL508" s="26"/>
      <c r="BM508" s="26"/>
      <c r="BO508" s="37">
        <f t="shared" si="39"/>
        <v>5</v>
      </c>
      <c r="BP508" s="56">
        <f t="shared" si="40"/>
        <v>9</v>
      </c>
      <c r="BQ508" s="56">
        <f t="shared" si="41"/>
        <v>0</v>
      </c>
      <c r="BR508" s="57">
        <f t="shared" si="42"/>
        <v>0</v>
      </c>
      <c r="BS508" s="38"/>
      <c r="BT508" s="38"/>
      <c r="BU508" s="26"/>
      <c r="BV508" s="26"/>
      <c r="BW508" s="39">
        <f t="shared" si="43"/>
        <v>14</v>
      </c>
      <c r="BX508" s="78">
        <v>2</v>
      </c>
      <c r="BY508" s="63">
        <v>2</v>
      </c>
    </row>
    <row r="509" spans="1:81" ht="16" x14ac:dyDescent="0.2">
      <c r="A509" s="109" t="s">
        <v>313</v>
      </c>
      <c r="B509" s="26">
        <v>38</v>
      </c>
      <c r="C509" s="109" t="s">
        <v>176</v>
      </c>
      <c r="D509" s="26">
        <v>12</v>
      </c>
      <c r="E509" s="26">
        <v>2</v>
      </c>
      <c r="F509" s="26" t="s">
        <v>53</v>
      </c>
      <c r="G509" s="26" t="s">
        <v>50</v>
      </c>
      <c r="H509" s="26"/>
      <c r="I509" s="26"/>
      <c r="J509" s="26"/>
      <c r="K509" s="26">
        <v>10</v>
      </c>
      <c r="L509" s="26">
        <v>6</v>
      </c>
      <c r="M509" s="40"/>
      <c r="N509" s="36"/>
      <c r="O509" s="36" t="s">
        <v>38</v>
      </c>
      <c r="P509" s="36">
        <f>9.5/8</f>
        <v>1.1875</v>
      </c>
      <c r="Q509" s="36"/>
      <c r="R509" s="36"/>
      <c r="S509" s="36" t="s">
        <v>39</v>
      </c>
      <c r="T509" s="36">
        <f>8/8</f>
        <v>1</v>
      </c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 t="s">
        <v>38</v>
      </c>
      <c r="AF509" s="36">
        <f>9.5/8</f>
        <v>1.1875</v>
      </c>
      <c r="AG509" s="36" t="s">
        <v>38</v>
      </c>
      <c r="AH509" s="36">
        <f>5.5/8</f>
        <v>0.6875</v>
      </c>
      <c r="AI509" s="36" t="s">
        <v>39</v>
      </c>
      <c r="AJ509" s="36">
        <f>8/8</f>
        <v>1</v>
      </c>
      <c r="AK509" s="36" t="s">
        <v>38</v>
      </c>
      <c r="AL509" s="36">
        <f>8.5/8</f>
        <v>1.0625</v>
      </c>
      <c r="AM509" s="36" t="s">
        <v>38</v>
      </c>
      <c r="AN509" s="36">
        <f>9/8</f>
        <v>1.125</v>
      </c>
      <c r="AO509" s="36" t="s">
        <v>39</v>
      </c>
      <c r="AP509" s="36">
        <f>7/8</f>
        <v>0.875</v>
      </c>
      <c r="AQ509" s="36" t="s">
        <v>38</v>
      </c>
      <c r="AR509" s="36">
        <f>4.5/8</f>
        <v>0.5625</v>
      </c>
      <c r="AS509" s="36" t="s">
        <v>39</v>
      </c>
      <c r="AT509" s="36">
        <f>8.5/8</f>
        <v>1.0625</v>
      </c>
      <c r="AU509" s="36" t="s">
        <v>39</v>
      </c>
      <c r="AV509" s="36">
        <f>7/8</f>
        <v>0.875</v>
      </c>
      <c r="AW509" s="36" t="s">
        <v>38</v>
      </c>
      <c r="AX509" s="36">
        <f>3/8</f>
        <v>0.375</v>
      </c>
      <c r="AY509" s="36" t="s">
        <v>39</v>
      </c>
      <c r="AZ509" s="36">
        <f>3.5/8</f>
        <v>0.4375</v>
      </c>
      <c r="BA509" s="36" t="s">
        <v>39</v>
      </c>
      <c r="BB509" s="36">
        <f>5/8</f>
        <v>0.625</v>
      </c>
      <c r="BC509" s="36" t="s">
        <v>39</v>
      </c>
      <c r="BD509" s="36">
        <f>5/8</f>
        <v>0.625</v>
      </c>
      <c r="BE509" s="26" t="s">
        <v>39</v>
      </c>
      <c r="BF509" s="26" t="s">
        <v>52</v>
      </c>
      <c r="BG509" s="37">
        <v>4</v>
      </c>
      <c r="BH509" s="26">
        <v>3</v>
      </c>
      <c r="BI509" s="26">
        <v>5</v>
      </c>
      <c r="BJ509" s="26">
        <v>3</v>
      </c>
      <c r="BK509" s="26"/>
      <c r="BL509" s="26"/>
      <c r="BM509" s="26"/>
      <c r="BN509" s="26"/>
      <c r="BO509" s="37">
        <f t="shared" ref="BO509:BO572" si="44">BG509+BI509+BU509</f>
        <v>10</v>
      </c>
      <c r="BP509" s="56">
        <f t="shared" ref="BP509:BP572" si="45">BH509+BJ509</f>
        <v>6</v>
      </c>
      <c r="BQ509" s="56">
        <f t="shared" ref="BQ509:BQ572" si="46">BK509+BM509+BV509+BS509</f>
        <v>0</v>
      </c>
      <c r="BR509" s="57">
        <f t="shared" ref="BR509:BR572" si="47">BL509+BN509+BT509</f>
        <v>0</v>
      </c>
      <c r="BS509" s="38"/>
      <c r="BT509" s="38"/>
      <c r="BU509" s="26">
        <v>1</v>
      </c>
      <c r="BV509" s="26"/>
      <c r="BW509" s="39">
        <f t="shared" ref="BW509:BW572" si="48">SUM(BO509:BR509)</f>
        <v>16</v>
      </c>
      <c r="BX509" s="78">
        <v>2</v>
      </c>
      <c r="BY509" s="63">
        <v>1</v>
      </c>
      <c r="CB509" s="7"/>
      <c r="CC509" s="7"/>
    </row>
    <row r="510" spans="1:81" ht="16" x14ac:dyDescent="0.2">
      <c r="A510" s="109" t="s">
        <v>313</v>
      </c>
      <c r="B510" s="26">
        <v>38</v>
      </c>
      <c r="C510" s="109" t="s">
        <v>176</v>
      </c>
      <c r="D510" s="26">
        <v>13</v>
      </c>
      <c r="E510" s="26">
        <v>2</v>
      </c>
      <c r="F510" s="26" t="s">
        <v>53</v>
      </c>
      <c r="G510" s="26" t="s">
        <v>50</v>
      </c>
      <c r="H510" s="26"/>
      <c r="I510" s="26"/>
      <c r="J510" s="26"/>
      <c r="K510" s="26">
        <v>10</v>
      </c>
      <c r="L510" s="26">
        <v>6</v>
      </c>
      <c r="M510" s="40"/>
      <c r="N510" s="36"/>
      <c r="O510" s="36"/>
      <c r="P510" s="36"/>
      <c r="Q510" s="36"/>
      <c r="R510" s="36"/>
      <c r="S510" s="36"/>
      <c r="T510" s="36"/>
      <c r="U510" s="36" t="s">
        <v>39</v>
      </c>
      <c r="V510" s="36">
        <f>3/8</f>
        <v>0.375</v>
      </c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 t="s">
        <v>38</v>
      </c>
      <c r="AJ510" s="36">
        <f>4/8</f>
        <v>0.5</v>
      </c>
      <c r="AK510" s="36" t="s">
        <v>38</v>
      </c>
      <c r="AL510" s="36">
        <f>3/8</f>
        <v>0.375</v>
      </c>
      <c r="AM510" s="36"/>
      <c r="AN510" s="36"/>
      <c r="AO510" s="36"/>
      <c r="AP510" s="36"/>
      <c r="AQ510" s="36"/>
      <c r="AR510" s="36"/>
      <c r="AS510" s="36" t="s">
        <v>38</v>
      </c>
      <c r="AT510" s="36">
        <f>4/8</f>
        <v>0.5</v>
      </c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26" t="s">
        <v>39</v>
      </c>
      <c r="BF510" s="26" t="s">
        <v>46</v>
      </c>
      <c r="BG510" s="37"/>
      <c r="BH510" s="26">
        <v>3</v>
      </c>
      <c r="BI510" s="26"/>
      <c r="BJ510" s="26">
        <v>1</v>
      </c>
      <c r="BK510" s="26"/>
      <c r="BL510" s="26"/>
      <c r="BM510" s="26"/>
      <c r="BO510" s="37">
        <f t="shared" si="44"/>
        <v>1</v>
      </c>
      <c r="BP510" s="56">
        <f t="shared" si="45"/>
        <v>4</v>
      </c>
      <c r="BQ510" s="56">
        <f t="shared" si="46"/>
        <v>0</v>
      </c>
      <c r="BR510" s="57">
        <f t="shared" si="47"/>
        <v>0</v>
      </c>
      <c r="BS510" s="38"/>
      <c r="BT510" s="38"/>
      <c r="BU510" s="26">
        <v>1</v>
      </c>
      <c r="BV510" s="26"/>
      <c r="BW510" s="39">
        <f t="shared" si="48"/>
        <v>5</v>
      </c>
      <c r="BX510" s="78">
        <v>2</v>
      </c>
      <c r="BY510" s="63">
        <v>1</v>
      </c>
    </row>
    <row r="511" spans="1:81" ht="16" x14ac:dyDescent="0.2">
      <c r="A511" s="109" t="s">
        <v>313</v>
      </c>
      <c r="B511" s="26">
        <v>38</v>
      </c>
      <c r="C511" s="109" t="s">
        <v>176</v>
      </c>
      <c r="D511" s="26">
        <v>14</v>
      </c>
      <c r="E511" s="26">
        <v>2</v>
      </c>
      <c r="F511" s="26">
        <v>2</v>
      </c>
      <c r="G511" s="26" t="s">
        <v>51</v>
      </c>
      <c r="H511" s="26">
        <v>4</v>
      </c>
      <c r="I511" s="26" t="s">
        <v>51</v>
      </c>
      <c r="J511" s="26" t="s">
        <v>45</v>
      </c>
      <c r="K511" s="26"/>
      <c r="L511" s="26">
        <v>7</v>
      </c>
      <c r="M511" s="40"/>
      <c r="N511" s="36"/>
      <c r="O511" s="36"/>
      <c r="P511" s="36"/>
      <c r="Q511" s="36"/>
      <c r="R511" s="36"/>
      <c r="S511" s="36" t="s">
        <v>39</v>
      </c>
      <c r="T511" s="36">
        <f>7/8</f>
        <v>0.875</v>
      </c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 t="s">
        <v>39</v>
      </c>
      <c r="AX511" s="36">
        <f>7/8</f>
        <v>0.875</v>
      </c>
      <c r="AY511" s="36"/>
      <c r="AZ511" s="36"/>
      <c r="BA511" s="36"/>
      <c r="BB511" s="36"/>
      <c r="BC511" s="36"/>
      <c r="BD511" s="36"/>
      <c r="BE511" s="26"/>
      <c r="BF511" s="26"/>
      <c r="BG511" s="37"/>
      <c r="BH511" s="26"/>
      <c r="BI511" s="26">
        <v>2</v>
      </c>
      <c r="BJ511" s="26"/>
      <c r="BK511" s="26"/>
      <c r="BL511" s="26"/>
      <c r="BM511" s="26"/>
      <c r="BO511" s="37">
        <f t="shared" si="44"/>
        <v>2</v>
      </c>
      <c r="BP511" s="56">
        <f t="shared" si="45"/>
        <v>0</v>
      </c>
      <c r="BQ511" s="56">
        <f t="shared" si="46"/>
        <v>0</v>
      </c>
      <c r="BR511" s="57">
        <f t="shared" si="47"/>
        <v>0</v>
      </c>
      <c r="BS511" s="38"/>
      <c r="BT511" s="38"/>
      <c r="BU511" s="26"/>
      <c r="BV511" s="26"/>
      <c r="BW511" s="39">
        <f t="shared" si="48"/>
        <v>2</v>
      </c>
      <c r="BX511" s="78">
        <v>1</v>
      </c>
      <c r="BY511" s="63">
        <v>5</v>
      </c>
    </row>
    <row r="512" spans="1:81" ht="16" x14ac:dyDescent="0.2">
      <c r="A512" s="109" t="s">
        <v>313</v>
      </c>
      <c r="B512" s="26">
        <v>38</v>
      </c>
      <c r="C512" s="109" t="s">
        <v>176</v>
      </c>
      <c r="D512" s="26">
        <v>15</v>
      </c>
      <c r="E512" s="26">
        <v>2</v>
      </c>
      <c r="F512" s="26">
        <v>3</v>
      </c>
      <c r="G512" s="26" t="s">
        <v>50</v>
      </c>
      <c r="H512" s="26">
        <v>7</v>
      </c>
      <c r="I512" s="26"/>
      <c r="J512" s="26"/>
      <c r="K512" s="26">
        <v>10</v>
      </c>
      <c r="L512" s="26">
        <v>6</v>
      </c>
      <c r="M512" s="40"/>
      <c r="N512" s="36"/>
      <c r="O512" s="36"/>
      <c r="P512" s="36"/>
      <c r="Q512" s="36" t="s">
        <v>39</v>
      </c>
      <c r="R512" s="36">
        <f>3/8</f>
        <v>0.375</v>
      </c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26"/>
      <c r="BF512" s="26"/>
      <c r="BG512" s="37"/>
      <c r="BH512" s="26"/>
      <c r="BI512" s="26"/>
      <c r="BJ512" s="26">
        <v>1</v>
      </c>
      <c r="BK512" s="26"/>
      <c r="BL512" s="26"/>
      <c r="BM512" s="26"/>
      <c r="BO512" s="37">
        <f t="shared" si="44"/>
        <v>0</v>
      </c>
      <c r="BP512" s="56">
        <f t="shared" si="45"/>
        <v>1</v>
      </c>
      <c r="BQ512" s="56">
        <f t="shared" si="46"/>
        <v>0</v>
      </c>
      <c r="BR512" s="57">
        <f t="shared" si="47"/>
        <v>0</v>
      </c>
      <c r="BS512" s="38"/>
      <c r="BT512" s="38"/>
      <c r="BU512" s="26"/>
      <c r="BV512" s="26"/>
      <c r="BW512" s="39">
        <f t="shared" si="48"/>
        <v>1</v>
      </c>
      <c r="BX512" s="78">
        <v>3</v>
      </c>
      <c r="BY512" s="63">
        <v>1</v>
      </c>
    </row>
    <row r="513" spans="1:81" ht="16" x14ac:dyDescent="0.2">
      <c r="A513" s="109" t="s">
        <v>313</v>
      </c>
      <c r="B513" s="26">
        <v>38</v>
      </c>
      <c r="C513" s="109" t="s">
        <v>176</v>
      </c>
      <c r="D513" s="26">
        <v>16</v>
      </c>
      <c r="E513" s="26">
        <v>2</v>
      </c>
      <c r="F513" s="26" t="s">
        <v>53</v>
      </c>
      <c r="G513" s="26" t="s">
        <v>50</v>
      </c>
      <c r="H513" s="26"/>
      <c r="I513" s="26"/>
      <c r="J513" s="26"/>
      <c r="K513" s="26">
        <v>10</v>
      </c>
      <c r="L513" s="26">
        <v>6</v>
      </c>
      <c r="M513" s="40" t="s">
        <v>38</v>
      </c>
      <c r="N513" s="36">
        <f>9/8</f>
        <v>1.125</v>
      </c>
      <c r="O513" s="36" t="s">
        <v>38</v>
      </c>
      <c r="P513" s="36">
        <f>3.5/8</f>
        <v>0.4375</v>
      </c>
      <c r="Q513" s="36" t="s">
        <v>39</v>
      </c>
      <c r="R513" s="36">
        <f>12.5/8</f>
        <v>1.5625</v>
      </c>
      <c r="S513" s="36" t="s">
        <v>39</v>
      </c>
      <c r="T513" s="36">
        <f>12.5/8</f>
        <v>1.5625</v>
      </c>
      <c r="U513" s="36" t="s">
        <v>38</v>
      </c>
      <c r="V513" s="36">
        <f>4/8</f>
        <v>0.5</v>
      </c>
      <c r="W513" s="36" t="s">
        <v>38</v>
      </c>
      <c r="X513" s="36">
        <f>8/8</f>
        <v>1</v>
      </c>
      <c r="Y513" s="36" t="s">
        <v>39</v>
      </c>
      <c r="Z513" s="36">
        <f>12.5/8</f>
        <v>1.5625</v>
      </c>
      <c r="AA513" s="36" t="s">
        <v>39</v>
      </c>
      <c r="AB513" s="36">
        <f>12.5/8</f>
        <v>1.5625</v>
      </c>
      <c r="AC513" s="36" t="s">
        <v>39</v>
      </c>
      <c r="AD513" s="36">
        <f>12.5/8</f>
        <v>1.5625</v>
      </c>
      <c r="AE513" s="36" t="s">
        <v>38</v>
      </c>
      <c r="AF513" s="36">
        <f>6/8</f>
        <v>0.75</v>
      </c>
      <c r="AG513" s="36"/>
      <c r="AH513" s="36"/>
      <c r="AI513" s="36" t="s">
        <v>38</v>
      </c>
      <c r="AJ513" s="36">
        <f>10.5/8</f>
        <v>1.3125</v>
      </c>
      <c r="AK513" s="36" t="s">
        <v>39</v>
      </c>
      <c r="AL513" s="36">
        <f>4/8</f>
        <v>0.5</v>
      </c>
      <c r="AM513" s="36"/>
      <c r="AN513" s="36"/>
      <c r="AO513" s="36" t="s">
        <v>38</v>
      </c>
      <c r="AP513" s="36">
        <f>10.5/8</f>
        <v>1.3125</v>
      </c>
      <c r="AQ513" s="36"/>
      <c r="AR513" s="36"/>
      <c r="AS513" s="36"/>
      <c r="AT513" s="36"/>
      <c r="AU513" s="36" t="s">
        <v>39</v>
      </c>
      <c r="AV513" s="36">
        <f>7/8</f>
        <v>0.875</v>
      </c>
      <c r="AW513" s="36" t="s">
        <v>39</v>
      </c>
      <c r="AX513" s="36">
        <f>3/8</f>
        <v>0.375</v>
      </c>
      <c r="AY513" s="36" t="s">
        <v>38</v>
      </c>
      <c r="AZ513" s="36">
        <f>4/8</f>
        <v>0.5</v>
      </c>
      <c r="BA513" s="36" t="s">
        <v>38</v>
      </c>
      <c r="BB513" s="36">
        <f>16/8</f>
        <v>2</v>
      </c>
      <c r="BC513" s="36" t="s">
        <v>39</v>
      </c>
      <c r="BD513" s="36">
        <f>12.5/8</f>
        <v>1.5625</v>
      </c>
      <c r="BE513" s="26" t="s">
        <v>38</v>
      </c>
      <c r="BF513" s="26" t="s">
        <v>80</v>
      </c>
      <c r="BG513" s="37">
        <v>6</v>
      </c>
      <c r="BH513" s="26">
        <v>3</v>
      </c>
      <c r="BI513" s="26">
        <v>7</v>
      </c>
      <c r="BJ513" s="26">
        <v>2</v>
      </c>
      <c r="BK513" s="26"/>
      <c r="BL513" s="26"/>
      <c r="BM513" s="26"/>
      <c r="BN513" s="26"/>
      <c r="BO513" s="37">
        <f t="shared" si="44"/>
        <v>14</v>
      </c>
      <c r="BP513" s="56">
        <f t="shared" si="45"/>
        <v>5</v>
      </c>
      <c r="BQ513" s="56">
        <f t="shared" si="46"/>
        <v>0</v>
      </c>
      <c r="BR513" s="57">
        <f t="shared" si="47"/>
        <v>0</v>
      </c>
      <c r="BS513" s="38"/>
      <c r="BT513" s="38"/>
      <c r="BU513" s="26">
        <v>1</v>
      </c>
      <c r="BV513" s="26"/>
      <c r="BW513" s="39">
        <f t="shared" si="48"/>
        <v>19</v>
      </c>
      <c r="BX513" s="78">
        <v>2</v>
      </c>
      <c r="BY513" s="63">
        <v>1</v>
      </c>
      <c r="BZ513" s="7"/>
      <c r="CA513" s="8"/>
      <c r="CB513" s="7"/>
      <c r="CC513" s="7"/>
    </row>
    <row r="514" spans="1:81" ht="16" x14ac:dyDescent="0.2">
      <c r="A514" s="109" t="s">
        <v>314</v>
      </c>
      <c r="B514" s="26">
        <v>37</v>
      </c>
      <c r="C514" s="109" t="s">
        <v>177</v>
      </c>
      <c r="D514" s="38">
        <v>1</v>
      </c>
      <c r="E514" s="38">
        <v>2</v>
      </c>
      <c r="F514" s="38">
        <v>2</v>
      </c>
      <c r="G514" s="38" t="s">
        <v>51</v>
      </c>
      <c r="H514" s="38">
        <v>4</v>
      </c>
      <c r="I514" s="38" t="s">
        <v>51</v>
      </c>
      <c r="J514" s="38"/>
      <c r="K514" s="38" t="s">
        <v>63</v>
      </c>
      <c r="L514" s="38">
        <v>6</v>
      </c>
      <c r="M514" s="40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 t="s">
        <v>48</v>
      </c>
      <c r="AB514" s="36">
        <f>4.5/9</f>
        <v>0.5</v>
      </c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 t="s">
        <v>38</v>
      </c>
      <c r="AR514" s="36">
        <f>6.5/9</f>
        <v>0.72222222222222221</v>
      </c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8"/>
      <c r="BF514" s="38"/>
      <c r="BG514" s="39">
        <v>1</v>
      </c>
      <c r="BH514" s="38"/>
      <c r="BI514" s="38"/>
      <c r="BJ514" s="38"/>
      <c r="BK514" s="38"/>
      <c r="BL514" s="38">
        <v>1</v>
      </c>
      <c r="BM514" s="38"/>
      <c r="BN514" s="38"/>
      <c r="BO514" s="37">
        <f t="shared" si="44"/>
        <v>1</v>
      </c>
      <c r="BP514" s="56">
        <f t="shared" si="45"/>
        <v>0</v>
      </c>
      <c r="BQ514" s="56">
        <f t="shared" si="46"/>
        <v>0</v>
      </c>
      <c r="BR514" s="57">
        <f t="shared" si="47"/>
        <v>1</v>
      </c>
      <c r="BS514" s="38"/>
      <c r="BT514" s="38"/>
      <c r="BU514" s="26"/>
      <c r="BV514" s="26"/>
      <c r="BW514" s="39">
        <f t="shared" si="48"/>
        <v>2</v>
      </c>
      <c r="BX514" s="78">
        <v>2</v>
      </c>
      <c r="BY514" s="63">
        <v>2</v>
      </c>
      <c r="BZ514" s="7"/>
      <c r="CA514" s="8"/>
      <c r="CB514" s="7"/>
      <c r="CC514" s="7"/>
    </row>
    <row r="515" spans="1:81" ht="16" x14ac:dyDescent="0.2">
      <c r="A515" s="109" t="s">
        <v>314</v>
      </c>
      <c r="B515" s="26">
        <v>37</v>
      </c>
      <c r="C515" s="109" t="s">
        <v>177</v>
      </c>
      <c r="D515" s="38">
        <v>2</v>
      </c>
      <c r="E515" s="38">
        <v>2</v>
      </c>
      <c r="F515" s="38">
        <v>2</v>
      </c>
      <c r="G515" s="38" t="s">
        <v>51</v>
      </c>
      <c r="H515" s="38">
        <v>4</v>
      </c>
      <c r="I515" s="38" t="s">
        <v>51</v>
      </c>
      <c r="J515" s="38" t="s">
        <v>42</v>
      </c>
      <c r="K515" s="38"/>
      <c r="L515" s="38">
        <v>6</v>
      </c>
      <c r="M515" s="40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 t="s">
        <v>39</v>
      </c>
      <c r="BB515" s="36">
        <f>9/9</f>
        <v>1</v>
      </c>
      <c r="BC515" s="36"/>
      <c r="BD515" s="36"/>
      <c r="BE515" s="38"/>
      <c r="BF515" s="38"/>
      <c r="BG515" s="39"/>
      <c r="BH515" s="38"/>
      <c r="BI515" s="38">
        <v>1</v>
      </c>
      <c r="BJ515" s="38"/>
      <c r="BK515" s="38"/>
      <c r="BL515" s="38"/>
      <c r="BM515" s="38"/>
      <c r="BN515" s="38"/>
      <c r="BO515" s="37">
        <f t="shared" si="44"/>
        <v>1</v>
      </c>
      <c r="BP515" s="56">
        <f t="shared" si="45"/>
        <v>0</v>
      </c>
      <c r="BQ515" s="56">
        <f t="shared" si="46"/>
        <v>0</v>
      </c>
      <c r="BR515" s="57">
        <f t="shared" si="47"/>
        <v>0</v>
      </c>
      <c r="BS515" s="38"/>
      <c r="BT515" s="38"/>
      <c r="BU515" s="26"/>
      <c r="BV515" s="26"/>
      <c r="BW515" s="39">
        <f t="shared" si="48"/>
        <v>1</v>
      </c>
      <c r="BX515" s="78">
        <v>1</v>
      </c>
      <c r="BY515" s="63">
        <v>8</v>
      </c>
      <c r="BZ515" s="7"/>
      <c r="CA515" s="8"/>
      <c r="CB515" s="7"/>
      <c r="CC515" s="7"/>
    </row>
    <row r="516" spans="1:81" ht="16" x14ac:dyDescent="0.2">
      <c r="A516" s="109" t="s">
        <v>314</v>
      </c>
      <c r="B516" s="26">
        <v>37</v>
      </c>
      <c r="C516" s="109" t="s">
        <v>177</v>
      </c>
      <c r="D516" s="38">
        <v>3</v>
      </c>
      <c r="E516" s="38">
        <v>2</v>
      </c>
      <c r="F516" s="38">
        <v>2</v>
      </c>
      <c r="G516" s="38" t="s">
        <v>51</v>
      </c>
      <c r="H516" s="38">
        <v>4</v>
      </c>
      <c r="I516" s="38" t="s">
        <v>51</v>
      </c>
      <c r="J516" s="38" t="s">
        <v>65</v>
      </c>
      <c r="K516" s="38"/>
      <c r="L516" s="38">
        <v>5</v>
      </c>
      <c r="M516" s="40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 t="s">
        <v>55</v>
      </c>
      <c r="AH516" s="36">
        <f>9/10</f>
        <v>0.9</v>
      </c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8"/>
      <c r="BF516" s="38"/>
      <c r="BG516" s="39"/>
      <c r="BH516" s="38"/>
      <c r="BI516" s="38"/>
      <c r="BJ516" s="38"/>
      <c r="BK516" s="38">
        <v>1</v>
      </c>
      <c r="BL516" s="38"/>
      <c r="BM516" s="38"/>
      <c r="BN516" s="38"/>
      <c r="BO516" s="37">
        <f t="shared" si="44"/>
        <v>0</v>
      </c>
      <c r="BP516" s="56">
        <f t="shared" si="45"/>
        <v>0</v>
      </c>
      <c r="BQ516" s="56">
        <f t="shared" si="46"/>
        <v>1</v>
      </c>
      <c r="BR516" s="57">
        <f t="shared" si="47"/>
        <v>0</v>
      </c>
      <c r="BS516" s="38"/>
      <c r="BT516" s="38"/>
      <c r="BU516" s="26"/>
      <c r="BV516" s="26"/>
      <c r="BW516" s="39">
        <f t="shared" si="48"/>
        <v>1</v>
      </c>
      <c r="BX516" s="78">
        <v>4</v>
      </c>
      <c r="BY516" s="63">
        <v>11</v>
      </c>
      <c r="BZ516" s="7"/>
      <c r="CA516" s="8"/>
      <c r="CB516" s="7"/>
      <c r="CC516" s="7"/>
    </row>
    <row r="517" spans="1:81" ht="16" x14ac:dyDescent="0.2">
      <c r="A517" s="109" t="s">
        <v>314</v>
      </c>
      <c r="B517" s="26">
        <v>37</v>
      </c>
      <c r="C517" s="109" t="s">
        <v>177</v>
      </c>
      <c r="D517" s="38">
        <v>4</v>
      </c>
      <c r="E517" s="38">
        <v>2</v>
      </c>
      <c r="F517" s="38" t="s">
        <v>53</v>
      </c>
      <c r="G517" s="38" t="s">
        <v>50</v>
      </c>
      <c r="H517" s="38"/>
      <c r="I517" s="38"/>
      <c r="J517" s="38"/>
      <c r="K517" s="38">
        <v>5</v>
      </c>
      <c r="L517" s="38">
        <v>6</v>
      </c>
      <c r="M517" s="40"/>
      <c r="N517" s="36"/>
      <c r="O517" s="36"/>
      <c r="P517" s="36"/>
      <c r="Q517" s="36"/>
      <c r="R517" s="36"/>
      <c r="S517" s="36"/>
      <c r="T517" s="36"/>
      <c r="U517" s="36" t="s">
        <v>43</v>
      </c>
      <c r="V517" s="36">
        <f>6/8</f>
        <v>0.75</v>
      </c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 t="s">
        <v>38</v>
      </c>
      <c r="AL517" s="36">
        <f>8/8</f>
        <v>1</v>
      </c>
      <c r="AM517" s="36" t="s">
        <v>48</v>
      </c>
      <c r="AN517" s="36">
        <f>4.5/8</f>
        <v>0.5625</v>
      </c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8"/>
      <c r="BF517" s="38"/>
      <c r="BG517" s="39">
        <v>1</v>
      </c>
      <c r="BH517" s="38"/>
      <c r="BI517" s="38"/>
      <c r="BJ517" s="38"/>
      <c r="BK517" s="38"/>
      <c r="BL517" s="38">
        <v>1</v>
      </c>
      <c r="BM517" s="38"/>
      <c r="BN517" s="38"/>
      <c r="BO517" s="37">
        <f t="shared" si="44"/>
        <v>1</v>
      </c>
      <c r="BP517" s="56">
        <f t="shared" si="45"/>
        <v>0</v>
      </c>
      <c r="BQ517" s="56">
        <f t="shared" si="46"/>
        <v>1</v>
      </c>
      <c r="BR517" s="57">
        <f t="shared" si="47"/>
        <v>1</v>
      </c>
      <c r="BS517" s="38">
        <v>1</v>
      </c>
      <c r="BT517" s="38"/>
      <c r="BU517" s="26"/>
      <c r="BV517" s="26"/>
      <c r="BW517" s="39">
        <f t="shared" si="48"/>
        <v>3</v>
      </c>
      <c r="BX517" s="78">
        <v>2</v>
      </c>
      <c r="BY517" s="63">
        <v>1</v>
      </c>
      <c r="BZ517" s="7"/>
      <c r="CA517" s="8"/>
      <c r="CB517" s="7"/>
      <c r="CC517" s="7"/>
    </row>
    <row r="518" spans="1:81" x14ac:dyDescent="0.2">
      <c r="A518" s="109" t="s">
        <v>314</v>
      </c>
      <c r="B518" s="26">
        <v>37</v>
      </c>
      <c r="C518" s="109" t="s">
        <v>177</v>
      </c>
      <c r="D518" s="38">
        <v>5</v>
      </c>
      <c r="E518" s="38">
        <v>2</v>
      </c>
      <c r="F518" s="38">
        <v>2</v>
      </c>
      <c r="G518" s="38" t="s">
        <v>51</v>
      </c>
      <c r="H518" s="38">
        <v>4</v>
      </c>
      <c r="I518" s="38" t="s">
        <v>51</v>
      </c>
      <c r="J518" s="38" t="s">
        <v>78</v>
      </c>
      <c r="K518" s="38"/>
      <c r="L518" s="38">
        <v>5</v>
      </c>
      <c r="M518" s="40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8"/>
      <c r="BF518" s="38"/>
      <c r="BG518" s="39"/>
      <c r="BH518" s="38"/>
      <c r="BI518" s="38"/>
      <c r="BJ518" s="38"/>
      <c r="BK518" s="38"/>
      <c r="BL518" s="38"/>
      <c r="BM518" s="38"/>
      <c r="BN518" s="38"/>
      <c r="BO518" s="37">
        <f t="shared" si="44"/>
        <v>0</v>
      </c>
      <c r="BP518" s="56">
        <f t="shared" si="45"/>
        <v>0</v>
      </c>
      <c r="BQ518" s="56">
        <f t="shared" si="46"/>
        <v>0</v>
      </c>
      <c r="BR518" s="57">
        <f t="shared" si="47"/>
        <v>0</v>
      </c>
      <c r="BS518" s="38"/>
      <c r="BT518" s="38"/>
      <c r="BU518" s="26"/>
      <c r="BV518" s="26"/>
      <c r="BW518" s="39">
        <f t="shared" si="48"/>
        <v>0</v>
      </c>
      <c r="BX518" s="78">
        <v>0</v>
      </c>
      <c r="BY518" s="63">
        <v>13</v>
      </c>
      <c r="BZ518" s="7"/>
      <c r="CA518" s="8"/>
      <c r="CB518" s="7"/>
      <c r="CC518" s="7"/>
    </row>
    <row r="519" spans="1:81" x14ac:dyDescent="0.2">
      <c r="A519" s="109" t="s">
        <v>314</v>
      </c>
      <c r="B519" s="26">
        <v>37</v>
      </c>
      <c r="C519" s="109" t="s">
        <v>177</v>
      </c>
      <c r="D519" s="38">
        <v>6</v>
      </c>
      <c r="E519" s="38">
        <v>2</v>
      </c>
      <c r="F519" s="38">
        <v>2</v>
      </c>
      <c r="G519" s="38" t="s">
        <v>51</v>
      </c>
      <c r="H519" s="38">
        <v>4</v>
      </c>
      <c r="I519" s="38" t="s">
        <v>51</v>
      </c>
      <c r="J519" s="38" t="s">
        <v>69</v>
      </c>
      <c r="K519" s="38"/>
      <c r="L519" s="38">
        <v>5</v>
      </c>
      <c r="M519" s="40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8"/>
      <c r="BF519" s="38"/>
      <c r="BG519" s="39"/>
      <c r="BH519" s="38"/>
      <c r="BI519" s="38"/>
      <c r="BJ519" s="38"/>
      <c r="BK519" s="38"/>
      <c r="BL519" s="38"/>
      <c r="BM519" s="38"/>
      <c r="BN519" s="38"/>
      <c r="BO519" s="37">
        <f t="shared" si="44"/>
        <v>0</v>
      </c>
      <c r="BP519" s="56">
        <f t="shared" si="45"/>
        <v>0</v>
      </c>
      <c r="BQ519" s="56">
        <f t="shared" si="46"/>
        <v>0</v>
      </c>
      <c r="BR519" s="57">
        <f t="shared" si="47"/>
        <v>0</v>
      </c>
      <c r="BS519" s="38"/>
      <c r="BT519" s="38"/>
      <c r="BU519" s="26"/>
      <c r="BV519" s="26"/>
      <c r="BW519" s="39">
        <f t="shared" si="48"/>
        <v>0</v>
      </c>
      <c r="BX519" s="78">
        <v>0</v>
      </c>
      <c r="BY519" s="63">
        <v>12</v>
      </c>
      <c r="BZ519" s="7"/>
      <c r="CA519" s="8"/>
      <c r="CB519" s="7"/>
      <c r="CC519" s="7"/>
    </row>
    <row r="520" spans="1:81" ht="16" x14ac:dyDescent="0.2">
      <c r="A520" s="109" t="s">
        <v>315</v>
      </c>
      <c r="B520" s="26">
        <v>41</v>
      </c>
      <c r="C520" s="109" t="s">
        <v>178</v>
      </c>
      <c r="D520" s="26">
        <v>1</v>
      </c>
      <c r="E520" s="26">
        <v>2</v>
      </c>
      <c r="F520" s="26">
        <v>2</v>
      </c>
      <c r="G520" s="26" t="s">
        <v>51</v>
      </c>
      <c r="H520" s="26">
        <v>4</v>
      </c>
      <c r="I520" s="26" t="s">
        <v>51</v>
      </c>
      <c r="J520" s="26" t="s">
        <v>42</v>
      </c>
      <c r="K520" s="26"/>
      <c r="L520" s="26">
        <v>6</v>
      </c>
      <c r="M520" s="40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 t="s">
        <v>39</v>
      </c>
      <c r="AJ520" s="36">
        <f>15/15</f>
        <v>1</v>
      </c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 t="s">
        <v>38</v>
      </c>
      <c r="BB520" s="36">
        <f>13/15</f>
        <v>0.8666666666666667</v>
      </c>
      <c r="BC520" s="36"/>
      <c r="BD520" s="36"/>
      <c r="BE520" s="26"/>
      <c r="BF520" s="26"/>
      <c r="BG520" s="37">
        <v>1</v>
      </c>
      <c r="BH520" s="26"/>
      <c r="BI520" s="26">
        <v>1</v>
      </c>
      <c r="BJ520" s="26"/>
      <c r="BK520" s="26"/>
      <c r="BL520" s="26"/>
      <c r="BM520" s="26"/>
      <c r="BN520" s="26"/>
      <c r="BO520" s="37">
        <f t="shared" si="44"/>
        <v>2</v>
      </c>
      <c r="BP520" s="56">
        <f t="shared" si="45"/>
        <v>0</v>
      </c>
      <c r="BQ520" s="56">
        <f t="shared" si="46"/>
        <v>0</v>
      </c>
      <c r="BR520" s="57">
        <f t="shared" si="47"/>
        <v>0</v>
      </c>
      <c r="BS520" s="38"/>
      <c r="BT520" s="38"/>
      <c r="BU520" s="26"/>
      <c r="BV520" s="26"/>
      <c r="BW520" s="39">
        <f t="shared" si="48"/>
        <v>2</v>
      </c>
      <c r="BX520" s="78">
        <v>1</v>
      </c>
      <c r="BY520" s="63">
        <v>8</v>
      </c>
      <c r="CB520" s="7"/>
      <c r="CC520" s="7"/>
    </row>
    <row r="521" spans="1:81" ht="16" x14ac:dyDescent="0.2">
      <c r="A521" s="109" t="s">
        <v>315</v>
      </c>
      <c r="B521" s="26">
        <v>41</v>
      </c>
      <c r="C521" s="109" t="s">
        <v>178</v>
      </c>
      <c r="D521" s="26">
        <v>4</v>
      </c>
      <c r="E521" s="26">
        <v>2</v>
      </c>
      <c r="F521" s="26">
        <v>3</v>
      </c>
      <c r="G521" s="26" t="s">
        <v>50</v>
      </c>
      <c r="H521" s="26">
        <v>5</v>
      </c>
      <c r="I521" s="46" t="s">
        <v>54</v>
      </c>
      <c r="J521" s="26" t="s">
        <v>42</v>
      </c>
      <c r="K521" s="26"/>
      <c r="L521" s="26">
        <v>6</v>
      </c>
      <c r="M521" s="40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 t="s">
        <v>38</v>
      </c>
      <c r="AP521" s="36">
        <f>14.5/15</f>
        <v>0.96666666666666667</v>
      </c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26"/>
      <c r="BF521" s="26"/>
      <c r="BG521" s="37">
        <v>1</v>
      </c>
      <c r="BH521" s="26"/>
      <c r="BI521" s="26"/>
      <c r="BJ521" s="26"/>
      <c r="BK521" s="26"/>
      <c r="BL521" s="26"/>
      <c r="BM521" s="26"/>
      <c r="BO521" s="37">
        <f t="shared" si="44"/>
        <v>1</v>
      </c>
      <c r="BP521" s="56">
        <f t="shared" si="45"/>
        <v>0</v>
      </c>
      <c r="BQ521" s="56">
        <f t="shared" si="46"/>
        <v>0</v>
      </c>
      <c r="BR521" s="57">
        <f t="shared" si="47"/>
        <v>0</v>
      </c>
      <c r="BS521" s="38"/>
      <c r="BT521" s="38"/>
      <c r="BU521" s="26"/>
      <c r="BV521" s="26"/>
      <c r="BW521" s="39">
        <f t="shared" si="48"/>
        <v>1</v>
      </c>
      <c r="BX521" s="78">
        <v>1</v>
      </c>
      <c r="BY521" s="63">
        <v>8</v>
      </c>
    </row>
    <row r="522" spans="1:81" ht="16" x14ac:dyDescent="0.2">
      <c r="A522" s="109" t="s">
        <v>315</v>
      </c>
      <c r="B522" s="26">
        <v>41</v>
      </c>
      <c r="C522" s="109" t="s">
        <v>178</v>
      </c>
      <c r="D522" s="26">
        <v>5</v>
      </c>
      <c r="E522" s="26">
        <v>2</v>
      </c>
      <c r="F522" s="26">
        <v>2</v>
      </c>
      <c r="G522" s="26" t="s">
        <v>51</v>
      </c>
      <c r="H522" s="26">
        <v>4</v>
      </c>
      <c r="I522" s="26" t="s">
        <v>51</v>
      </c>
      <c r="J522" s="26" t="s">
        <v>42</v>
      </c>
      <c r="K522" s="26"/>
      <c r="L522" s="26">
        <v>6</v>
      </c>
      <c r="M522" s="40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 t="s">
        <v>38</v>
      </c>
      <c r="AV522" s="36">
        <f>14.5/15</f>
        <v>0.96666666666666667</v>
      </c>
      <c r="AW522" s="36"/>
      <c r="AX522" s="36"/>
      <c r="AY522" s="36"/>
      <c r="AZ522" s="36"/>
      <c r="BA522" s="36"/>
      <c r="BB522" s="36"/>
      <c r="BC522" s="36"/>
      <c r="BD522" s="36"/>
      <c r="BE522" s="26"/>
      <c r="BF522" s="26"/>
      <c r="BG522" s="37">
        <v>1</v>
      </c>
      <c r="BH522" s="26"/>
      <c r="BI522" s="26"/>
      <c r="BJ522" s="26"/>
      <c r="BK522" s="26"/>
      <c r="BL522" s="26"/>
      <c r="BM522" s="26"/>
      <c r="BO522" s="37">
        <f t="shared" si="44"/>
        <v>1</v>
      </c>
      <c r="BP522" s="56">
        <f t="shared" si="45"/>
        <v>0</v>
      </c>
      <c r="BQ522" s="56">
        <f t="shared" si="46"/>
        <v>0</v>
      </c>
      <c r="BR522" s="57">
        <f t="shared" si="47"/>
        <v>0</v>
      </c>
      <c r="BS522" s="38"/>
      <c r="BT522" s="38"/>
      <c r="BU522" s="26"/>
      <c r="BV522" s="26"/>
      <c r="BW522" s="39">
        <f t="shared" si="48"/>
        <v>1</v>
      </c>
      <c r="BX522" s="78">
        <v>1</v>
      </c>
      <c r="BY522" s="63">
        <v>8</v>
      </c>
    </row>
    <row r="523" spans="1:81" ht="16" x14ac:dyDescent="0.2">
      <c r="A523" s="109" t="s">
        <v>316</v>
      </c>
      <c r="B523" s="26">
        <v>40</v>
      </c>
      <c r="C523" s="109" t="s">
        <v>179</v>
      </c>
      <c r="D523" s="38">
        <v>1</v>
      </c>
      <c r="E523" s="38">
        <v>2</v>
      </c>
      <c r="F523" s="38">
        <v>2</v>
      </c>
      <c r="G523" s="38" t="s">
        <v>51</v>
      </c>
      <c r="H523" s="38">
        <v>4</v>
      </c>
      <c r="I523" s="38" t="s">
        <v>51</v>
      </c>
      <c r="J523" s="38" t="s">
        <v>60</v>
      </c>
      <c r="K523" s="38"/>
      <c r="L523" s="38">
        <v>6</v>
      </c>
      <c r="M523" s="40" t="s">
        <v>38</v>
      </c>
      <c r="N523" s="36">
        <f>8/16</f>
        <v>0.5</v>
      </c>
      <c r="O523" s="36"/>
      <c r="P523" s="36"/>
      <c r="Q523" s="36"/>
      <c r="R523" s="36"/>
      <c r="S523" s="36"/>
      <c r="T523" s="36"/>
      <c r="U523" s="36" t="s">
        <v>38</v>
      </c>
      <c r="V523" s="36">
        <f>6/16</f>
        <v>0.375</v>
      </c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 t="s">
        <v>38</v>
      </c>
      <c r="AJ523" s="36">
        <f>13.5/16</f>
        <v>0.84375</v>
      </c>
      <c r="AK523" s="36" t="s">
        <v>38</v>
      </c>
      <c r="AL523" s="36">
        <f>5.5/16</f>
        <v>0.34375</v>
      </c>
      <c r="AM523" s="36" t="s">
        <v>38</v>
      </c>
      <c r="AN523" s="36">
        <f>7.5/16</f>
        <v>0.46875</v>
      </c>
      <c r="AO523" s="36"/>
      <c r="AP523" s="36"/>
      <c r="AQ523" s="36"/>
      <c r="AR523" s="36"/>
      <c r="AS523" s="36"/>
      <c r="AT523" s="36"/>
      <c r="AU523" s="36" t="s">
        <v>39</v>
      </c>
      <c r="AV523" s="36">
        <f>5.5/16</f>
        <v>0.34375</v>
      </c>
      <c r="AW523" s="36"/>
      <c r="AX523" s="36"/>
      <c r="AY523" s="36"/>
      <c r="AZ523" s="36"/>
      <c r="BA523" s="36"/>
      <c r="BB523" s="36"/>
      <c r="BC523" s="36"/>
      <c r="BD523" s="36"/>
      <c r="BE523" s="38"/>
      <c r="BF523" s="38"/>
      <c r="BG523" s="39">
        <v>1</v>
      </c>
      <c r="BH523" s="38">
        <v>4</v>
      </c>
      <c r="BI523" s="38"/>
      <c r="BJ523" s="38">
        <v>1</v>
      </c>
      <c r="BK523" s="38"/>
      <c r="BL523" s="38"/>
      <c r="BM523" s="38"/>
      <c r="BN523" s="38"/>
      <c r="BO523" s="37">
        <f t="shared" si="44"/>
        <v>1</v>
      </c>
      <c r="BP523" s="56">
        <f t="shared" si="45"/>
        <v>5</v>
      </c>
      <c r="BQ523" s="56">
        <f t="shared" si="46"/>
        <v>0</v>
      </c>
      <c r="BR523" s="57">
        <f t="shared" si="47"/>
        <v>0</v>
      </c>
      <c r="BS523" s="38"/>
      <c r="BT523" s="38"/>
      <c r="BU523" s="26"/>
      <c r="BV523" s="26"/>
      <c r="BW523" s="39">
        <f t="shared" si="48"/>
        <v>6</v>
      </c>
      <c r="BX523" s="78">
        <v>2</v>
      </c>
      <c r="BY523" s="64">
        <v>7</v>
      </c>
      <c r="BZ523" s="17"/>
      <c r="CA523" s="8"/>
      <c r="CB523" s="7"/>
      <c r="CC523" s="7"/>
    </row>
    <row r="524" spans="1:81" x14ac:dyDescent="0.2">
      <c r="A524" s="109" t="s">
        <v>316</v>
      </c>
      <c r="B524" s="26">
        <v>40</v>
      </c>
      <c r="C524" s="109" t="s">
        <v>179</v>
      </c>
      <c r="D524" s="38">
        <v>2</v>
      </c>
      <c r="E524" s="38">
        <v>2</v>
      </c>
      <c r="F524" s="38">
        <v>2</v>
      </c>
      <c r="G524" s="38" t="s">
        <v>51</v>
      </c>
      <c r="H524" s="38">
        <v>4</v>
      </c>
      <c r="I524" s="38" t="s">
        <v>51</v>
      </c>
      <c r="J524" s="38" t="s">
        <v>65</v>
      </c>
      <c r="K524" s="38"/>
      <c r="L524" s="38">
        <v>5</v>
      </c>
      <c r="M524" s="40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8"/>
      <c r="BF524" s="38"/>
      <c r="BG524" s="39"/>
      <c r="BH524" s="38"/>
      <c r="BI524" s="38"/>
      <c r="BJ524" s="38"/>
      <c r="BK524" s="38"/>
      <c r="BL524" s="38"/>
      <c r="BM524" s="38"/>
      <c r="BN524" s="38"/>
      <c r="BO524" s="37">
        <f t="shared" si="44"/>
        <v>0</v>
      </c>
      <c r="BP524" s="56">
        <f t="shared" si="45"/>
        <v>0</v>
      </c>
      <c r="BQ524" s="56">
        <f t="shared" si="46"/>
        <v>0</v>
      </c>
      <c r="BR524" s="57">
        <f t="shared" si="47"/>
        <v>0</v>
      </c>
      <c r="BS524" s="38"/>
      <c r="BT524" s="38"/>
      <c r="BU524" s="26"/>
      <c r="BV524" s="26"/>
      <c r="BW524" s="39">
        <f t="shared" si="48"/>
        <v>0</v>
      </c>
      <c r="BX524" s="78">
        <v>0</v>
      </c>
      <c r="BY524" s="64">
        <v>11</v>
      </c>
      <c r="BZ524" s="17"/>
      <c r="CA524" s="22"/>
      <c r="CB524" s="7"/>
      <c r="CC524" s="7"/>
    </row>
    <row r="525" spans="1:81" ht="16" x14ac:dyDescent="0.2">
      <c r="A525" s="109" t="s">
        <v>316</v>
      </c>
      <c r="B525" s="26">
        <v>40</v>
      </c>
      <c r="C525" s="109" t="s">
        <v>179</v>
      </c>
      <c r="D525" s="38">
        <v>4</v>
      </c>
      <c r="E525" s="38">
        <v>2</v>
      </c>
      <c r="F525" s="38">
        <v>2</v>
      </c>
      <c r="G525" s="38" t="s">
        <v>51</v>
      </c>
      <c r="H525" s="38">
        <v>4</v>
      </c>
      <c r="I525" s="38" t="s">
        <v>51</v>
      </c>
      <c r="J525" s="38" t="s">
        <v>69</v>
      </c>
      <c r="K525" s="38"/>
      <c r="L525" s="38">
        <v>6</v>
      </c>
      <c r="M525" s="40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 t="s">
        <v>38</v>
      </c>
      <c r="AP525" s="36">
        <f>15.5/16</f>
        <v>0.96875</v>
      </c>
      <c r="AQ525" s="36" t="s">
        <v>38</v>
      </c>
      <c r="AR525" s="36">
        <f>16/16</f>
        <v>1</v>
      </c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8"/>
      <c r="BF525" s="38"/>
      <c r="BG525" s="39">
        <v>2</v>
      </c>
      <c r="BH525" s="38"/>
      <c r="BI525" s="38"/>
      <c r="BJ525" s="38"/>
      <c r="BK525" s="38"/>
      <c r="BL525" s="38"/>
      <c r="BM525" s="38"/>
      <c r="BN525" s="38"/>
      <c r="BO525" s="37">
        <f t="shared" si="44"/>
        <v>2</v>
      </c>
      <c r="BP525" s="56">
        <f t="shared" si="45"/>
        <v>0</v>
      </c>
      <c r="BQ525" s="56">
        <f t="shared" si="46"/>
        <v>0</v>
      </c>
      <c r="BR525" s="57">
        <f t="shared" si="47"/>
        <v>0</v>
      </c>
      <c r="BS525" s="38"/>
      <c r="BT525" s="38"/>
      <c r="BU525" s="26"/>
      <c r="BV525" s="26"/>
      <c r="BW525" s="39">
        <f t="shared" si="48"/>
        <v>2</v>
      </c>
      <c r="BX525" s="78">
        <v>1</v>
      </c>
      <c r="BY525" s="64">
        <v>12</v>
      </c>
      <c r="BZ525" s="17"/>
      <c r="CA525" s="22"/>
      <c r="CB525" s="7"/>
      <c r="CC525" s="7"/>
    </row>
    <row r="526" spans="1:81" ht="16" x14ac:dyDescent="0.2">
      <c r="A526" s="109" t="s">
        <v>316</v>
      </c>
      <c r="B526" s="26">
        <v>40</v>
      </c>
      <c r="C526" s="109" t="s">
        <v>179</v>
      </c>
      <c r="D526" s="38">
        <v>5</v>
      </c>
      <c r="E526" s="38">
        <v>2</v>
      </c>
      <c r="F526" s="38">
        <v>2</v>
      </c>
      <c r="G526" s="38" t="s">
        <v>51</v>
      </c>
      <c r="H526" s="38">
        <v>5</v>
      </c>
      <c r="I526" s="38" t="s">
        <v>50</v>
      </c>
      <c r="J526" s="38" t="s">
        <v>64</v>
      </c>
      <c r="K526" s="38"/>
      <c r="L526" s="38">
        <v>6</v>
      </c>
      <c r="M526" s="40"/>
      <c r="N526" s="36"/>
      <c r="O526" s="36" t="s">
        <v>39</v>
      </c>
      <c r="P526" s="36">
        <f>14.5/16</f>
        <v>0.90625</v>
      </c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 t="s">
        <v>38</v>
      </c>
      <c r="AD526" s="36">
        <f>16/16</f>
        <v>1</v>
      </c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8"/>
      <c r="BF526" s="38"/>
      <c r="BG526" s="37">
        <v>1</v>
      </c>
      <c r="BH526" s="26"/>
      <c r="BI526" s="26">
        <v>1</v>
      </c>
      <c r="BJ526" s="26"/>
      <c r="BK526" s="26"/>
      <c r="BL526" s="26"/>
      <c r="BM526" s="26"/>
      <c r="BN526" s="26"/>
      <c r="BO526" s="37">
        <f t="shared" si="44"/>
        <v>2</v>
      </c>
      <c r="BP526" s="56">
        <f t="shared" si="45"/>
        <v>0</v>
      </c>
      <c r="BQ526" s="56">
        <f t="shared" si="46"/>
        <v>0</v>
      </c>
      <c r="BR526" s="57">
        <f t="shared" si="47"/>
        <v>0</v>
      </c>
      <c r="BS526" s="38"/>
      <c r="BT526" s="38"/>
      <c r="BU526" s="26"/>
      <c r="BV526" s="26"/>
      <c r="BW526" s="39">
        <f t="shared" si="48"/>
        <v>2</v>
      </c>
      <c r="BX526" s="78">
        <v>1</v>
      </c>
      <c r="BY526" s="63">
        <v>6</v>
      </c>
      <c r="BZ526" s="7"/>
      <c r="CA526" s="8"/>
      <c r="CB526" s="7"/>
      <c r="CC526" s="7"/>
    </row>
    <row r="527" spans="1:81" x14ac:dyDescent="0.2">
      <c r="A527" s="109" t="s">
        <v>316</v>
      </c>
      <c r="B527" s="26">
        <v>40</v>
      </c>
      <c r="C527" s="109" t="s">
        <v>179</v>
      </c>
      <c r="D527" s="38">
        <v>6</v>
      </c>
      <c r="E527" s="38">
        <v>2</v>
      </c>
      <c r="F527" s="38">
        <v>2</v>
      </c>
      <c r="G527" s="38" t="s">
        <v>51</v>
      </c>
      <c r="H527" s="38">
        <v>5</v>
      </c>
      <c r="I527" s="38" t="s">
        <v>56</v>
      </c>
      <c r="J527" s="38" t="s">
        <v>45</v>
      </c>
      <c r="K527" s="38"/>
      <c r="L527" s="38">
        <v>6</v>
      </c>
      <c r="M527" s="40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8"/>
      <c r="BF527" s="38"/>
      <c r="BG527" s="37"/>
      <c r="BH527" s="26"/>
      <c r="BI527" s="26"/>
      <c r="BJ527" s="26"/>
      <c r="BK527" s="26"/>
      <c r="BL527" s="26"/>
      <c r="BM527" s="26"/>
      <c r="BN527" s="26"/>
      <c r="BO527" s="37">
        <f t="shared" si="44"/>
        <v>0</v>
      </c>
      <c r="BP527" s="56">
        <f t="shared" si="45"/>
        <v>0</v>
      </c>
      <c r="BQ527" s="56">
        <f t="shared" si="46"/>
        <v>0</v>
      </c>
      <c r="BR527" s="57">
        <f t="shared" si="47"/>
        <v>0</v>
      </c>
      <c r="BS527" s="38"/>
      <c r="BT527" s="38"/>
      <c r="BU527" s="26"/>
      <c r="BV527" s="26"/>
      <c r="BW527" s="39">
        <f t="shared" si="48"/>
        <v>0</v>
      </c>
      <c r="BX527" s="78">
        <v>0</v>
      </c>
      <c r="BY527" s="63">
        <v>5</v>
      </c>
      <c r="BZ527" s="7"/>
      <c r="CA527" s="8"/>
      <c r="CB527" s="7"/>
      <c r="CC527" s="7"/>
    </row>
    <row r="528" spans="1:81" ht="16" x14ac:dyDescent="0.2">
      <c r="A528" s="109" t="s">
        <v>316</v>
      </c>
      <c r="B528" s="26">
        <v>40</v>
      </c>
      <c r="C528" s="109" t="s">
        <v>180</v>
      </c>
      <c r="D528" s="38">
        <v>1</v>
      </c>
      <c r="E528" s="38">
        <v>2</v>
      </c>
      <c r="F528" s="38">
        <v>3</v>
      </c>
      <c r="G528" s="38" t="s">
        <v>50</v>
      </c>
      <c r="H528" s="38">
        <v>7</v>
      </c>
      <c r="I528" s="38" t="s">
        <v>51</v>
      </c>
      <c r="J528" s="38" t="s">
        <v>45</v>
      </c>
      <c r="K528" s="38"/>
      <c r="L528" s="38">
        <v>7</v>
      </c>
      <c r="M528" s="40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 t="s">
        <v>39</v>
      </c>
      <c r="AX528" s="36">
        <f>13/16</f>
        <v>0.8125</v>
      </c>
      <c r="AY528" s="36"/>
      <c r="AZ528" s="36"/>
      <c r="BA528" s="36" t="s">
        <v>39</v>
      </c>
      <c r="BB528" s="36">
        <f>16/16</f>
        <v>1</v>
      </c>
      <c r="BC528" s="36"/>
      <c r="BD528" s="36"/>
      <c r="BE528" s="38"/>
      <c r="BF528" s="38"/>
      <c r="BG528" s="39"/>
      <c r="BH528" s="38"/>
      <c r="BI528" s="38">
        <v>2</v>
      </c>
      <c r="BJ528" s="38"/>
      <c r="BK528" s="38"/>
      <c r="BL528" s="38"/>
      <c r="BM528" s="38"/>
      <c r="BN528" s="38"/>
      <c r="BO528" s="37">
        <f t="shared" si="44"/>
        <v>2</v>
      </c>
      <c r="BP528" s="56">
        <f t="shared" si="45"/>
        <v>0</v>
      </c>
      <c r="BQ528" s="56">
        <f t="shared" si="46"/>
        <v>0</v>
      </c>
      <c r="BR528" s="57">
        <f t="shared" si="47"/>
        <v>0</v>
      </c>
      <c r="BS528" s="38"/>
      <c r="BT528" s="38"/>
      <c r="BU528" s="26"/>
      <c r="BV528" s="26"/>
      <c r="BW528" s="39">
        <f t="shared" si="48"/>
        <v>2</v>
      </c>
      <c r="BX528" s="78">
        <v>1</v>
      </c>
      <c r="BY528" s="63">
        <v>5</v>
      </c>
      <c r="BZ528" s="7"/>
      <c r="CA528" s="8"/>
      <c r="CB528" s="7"/>
      <c r="CC528" s="7"/>
    </row>
    <row r="529" spans="1:81" ht="16" x14ac:dyDescent="0.2">
      <c r="A529" s="109" t="s">
        <v>316</v>
      </c>
      <c r="B529" s="26">
        <v>40</v>
      </c>
      <c r="C529" s="109" t="s">
        <v>180</v>
      </c>
      <c r="D529" s="38">
        <v>3</v>
      </c>
      <c r="E529" s="38">
        <v>2</v>
      </c>
      <c r="F529" s="38">
        <v>3</v>
      </c>
      <c r="G529" s="38" t="s">
        <v>50</v>
      </c>
      <c r="H529" s="38">
        <v>5</v>
      </c>
      <c r="I529" s="38" t="s">
        <v>51</v>
      </c>
      <c r="J529" s="38" t="s">
        <v>37</v>
      </c>
      <c r="K529" s="38"/>
      <c r="L529" s="38">
        <v>6</v>
      </c>
      <c r="M529" s="40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 t="s">
        <v>38</v>
      </c>
      <c r="AX529" s="36">
        <f>14.5/16</f>
        <v>0.90625</v>
      </c>
      <c r="AY529" s="36"/>
      <c r="AZ529" s="36"/>
      <c r="BA529" s="36"/>
      <c r="BB529" s="36"/>
      <c r="BC529" s="36"/>
      <c r="BD529" s="36"/>
      <c r="BE529" s="38"/>
      <c r="BF529" s="38"/>
      <c r="BG529" s="39">
        <v>1</v>
      </c>
      <c r="BH529" s="38"/>
      <c r="BI529" s="38"/>
      <c r="BJ529" s="38"/>
      <c r="BK529" s="38"/>
      <c r="BL529" s="38"/>
      <c r="BM529" s="38"/>
      <c r="BN529" s="38"/>
      <c r="BO529" s="37">
        <f t="shared" si="44"/>
        <v>1</v>
      </c>
      <c r="BP529" s="56">
        <f t="shared" si="45"/>
        <v>0</v>
      </c>
      <c r="BQ529" s="56">
        <f t="shared" si="46"/>
        <v>0</v>
      </c>
      <c r="BR529" s="57">
        <f t="shared" si="47"/>
        <v>0</v>
      </c>
      <c r="BS529" s="38"/>
      <c r="BT529" s="38"/>
      <c r="BU529" s="26"/>
      <c r="BV529" s="26"/>
      <c r="BW529" s="39">
        <f t="shared" si="48"/>
        <v>1</v>
      </c>
      <c r="BX529" s="78">
        <v>1</v>
      </c>
      <c r="BY529" s="63">
        <v>9</v>
      </c>
      <c r="BZ529" s="7"/>
      <c r="CA529" s="8"/>
      <c r="CB529" s="7"/>
      <c r="CC529" s="7"/>
    </row>
    <row r="530" spans="1:81" ht="16" x14ac:dyDescent="0.2">
      <c r="A530" s="109" t="s">
        <v>316</v>
      </c>
      <c r="B530" s="26">
        <v>40</v>
      </c>
      <c r="C530" s="109" t="s">
        <v>180</v>
      </c>
      <c r="D530" s="38">
        <v>5</v>
      </c>
      <c r="E530" s="38">
        <v>2</v>
      </c>
      <c r="F530" s="38">
        <v>2</v>
      </c>
      <c r="G530" s="38" t="s">
        <v>51</v>
      </c>
      <c r="H530" s="38">
        <v>4</v>
      </c>
      <c r="I530" s="38" t="s">
        <v>51</v>
      </c>
      <c r="J530" s="38" t="s">
        <v>60</v>
      </c>
      <c r="K530" s="38"/>
      <c r="L530" s="38">
        <v>6</v>
      </c>
      <c r="M530" s="40"/>
      <c r="N530" s="36"/>
      <c r="O530" s="36"/>
      <c r="P530" s="36"/>
      <c r="Q530" s="36"/>
      <c r="R530" s="36"/>
      <c r="S530" s="36" t="s">
        <v>43</v>
      </c>
      <c r="T530" s="36">
        <f>10/16</f>
        <v>0.625</v>
      </c>
      <c r="U530" s="36"/>
      <c r="V530" s="36"/>
      <c r="W530" s="36"/>
      <c r="X530" s="36"/>
      <c r="Y530" s="36" t="s">
        <v>38</v>
      </c>
      <c r="Z530" s="36">
        <f>6/16</f>
        <v>0.375</v>
      </c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 t="s">
        <v>38</v>
      </c>
      <c r="AR530" s="36">
        <f>18/16</f>
        <v>1.125</v>
      </c>
      <c r="AS530" s="36" t="s">
        <v>43</v>
      </c>
      <c r="AT530" s="36">
        <f>8.5/16</f>
        <v>0.53125</v>
      </c>
      <c r="AU530" s="36"/>
      <c r="AV530" s="36"/>
      <c r="AW530" s="36"/>
      <c r="AX530" s="36"/>
      <c r="AY530" s="36"/>
      <c r="AZ530" s="36"/>
      <c r="BA530" s="36"/>
      <c r="BB530" s="36"/>
      <c r="BC530" s="36" t="s">
        <v>38</v>
      </c>
      <c r="BD530" s="36">
        <f>5/16</f>
        <v>0.3125</v>
      </c>
      <c r="BE530" s="38"/>
      <c r="BF530" s="38"/>
      <c r="BG530" s="39">
        <v>1</v>
      </c>
      <c r="BH530" s="38">
        <v>2</v>
      </c>
      <c r="BI530" s="38"/>
      <c r="BJ530" s="38"/>
      <c r="BK530" s="38"/>
      <c r="BL530" s="38"/>
      <c r="BM530" s="38"/>
      <c r="BN530" s="38"/>
      <c r="BO530" s="37">
        <f t="shared" si="44"/>
        <v>1</v>
      </c>
      <c r="BP530" s="56">
        <f t="shared" si="45"/>
        <v>2</v>
      </c>
      <c r="BQ530" s="56">
        <f t="shared" si="46"/>
        <v>2</v>
      </c>
      <c r="BR530" s="57">
        <f t="shared" si="47"/>
        <v>0</v>
      </c>
      <c r="BS530" s="38">
        <v>2</v>
      </c>
      <c r="BT530" s="38"/>
      <c r="BU530" s="26"/>
      <c r="BV530" s="26"/>
      <c r="BW530" s="39">
        <f t="shared" si="48"/>
        <v>5</v>
      </c>
      <c r="BX530" s="78">
        <v>2</v>
      </c>
      <c r="BY530" s="63">
        <v>7</v>
      </c>
      <c r="BZ530" s="7"/>
      <c r="CA530" s="8"/>
      <c r="CB530" s="7"/>
      <c r="CC530" s="7"/>
    </row>
    <row r="531" spans="1:81" ht="16" x14ac:dyDescent="0.2">
      <c r="A531" s="109" t="s">
        <v>316</v>
      </c>
      <c r="B531" s="26">
        <v>40</v>
      </c>
      <c r="C531" s="109" t="s">
        <v>180</v>
      </c>
      <c r="D531" s="38">
        <v>6</v>
      </c>
      <c r="E531" s="38">
        <v>2</v>
      </c>
      <c r="F531" s="38">
        <v>2</v>
      </c>
      <c r="G531" s="38" t="s">
        <v>51</v>
      </c>
      <c r="H531" s="38">
        <v>4</v>
      </c>
      <c r="I531" s="38" t="s">
        <v>51</v>
      </c>
      <c r="J531" s="38"/>
      <c r="K531" s="38" t="s">
        <v>63</v>
      </c>
      <c r="L531" s="38">
        <v>7</v>
      </c>
      <c r="M531" s="40" t="s">
        <v>39</v>
      </c>
      <c r="N531" s="36">
        <f>10.5/16</f>
        <v>0.65625</v>
      </c>
      <c r="O531" s="36" t="s">
        <v>38</v>
      </c>
      <c r="P531" s="36">
        <f>8/15</f>
        <v>0.53333333333333333</v>
      </c>
      <c r="Q531" s="36"/>
      <c r="R531" s="36"/>
      <c r="S531" s="36"/>
      <c r="T531" s="36"/>
      <c r="U531" s="36" t="s">
        <v>39</v>
      </c>
      <c r="V531" s="36">
        <f>6/16</f>
        <v>0.375</v>
      </c>
      <c r="W531" s="36"/>
      <c r="X531" s="36"/>
      <c r="Y531" s="36"/>
      <c r="Z531" s="36"/>
      <c r="AA531" s="36" t="s">
        <v>38</v>
      </c>
      <c r="AB531" s="36">
        <f>8/16</f>
        <v>0.5</v>
      </c>
      <c r="AC531" s="36"/>
      <c r="AD531" s="36"/>
      <c r="AE531" s="36"/>
      <c r="AF531" s="36"/>
      <c r="AG531" s="36"/>
      <c r="AH531" s="36"/>
      <c r="AI531" s="36" t="s">
        <v>38</v>
      </c>
      <c r="AJ531" s="36">
        <f>8/16</f>
        <v>0.5</v>
      </c>
      <c r="AK531" s="36"/>
      <c r="AL531" s="36"/>
      <c r="AM531" s="36"/>
      <c r="AN531" s="36"/>
      <c r="AO531" s="36"/>
      <c r="AP531" s="36"/>
      <c r="AQ531" s="36" t="s">
        <v>38</v>
      </c>
      <c r="AR531" s="36">
        <f>7/16</f>
        <v>0.4375</v>
      </c>
      <c r="AS531" s="36"/>
      <c r="AT531" s="36"/>
      <c r="AU531" s="36"/>
      <c r="AV531" s="36"/>
      <c r="AW531" s="36" t="s">
        <v>39</v>
      </c>
      <c r="AX531" s="36">
        <f>12/16</f>
        <v>0.75</v>
      </c>
      <c r="AY531" s="36"/>
      <c r="AZ531" s="36"/>
      <c r="BA531" s="36"/>
      <c r="BB531" s="36"/>
      <c r="BC531" s="36"/>
      <c r="BD531" s="36"/>
      <c r="BE531" s="38"/>
      <c r="BF531" s="38"/>
      <c r="BG531" s="39"/>
      <c r="BH531" s="38">
        <v>4</v>
      </c>
      <c r="BI531" s="38">
        <v>1</v>
      </c>
      <c r="BJ531" s="38">
        <v>2</v>
      </c>
      <c r="BK531" s="38"/>
      <c r="BL531" s="38"/>
      <c r="BM531" s="38"/>
      <c r="BN531" s="38"/>
      <c r="BO531" s="37">
        <f t="shared" si="44"/>
        <v>1</v>
      </c>
      <c r="BP531" s="56">
        <f t="shared" si="45"/>
        <v>6</v>
      </c>
      <c r="BQ531" s="56">
        <f t="shared" si="46"/>
        <v>0</v>
      </c>
      <c r="BR531" s="57">
        <f t="shared" si="47"/>
        <v>0</v>
      </c>
      <c r="BS531" s="38"/>
      <c r="BT531" s="38"/>
      <c r="BU531" s="26"/>
      <c r="BV531" s="26"/>
      <c r="BW531" s="39">
        <f t="shared" si="48"/>
        <v>7</v>
      </c>
      <c r="BX531" s="78">
        <v>2</v>
      </c>
      <c r="BY531" s="63">
        <v>2</v>
      </c>
      <c r="BZ531" s="7"/>
      <c r="CA531" s="8"/>
      <c r="CB531" s="7"/>
      <c r="CC531" s="7"/>
    </row>
    <row r="532" spans="1:81" ht="16" x14ac:dyDescent="0.2">
      <c r="A532" s="109" t="s">
        <v>316</v>
      </c>
      <c r="B532" s="26">
        <v>40</v>
      </c>
      <c r="C532" s="109" t="s">
        <v>180</v>
      </c>
      <c r="D532" s="38">
        <v>7</v>
      </c>
      <c r="E532" s="38">
        <v>2</v>
      </c>
      <c r="F532" s="38">
        <v>4</v>
      </c>
      <c r="G532" s="38" t="s">
        <v>50</v>
      </c>
      <c r="H532" s="38"/>
      <c r="I532" s="38"/>
      <c r="J532" s="38"/>
      <c r="K532" s="38">
        <v>14</v>
      </c>
      <c r="L532" s="38">
        <v>7</v>
      </c>
      <c r="M532" s="40" t="s">
        <v>39</v>
      </c>
      <c r="N532" s="36">
        <f>7/16</f>
        <v>0.4375</v>
      </c>
      <c r="O532" s="36"/>
      <c r="P532" s="36"/>
      <c r="Q532" s="36"/>
      <c r="R532" s="36"/>
      <c r="S532" s="36" t="s">
        <v>38</v>
      </c>
      <c r="T532" s="36">
        <f>12/16</f>
        <v>0.75</v>
      </c>
      <c r="U532" s="36"/>
      <c r="V532" s="36"/>
      <c r="W532" s="36"/>
      <c r="X532" s="36"/>
      <c r="Y532" s="36" t="s">
        <v>38</v>
      </c>
      <c r="Z532" s="36">
        <f>5/16</f>
        <v>0.3125</v>
      </c>
      <c r="AA532" s="36"/>
      <c r="AB532" s="36"/>
      <c r="AC532" s="36" t="s">
        <v>38</v>
      </c>
      <c r="AD532" s="36">
        <f>12.5/16</f>
        <v>0.78125</v>
      </c>
      <c r="AE532" s="36" t="s">
        <v>38</v>
      </c>
      <c r="AF532" s="36">
        <f>12.5/16</f>
        <v>0.78125</v>
      </c>
      <c r="AG532" s="36" t="s">
        <v>38</v>
      </c>
      <c r="AH532" s="36">
        <f>11/16</f>
        <v>0.6875</v>
      </c>
      <c r="AI532" s="36"/>
      <c r="AJ532" s="36"/>
      <c r="AK532" s="36" t="s">
        <v>39</v>
      </c>
      <c r="AL532" s="36">
        <f>8.5/16</f>
        <v>0.53125</v>
      </c>
      <c r="AM532" s="36"/>
      <c r="AN532" s="36"/>
      <c r="AO532" s="36"/>
      <c r="AP532" s="36"/>
      <c r="AQ532" s="36" t="s">
        <v>38</v>
      </c>
      <c r="AR532" s="36">
        <f>11.5/16</f>
        <v>0.71875</v>
      </c>
      <c r="AS532" s="36"/>
      <c r="AT532" s="36"/>
      <c r="AU532" s="36" t="s">
        <v>38</v>
      </c>
      <c r="AV532" s="36">
        <f>9.5/16</f>
        <v>0.59375</v>
      </c>
      <c r="AW532" s="36"/>
      <c r="AX532" s="36"/>
      <c r="AY532" s="36" t="s">
        <v>38</v>
      </c>
      <c r="AZ532" s="36">
        <f>13.5/16</f>
        <v>0.84375</v>
      </c>
      <c r="BA532" s="36"/>
      <c r="BB532" s="36"/>
      <c r="BC532" s="36"/>
      <c r="BD532" s="36"/>
      <c r="BE532" s="38"/>
      <c r="BF532" s="38"/>
      <c r="BG532" s="39">
        <v>5</v>
      </c>
      <c r="BH532" s="38">
        <v>3</v>
      </c>
      <c r="BI532" s="38"/>
      <c r="BJ532" s="38">
        <v>2</v>
      </c>
      <c r="BK532" s="38"/>
      <c r="BL532" s="38"/>
      <c r="BM532" s="38"/>
      <c r="BN532" s="38"/>
      <c r="BO532" s="37">
        <f t="shared" si="44"/>
        <v>5</v>
      </c>
      <c r="BP532" s="56">
        <f t="shared" si="45"/>
        <v>5</v>
      </c>
      <c r="BQ532" s="56">
        <f t="shared" si="46"/>
        <v>0</v>
      </c>
      <c r="BR532" s="57">
        <f t="shared" si="47"/>
        <v>0</v>
      </c>
      <c r="BS532" s="38"/>
      <c r="BT532" s="38"/>
      <c r="BU532" s="26"/>
      <c r="BV532" s="26"/>
      <c r="BW532" s="39">
        <f t="shared" si="48"/>
        <v>10</v>
      </c>
      <c r="BX532" s="78">
        <v>2</v>
      </c>
      <c r="BY532" s="63">
        <v>2</v>
      </c>
      <c r="BZ532" s="7"/>
      <c r="CA532" s="8"/>
      <c r="CB532" s="7"/>
      <c r="CC532" s="7"/>
    </row>
    <row r="533" spans="1:81" ht="16" x14ac:dyDescent="0.2">
      <c r="A533" s="109">
        <v>790759</v>
      </c>
      <c r="B533" s="26">
        <v>38</v>
      </c>
      <c r="C533" s="109" t="s">
        <v>181</v>
      </c>
      <c r="D533" s="38">
        <v>1</v>
      </c>
      <c r="E533" s="38">
        <v>2</v>
      </c>
      <c r="F533" s="38">
        <v>2</v>
      </c>
      <c r="G533" s="38" t="s">
        <v>51</v>
      </c>
      <c r="H533" s="38">
        <v>4</v>
      </c>
      <c r="I533" s="38" t="s">
        <v>51</v>
      </c>
      <c r="J533" s="38"/>
      <c r="K533" s="38" t="s">
        <v>63</v>
      </c>
      <c r="L533" s="38">
        <v>6</v>
      </c>
      <c r="M533" s="40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 t="s">
        <v>39</v>
      </c>
      <c r="AR533" s="36">
        <f>10.5/12</f>
        <v>0.875</v>
      </c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 t="s">
        <v>39</v>
      </c>
      <c r="BD533" s="36">
        <f>11/12</f>
        <v>0.91666666666666663</v>
      </c>
      <c r="BE533" s="38"/>
      <c r="BF533" s="38"/>
      <c r="BG533" s="39"/>
      <c r="BH533" s="38"/>
      <c r="BI533" s="38">
        <v>2</v>
      </c>
      <c r="BJ533" s="38"/>
      <c r="BK533" s="38"/>
      <c r="BL533" s="38"/>
      <c r="BM533" s="38"/>
      <c r="BN533" s="38"/>
      <c r="BO533" s="37">
        <f t="shared" si="44"/>
        <v>2</v>
      </c>
      <c r="BP533" s="56">
        <f t="shared" si="45"/>
        <v>0</v>
      </c>
      <c r="BQ533" s="56">
        <f t="shared" si="46"/>
        <v>0</v>
      </c>
      <c r="BR533" s="57">
        <f t="shared" si="47"/>
        <v>0</v>
      </c>
      <c r="BS533" s="38"/>
      <c r="BT533" s="38"/>
      <c r="BU533" s="26"/>
      <c r="BV533" s="26"/>
      <c r="BW533" s="39">
        <f t="shared" si="48"/>
        <v>2</v>
      </c>
      <c r="BX533" s="78">
        <v>1</v>
      </c>
      <c r="BY533" s="63">
        <v>2</v>
      </c>
      <c r="BZ533" s="7"/>
      <c r="CA533" s="8"/>
      <c r="CB533" s="7"/>
      <c r="CC533" s="7"/>
    </row>
    <row r="534" spans="1:81" ht="16" x14ac:dyDescent="0.2">
      <c r="A534" s="109">
        <v>790759</v>
      </c>
      <c r="B534" s="26">
        <v>38</v>
      </c>
      <c r="C534" s="109" t="s">
        <v>181</v>
      </c>
      <c r="D534" s="38">
        <v>2</v>
      </c>
      <c r="E534" s="38">
        <v>2</v>
      </c>
      <c r="F534" s="38">
        <v>2</v>
      </c>
      <c r="G534" s="38" t="s">
        <v>51</v>
      </c>
      <c r="H534" s="38">
        <v>4</v>
      </c>
      <c r="I534" s="38" t="s">
        <v>51</v>
      </c>
      <c r="J534" s="38" t="s">
        <v>37</v>
      </c>
      <c r="K534" s="38"/>
      <c r="L534" s="38">
        <v>6</v>
      </c>
      <c r="M534" s="40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 t="s">
        <v>48</v>
      </c>
      <c r="AD534" s="36">
        <f>9/16</f>
        <v>0.5625</v>
      </c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8"/>
      <c r="BF534" s="38"/>
      <c r="BG534" s="39"/>
      <c r="BH534" s="38"/>
      <c r="BI534" s="38"/>
      <c r="BJ534" s="38"/>
      <c r="BK534" s="38"/>
      <c r="BL534" s="38">
        <v>1</v>
      </c>
      <c r="BM534" s="38"/>
      <c r="BN534" s="38"/>
      <c r="BO534" s="37">
        <f t="shared" si="44"/>
        <v>0</v>
      </c>
      <c r="BP534" s="56">
        <f t="shared" si="45"/>
        <v>0</v>
      </c>
      <c r="BQ534" s="56">
        <f t="shared" si="46"/>
        <v>0</v>
      </c>
      <c r="BR534" s="57">
        <f t="shared" si="47"/>
        <v>1</v>
      </c>
      <c r="BS534" s="38"/>
      <c r="BT534" s="38"/>
      <c r="BU534" s="26"/>
      <c r="BV534" s="26"/>
      <c r="BW534" s="39">
        <f t="shared" si="48"/>
        <v>1</v>
      </c>
      <c r="BX534" s="78">
        <v>4</v>
      </c>
      <c r="BY534" s="63">
        <v>9</v>
      </c>
      <c r="BZ534" s="7"/>
      <c r="CA534" s="8"/>
      <c r="CB534" s="7"/>
      <c r="CC534" s="7"/>
    </row>
    <row r="535" spans="1:81" x14ac:dyDescent="0.2">
      <c r="A535" s="109">
        <v>790759</v>
      </c>
      <c r="B535" s="26">
        <v>38</v>
      </c>
      <c r="C535" s="109" t="s">
        <v>181</v>
      </c>
      <c r="D535" s="38">
        <v>3</v>
      </c>
      <c r="E535" s="38">
        <v>2</v>
      </c>
      <c r="F535" s="38">
        <v>2</v>
      </c>
      <c r="G535" s="38" t="s">
        <v>51</v>
      </c>
      <c r="H535" s="38">
        <v>4</v>
      </c>
      <c r="I535" s="38" t="s">
        <v>51</v>
      </c>
      <c r="J535" s="38" t="s">
        <v>42</v>
      </c>
      <c r="K535" s="38"/>
      <c r="L535" s="38">
        <v>7</v>
      </c>
      <c r="M535" s="40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8"/>
      <c r="BF535" s="38"/>
      <c r="BG535" s="39"/>
      <c r="BH535" s="38"/>
      <c r="BI535" s="38"/>
      <c r="BJ535" s="38"/>
      <c r="BK535" s="38"/>
      <c r="BL535" s="38"/>
      <c r="BM535" s="38"/>
      <c r="BN535" s="38"/>
      <c r="BO535" s="37">
        <f t="shared" si="44"/>
        <v>0</v>
      </c>
      <c r="BP535" s="56">
        <f t="shared" si="45"/>
        <v>0</v>
      </c>
      <c r="BQ535" s="56">
        <f t="shared" si="46"/>
        <v>0</v>
      </c>
      <c r="BR535" s="57">
        <f t="shared" si="47"/>
        <v>0</v>
      </c>
      <c r="BS535" s="38"/>
      <c r="BT535" s="38"/>
      <c r="BU535" s="26"/>
      <c r="BV535" s="26"/>
      <c r="BW535" s="39">
        <f t="shared" si="48"/>
        <v>0</v>
      </c>
      <c r="BX535" s="78">
        <v>0</v>
      </c>
      <c r="BY535" s="63">
        <v>8</v>
      </c>
      <c r="BZ535" s="7"/>
      <c r="CA535" s="8"/>
      <c r="CB535" s="7"/>
      <c r="CC535" s="7"/>
    </row>
    <row r="536" spans="1:81" ht="16" x14ac:dyDescent="0.2">
      <c r="A536" s="109">
        <v>790759</v>
      </c>
      <c r="B536" s="26">
        <v>38</v>
      </c>
      <c r="C536" s="109" t="s">
        <v>181</v>
      </c>
      <c r="D536" s="38">
        <v>4</v>
      </c>
      <c r="E536" s="38">
        <v>2</v>
      </c>
      <c r="F536" s="38">
        <v>2</v>
      </c>
      <c r="G536" s="38" t="s">
        <v>51</v>
      </c>
      <c r="H536" s="38">
        <v>4</v>
      </c>
      <c r="I536" s="38" t="s">
        <v>51</v>
      </c>
      <c r="J536" s="38" t="s">
        <v>42</v>
      </c>
      <c r="K536" s="38"/>
      <c r="L536" s="38">
        <v>6</v>
      </c>
      <c r="M536" s="40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 t="s">
        <v>39</v>
      </c>
      <c r="AV536" s="36">
        <f>3.5/16</f>
        <v>0.21875</v>
      </c>
      <c r="AW536" s="36"/>
      <c r="AX536" s="36"/>
      <c r="AY536" s="36"/>
      <c r="AZ536" s="36"/>
      <c r="BA536" s="36"/>
      <c r="BB536" s="36"/>
      <c r="BC536" s="36"/>
      <c r="BD536" s="36"/>
      <c r="BE536" s="38"/>
      <c r="BF536" s="38"/>
      <c r="BG536" s="39"/>
      <c r="BH536" s="38"/>
      <c r="BI536" s="38"/>
      <c r="BJ536" s="38"/>
      <c r="BK536" s="38"/>
      <c r="BL536" s="38"/>
      <c r="BM536" s="38"/>
      <c r="BN536" s="38"/>
      <c r="BO536" s="37">
        <f t="shared" si="44"/>
        <v>0</v>
      </c>
      <c r="BP536" s="56">
        <f t="shared" si="45"/>
        <v>0</v>
      </c>
      <c r="BQ536" s="56">
        <f t="shared" si="46"/>
        <v>0</v>
      </c>
      <c r="BR536" s="57">
        <f t="shared" si="47"/>
        <v>0</v>
      </c>
      <c r="BS536" s="38"/>
      <c r="BT536" s="38"/>
      <c r="BU536" s="26"/>
      <c r="BV536" s="26"/>
      <c r="BW536" s="39">
        <f t="shared" si="48"/>
        <v>0</v>
      </c>
      <c r="BX536" s="78">
        <v>0</v>
      </c>
      <c r="BY536" s="63">
        <v>8</v>
      </c>
      <c r="BZ536" s="7"/>
      <c r="CA536" s="8"/>
      <c r="CB536" s="7"/>
      <c r="CC536" s="7"/>
    </row>
    <row r="537" spans="1:81" ht="16" x14ac:dyDescent="0.2">
      <c r="A537" s="109">
        <v>790759</v>
      </c>
      <c r="B537" s="26">
        <v>38</v>
      </c>
      <c r="C537" s="109" t="s">
        <v>181</v>
      </c>
      <c r="D537" s="38">
        <v>5</v>
      </c>
      <c r="E537" s="38">
        <v>2</v>
      </c>
      <c r="F537" s="38">
        <v>2</v>
      </c>
      <c r="G537" s="38" t="s">
        <v>51</v>
      </c>
      <c r="H537" s="38">
        <v>4</v>
      </c>
      <c r="I537" s="38" t="s">
        <v>51</v>
      </c>
      <c r="J537" s="38"/>
      <c r="K537" s="38" t="s">
        <v>63</v>
      </c>
      <c r="L537" s="38">
        <v>6</v>
      </c>
      <c r="M537" s="40" t="s">
        <v>38</v>
      </c>
      <c r="N537" s="36">
        <f>16.5/16.5</f>
        <v>1</v>
      </c>
      <c r="O537" s="36" t="s">
        <v>38</v>
      </c>
      <c r="P537" s="36">
        <f>8/16.5</f>
        <v>0.48484848484848486</v>
      </c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 t="s">
        <v>40</v>
      </c>
      <c r="AD537" s="36">
        <f>10/16.5</f>
        <v>0.60606060606060608</v>
      </c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 t="s">
        <v>38</v>
      </c>
      <c r="AX537" s="36">
        <f>8.5/16.5</f>
        <v>0.51515151515151514</v>
      </c>
      <c r="AY537" s="36"/>
      <c r="AZ537" s="36"/>
      <c r="BA537" s="36"/>
      <c r="BB537" s="36"/>
      <c r="BC537" s="36"/>
      <c r="BD537" s="36"/>
      <c r="BE537" s="38"/>
      <c r="BF537" s="38"/>
      <c r="BG537" s="39">
        <v>1</v>
      </c>
      <c r="BH537" s="38">
        <v>2</v>
      </c>
      <c r="BI537" s="38"/>
      <c r="BJ537" s="38"/>
      <c r="BK537" s="38"/>
      <c r="BL537" s="38"/>
      <c r="BM537" s="38"/>
      <c r="BN537" s="38">
        <v>1</v>
      </c>
      <c r="BO537" s="37">
        <f t="shared" si="44"/>
        <v>1</v>
      </c>
      <c r="BP537" s="56">
        <f t="shared" si="45"/>
        <v>2</v>
      </c>
      <c r="BQ537" s="56">
        <f t="shared" si="46"/>
        <v>0</v>
      </c>
      <c r="BR537" s="57">
        <f t="shared" si="47"/>
        <v>1</v>
      </c>
      <c r="BS537" s="38"/>
      <c r="BT537" s="38"/>
      <c r="BU537" s="26"/>
      <c r="BV537" s="26"/>
      <c r="BW537" s="39">
        <f t="shared" si="48"/>
        <v>4</v>
      </c>
      <c r="BX537" s="78">
        <v>2</v>
      </c>
      <c r="BY537" s="63">
        <v>2</v>
      </c>
      <c r="BZ537" s="7"/>
      <c r="CA537" s="8"/>
      <c r="CB537" s="7"/>
      <c r="CC537" s="7"/>
    </row>
    <row r="538" spans="1:81" ht="16" x14ac:dyDescent="0.2">
      <c r="A538" s="109">
        <v>790759</v>
      </c>
      <c r="B538" s="26">
        <v>38</v>
      </c>
      <c r="C538" s="109" t="s">
        <v>181</v>
      </c>
      <c r="D538" s="38">
        <v>6</v>
      </c>
      <c r="E538" s="38">
        <v>2</v>
      </c>
      <c r="F538" s="38">
        <v>2</v>
      </c>
      <c r="G538" s="38" t="s">
        <v>51</v>
      </c>
      <c r="H538" s="38">
        <v>5</v>
      </c>
      <c r="I538" s="38" t="s">
        <v>50</v>
      </c>
      <c r="J538" s="38" t="s">
        <v>37</v>
      </c>
      <c r="K538" s="38"/>
      <c r="L538" s="38">
        <v>6</v>
      </c>
      <c r="M538" s="40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 t="s">
        <v>38</v>
      </c>
      <c r="AP538" s="36">
        <f>31/16</f>
        <v>1.9375</v>
      </c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8"/>
      <c r="BF538" s="38"/>
      <c r="BG538" s="39">
        <v>1</v>
      </c>
      <c r="BH538" s="38"/>
      <c r="BI538" s="38"/>
      <c r="BJ538" s="38"/>
      <c r="BK538" s="38"/>
      <c r="BL538" s="38"/>
      <c r="BM538" s="38"/>
      <c r="BN538" s="38"/>
      <c r="BO538" s="37">
        <f t="shared" si="44"/>
        <v>1</v>
      </c>
      <c r="BP538" s="56">
        <f t="shared" si="45"/>
        <v>0</v>
      </c>
      <c r="BQ538" s="56">
        <f t="shared" si="46"/>
        <v>0</v>
      </c>
      <c r="BR538" s="57">
        <f t="shared" si="47"/>
        <v>0</v>
      </c>
      <c r="BS538" s="38"/>
      <c r="BT538" s="38"/>
      <c r="BU538" s="26"/>
      <c r="BV538" s="26"/>
      <c r="BW538" s="39">
        <f t="shared" si="48"/>
        <v>1</v>
      </c>
      <c r="BX538" s="78">
        <v>1</v>
      </c>
      <c r="BY538" s="63">
        <v>9</v>
      </c>
      <c r="BZ538" s="7"/>
      <c r="CA538" s="8"/>
      <c r="CB538" s="7"/>
      <c r="CC538" s="7"/>
    </row>
    <row r="539" spans="1:81" ht="16" x14ac:dyDescent="0.2">
      <c r="A539" s="109" t="s">
        <v>317</v>
      </c>
      <c r="B539" s="26">
        <v>33</v>
      </c>
      <c r="C539" s="109" t="s">
        <v>182</v>
      </c>
      <c r="D539" s="38">
        <v>2</v>
      </c>
      <c r="E539" s="38">
        <v>2</v>
      </c>
      <c r="F539" s="38">
        <v>1</v>
      </c>
      <c r="G539" s="38" t="s">
        <v>54</v>
      </c>
      <c r="H539" s="38">
        <v>1</v>
      </c>
      <c r="I539" s="38" t="s">
        <v>54</v>
      </c>
      <c r="J539" s="38"/>
      <c r="K539" s="38" t="s">
        <v>63</v>
      </c>
      <c r="L539" s="38">
        <v>6</v>
      </c>
      <c r="M539" s="40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 t="s">
        <v>38</v>
      </c>
      <c r="AB539" s="36">
        <f>2.5/8</f>
        <v>0.3125</v>
      </c>
      <c r="AC539" s="36"/>
      <c r="AD539" s="36"/>
      <c r="AE539" s="36" t="s">
        <v>39</v>
      </c>
      <c r="AF539" s="36">
        <f>2.5/8</f>
        <v>0.3125</v>
      </c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 t="s">
        <v>39</v>
      </c>
      <c r="BD539" s="36">
        <f>4.5/8</f>
        <v>0.5625</v>
      </c>
      <c r="BE539" s="38"/>
      <c r="BF539" s="38"/>
      <c r="BG539" s="39"/>
      <c r="BH539" s="38">
        <v>1</v>
      </c>
      <c r="BI539" s="38"/>
      <c r="BJ539" s="38">
        <v>2</v>
      </c>
      <c r="BK539" s="38"/>
      <c r="BL539" s="38"/>
      <c r="BM539" s="38"/>
      <c r="BN539" s="38"/>
      <c r="BO539" s="37">
        <f t="shared" si="44"/>
        <v>0</v>
      </c>
      <c r="BP539" s="56">
        <f t="shared" si="45"/>
        <v>3</v>
      </c>
      <c r="BQ539" s="56">
        <f t="shared" si="46"/>
        <v>0</v>
      </c>
      <c r="BR539" s="57">
        <f t="shared" si="47"/>
        <v>0</v>
      </c>
      <c r="BS539" s="38"/>
      <c r="BT539" s="38"/>
      <c r="BU539" s="26"/>
      <c r="BV539" s="26"/>
      <c r="BW539" s="39">
        <f t="shared" si="48"/>
        <v>3</v>
      </c>
      <c r="BX539" s="78">
        <v>3</v>
      </c>
      <c r="BY539" s="63">
        <v>2</v>
      </c>
      <c r="BZ539" s="7"/>
      <c r="CA539" s="8"/>
      <c r="CB539" s="7"/>
      <c r="CC539" s="7"/>
    </row>
    <row r="540" spans="1:81" ht="16" x14ac:dyDescent="0.2">
      <c r="A540" s="109" t="s">
        <v>317</v>
      </c>
      <c r="B540" s="26">
        <v>33</v>
      </c>
      <c r="C540" s="109" t="s">
        <v>182</v>
      </c>
      <c r="D540" s="38">
        <v>3</v>
      </c>
      <c r="E540" s="38">
        <v>2</v>
      </c>
      <c r="F540" s="38">
        <v>2</v>
      </c>
      <c r="G540" s="38" t="s">
        <v>51</v>
      </c>
      <c r="H540" s="38">
        <v>4</v>
      </c>
      <c r="I540" s="38" t="s">
        <v>51</v>
      </c>
      <c r="J540" s="38" t="s">
        <v>42</v>
      </c>
      <c r="K540" s="38"/>
      <c r="L540" s="38">
        <v>6</v>
      </c>
      <c r="M540" s="40"/>
      <c r="N540" s="36"/>
      <c r="O540" s="36" t="s">
        <v>39</v>
      </c>
      <c r="P540" s="36">
        <f>15.5/16</f>
        <v>0.96875</v>
      </c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8"/>
      <c r="BF540" s="38"/>
      <c r="BG540" s="39"/>
      <c r="BH540" s="38"/>
      <c r="BI540" s="38">
        <v>1</v>
      </c>
      <c r="BJ540" s="38"/>
      <c r="BK540" s="38"/>
      <c r="BL540" s="38"/>
      <c r="BM540" s="38"/>
      <c r="BN540" s="38"/>
      <c r="BO540" s="37">
        <f t="shared" si="44"/>
        <v>1</v>
      </c>
      <c r="BP540" s="56">
        <f t="shared" si="45"/>
        <v>0</v>
      </c>
      <c r="BQ540" s="56">
        <f t="shared" si="46"/>
        <v>0</v>
      </c>
      <c r="BR540" s="57">
        <f t="shared" si="47"/>
        <v>0</v>
      </c>
      <c r="BS540" s="38"/>
      <c r="BT540" s="38"/>
      <c r="BU540" s="26"/>
      <c r="BV540" s="26"/>
      <c r="BW540" s="39">
        <f t="shared" si="48"/>
        <v>1</v>
      </c>
      <c r="BX540" s="78">
        <v>1</v>
      </c>
      <c r="BY540" s="63">
        <v>8</v>
      </c>
      <c r="BZ540" s="7"/>
      <c r="CA540" s="8"/>
      <c r="CB540" s="7"/>
      <c r="CC540" s="7"/>
    </row>
    <row r="541" spans="1:81" ht="16" x14ac:dyDescent="0.2">
      <c r="A541" s="109" t="s">
        <v>317</v>
      </c>
      <c r="B541" s="26">
        <v>33</v>
      </c>
      <c r="C541" s="109" t="s">
        <v>182</v>
      </c>
      <c r="D541" s="38">
        <v>4</v>
      </c>
      <c r="E541" s="38">
        <v>2</v>
      </c>
      <c r="F541" s="38">
        <v>3</v>
      </c>
      <c r="G541" s="38" t="s">
        <v>50</v>
      </c>
      <c r="H541" s="38"/>
      <c r="I541" s="38"/>
      <c r="J541" s="38"/>
      <c r="K541" s="38">
        <v>8</v>
      </c>
      <c r="L541" s="38">
        <v>6</v>
      </c>
      <c r="M541" s="40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 t="s">
        <v>38</v>
      </c>
      <c r="AF541" s="36">
        <f>11/10</f>
        <v>1.1000000000000001</v>
      </c>
      <c r="AG541" s="36"/>
      <c r="AH541" s="36"/>
      <c r="AI541" s="36"/>
      <c r="AJ541" s="36"/>
      <c r="AK541" s="36"/>
      <c r="AL541" s="36"/>
      <c r="AM541" s="36"/>
      <c r="AN541" s="36"/>
      <c r="AO541" s="36" t="s">
        <v>38</v>
      </c>
      <c r="AP541" s="36">
        <f>6.5/10</f>
        <v>0.65</v>
      </c>
      <c r="AQ541" s="36"/>
      <c r="AR541" s="36"/>
      <c r="AS541" s="36" t="s">
        <v>38</v>
      </c>
      <c r="AT541" s="36">
        <f>6/10</f>
        <v>0.6</v>
      </c>
      <c r="AU541" s="36"/>
      <c r="AV541" s="36"/>
      <c r="AW541" s="36"/>
      <c r="AX541" s="36"/>
      <c r="AY541" s="36"/>
      <c r="AZ541" s="36"/>
      <c r="BA541" s="36" t="s">
        <v>38</v>
      </c>
      <c r="BB541" s="36">
        <f>18/10</f>
        <v>1.8</v>
      </c>
      <c r="BC541" s="36"/>
      <c r="BD541" s="36"/>
      <c r="BE541" s="38"/>
      <c r="BF541" s="38"/>
      <c r="BG541" s="39">
        <v>2</v>
      </c>
      <c r="BH541" s="38">
        <v>2</v>
      </c>
      <c r="BI541" s="38"/>
      <c r="BJ541" s="38"/>
      <c r="BK541" s="38"/>
      <c r="BL541" s="38"/>
      <c r="BM541" s="38"/>
      <c r="BN541" s="38"/>
      <c r="BO541" s="37">
        <f t="shared" si="44"/>
        <v>2</v>
      </c>
      <c r="BP541" s="56">
        <f t="shared" si="45"/>
        <v>2</v>
      </c>
      <c r="BQ541" s="56">
        <f t="shared" si="46"/>
        <v>0</v>
      </c>
      <c r="BR541" s="57">
        <f t="shared" si="47"/>
        <v>0</v>
      </c>
      <c r="BS541" s="38"/>
      <c r="BT541" s="38"/>
      <c r="BU541" s="26"/>
      <c r="BV541" s="26"/>
      <c r="BW541" s="39">
        <f t="shared" si="48"/>
        <v>4</v>
      </c>
      <c r="BX541" s="78">
        <v>2</v>
      </c>
      <c r="BY541" s="63">
        <v>1</v>
      </c>
      <c r="BZ541" s="7"/>
      <c r="CA541" s="8"/>
      <c r="CB541" s="7"/>
      <c r="CC541" s="7"/>
    </row>
    <row r="542" spans="1:81" x14ac:dyDescent="0.2">
      <c r="A542" s="109" t="s">
        <v>317</v>
      </c>
      <c r="B542" s="26">
        <v>33</v>
      </c>
      <c r="C542" s="109" t="s">
        <v>182</v>
      </c>
      <c r="D542" s="38">
        <v>5</v>
      </c>
      <c r="E542" s="38">
        <v>2</v>
      </c>
      <c r="F542" s="38">
        <v>2</v>
      </c>
      <c r="G542" s="38" t="s">
        <v>51</v>
      </c>
      <c r="H542" s="38">
        <v>4</v>
      </c>
      <c r="I542" s="38" t="s">
        <v>51</v>
      </c>
      <c r="J542" s="38" t="s">
        <v>41</v>
      </c>
      <c r="K542" s="38"/>
      <c r="L542" s="38">
        <v>5</v>
      </c>
      <c r="M542" s="40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8"/>
      <c r="BF542" s="38"/>
      <c r="BG542" s="39"/>
      <c r="BH542" s="38"/>
      <c r="BI542" s="38"/>
      <c r="BJ542" s="38"/>
      <c r="BK542" s="38"/>
      <c r="BL542" s="38"/>
      <c r="BM542" s="38"/>
      <c r="BN542" s="38"/>
      <c r="BO542" s="37">
        <f t="shared" si="44"/>
        <v>0</v>
      </c>
      <c r="BP542" s="56">
        <f t="shared" si="45"/>
        <v>0</v>
      </c>
      <c r="BQ542" s="56">
        <f t="shared" si="46"/>
        <v>0</v>
      </c>
      <c r="BR542" s="57">
        <f t="shared" si="47"/>
        <v>0</v>
      </c>
      <c r="BS542" s="38"/>
      <c r="BT542" s="38"/>
      <c r="BU542" s="26"/>
      <c r="BV542" s="26"/>
      <c r="BW542" s="39">
        <f t="shared" si="48"/>
        <v>0</v>
      </c>
      <c r="BX542" s="78">
        <v>0</v>
      </c>
      <c r="BY542" s="63">
        <v>10</v>
      </c>
      <c r="BZ542" s="7"/>
      <c r="CA542" s="8"/>
      <c r="CB542" s="7"/>
      <c r="CC542" s="7"/>
    </row>
    <row r="543" spans="1:81" ht="16" x14ac:dyDescent="0.2">
      <c r="A543" s="109" t="s">
        <v>318</v>
      </c>
      <c r="B543" s="26">
        <v>40</v>
      </c>
      <c r="C543" s="109" t="s">
        <v>183</v>
      </c>
      <c r="D543" s="38">
        <v>1</v>
      </c>
      <c r="E543" s="38">
        <v>2</v>
      </c>
      <c r="F543" s="38">
        <v>2</v>
      </c>
      <c r="G543" s="38" t="s">
        <v>51</v>
      </c>
      <c r="H543" s="38">
        <v>4</v>
      </c>
      <c r="I543" s="38" t="s">
        <v>51</v>
      </c>
      <c r="J543" s="38" t="s">
        <v>41</v>
      </c>
      <c r="K543" s="38"/>
      <c r="L543" s="38">
        <v>6</v>
      </c>
      <c r="M543" s="40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 t="s">
        <v>39</v>
      </c>
      <c r="AR543" s="36">
        <f>7/9</f>
        <v>0.77777777777777779</v>
      </c>
      <c r="AS543" s="36"/>
      <c r="AT543" s="36"/>
      <c r="AU543" s="36"/>
      <c r="AV543" s="36"/>
      <c r="AW543" s="36"/>
      <c r="AX543" s="36"/>
      <c r="AY543" s="36"/>
      <c r="AZ543" s="36"/>
      <c r="BA543" s="36" t="s">
        <v>39</v>
      </c>
      <c r="BB543" s="36">
        <f>8.5/9</f>
        <v>0.94444444444444442</v>
      </c>
      <c r="BC543" s="36"/>
      <c r="BD543" s="36"/>
      <c r="BE543" s="38"/>
      <c r="BF543" s="38"/>
      <c r="BG543" s="39"/>
      <c r="BH543" s="38"/>
      <c r="BI543" s="38">
        <v>2</v>
      </c>
      <c r="BJ543" s="38"/>
      <c r="BK543" s="38"/>
      <c r="BL543" s="38"/>
      <c r="BM543" s="38"/>
      <c r="BN543" s="38"/>
      <c r="BO543" s="37">
        <f t="shared" si="44"/>
        <v>2</v>
      </c>
      <c r="BP543" s="56">
        <f t="shared" si="45"/>
        <v>0</v>
      </c>
      <c r="BQ543" s="56">
        <f t="shared" si="46"/>
        <v>0</v>
      </c>
      <c r="BR543" s="57">
        <f t="shared" si="47"/>
        <v>0</v>
      </c>
      <c r="BS543" s="38"/>
      <c r="BT543" s="38"/>
      <c r="BU543" s="26"/>
      <c r="BV543" s="26"/>
      <c r="BW543" s="39">
        <f t="shared" si="48"/>
        <v>2</v>
      </c>
      <c r="BX543" s="78">
        <v>1</v>
      </c>
      <c r="BY543" s="63">
        <v>10</v>
      </c>
      <c r="BZ543" s="17"/>
      <c r="CA543" s="8"/>
      <c r="CB543" s="7"/>
      <c r="CC543" s="7"/>
    </row>
    <row r="544" spans="1:81" ht="16" x14ac:dyDescent="0.2">
      <c r="A544" s="109" t="s">
        <v>318</v>
      </c>
      <c r="B544" s="26">
        <v>40</v>
      </c>
      <c r="C544" s="109" t="s">
        <v>183</v>
      </c>
      <c r="D544" s="38">
        <v>2</v>
      </c>
      <c r="E544" s="38">
        <v>2</v>
      </c>
      <c r="F544" s="38">
        <v>3</v>
      </c>
      <c r="G544" s="38" t="s">
        <v>50</v>
      </c>
      <c r="H544" s="38">
        <v>5</v>
      </c>
      <c r="I544" s="38" t="s">
        <v>51</v>
      </c>
      <c r="J544" s="38"/>
      <c r="K544" s="26" t="s">
        <v>47</v>
      </c>
      <c r="L544" s="38">
        <v>6</v>
      </c>
      <c r="M544" s="40" t="s">
        <v>57</v>
      </c>
      <c r="N544" s="36">
        <f>4.5/9</f>
        <v>0.5</v>
      </c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8"/>
      <c r="BF544" s="38"/>
      <c r="BG544" s="37"/>
      <c r="BH544" s="26"/>
      <c r="BI544" s="26"/>
      <c r="BJ544" s="26"/>
      <c r="BK544" s="26"/>
      <c r="BL544" s="26"/>
      <c r="BM544" s="26"/>
      <c r="BN544" s="26">
        <v>1</v>
      </c>
      <c r="BO544" s="37">
        <f t="shared" si="44"/>
        <v>0</v>
      </c>
      <c r="BP544" s="56">
        <f t="shared" si="45"/>
        <v>0</v>
      </c>
      <c r="BQ544" s="56">
        <f t="shared" si="46"/>
        <v>0</v>
      </c>
      <c r="BR544" s="57">
        <f t="shared" si="47"/>
        <v>1</v>
      </c>
      <c r="BS544" s="38"/>
      <c r="BT544" s="38"/>
      <c r="BU544" s="26"/>
      <c r="BV544" s="26"/>
      <c r="BW544" s="39">
        <f t="shared" si="48"/>
        <v>1</v>
      </c>
      <c r="BX544" s="78">
        <v>4</v>
      </c>
      <c r="BY544" s="63">
        <v>3</v>
      </c>
      <c r="BZ544" s="7"/>
      <c r="CA544" s="8"/>
      <c r="CB544" s="7"/>
      <c r="CC544" s="7"/>
    </row>
    <row r="545" spans="1:81" x14ac:dyDescent="0.2">
      <c r="A545" s="109" t="s">
        <v>318</v>
      </c>
      <c r="B545" s="26">
        <v>40</v>
      </c>
      <c r="C545" s="109" t="s">
        <v>183</v>
      </c>
      <c r="D545" s="38">
        <v>3</v>
      </c>
      <c r="E545" s="38">
        <v>2</v>
      </c>
      <c r="F545" s="38">
        <v>2</v>
      </c>
      <c r="G545" s="38" t="s">
        <v>51</v>
      </c>
      <c r="H545" s="38">
        <v>4</v>
      </c>
      <c r="I545" s="38" t="s">
        <v>51</v>
      </c>
      <c r="J545" s="38" t="s">
        <v>60</v>
      </c>
      <c r="K545" s="38"/>
      <c r="L545" s="38">
        <v>6</v>
      </c>
      <c r="M545" s="40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8"/>
      <c r="BF545" s="38"/>
      <c r="BG545" s="37"/>
      <c r="BH545" s="26"/>
      <c r="BI545" s="26"/>
      <c r="BJ545" s="26"/>
      <c r="BK545" s="26"/>
      <c r="BL545" s="26"/>
      <c r="BM545" s="26"/>
      <c r="BN545" s="26"/>
      <c r="BO545" s="37">
        <f t="shared" si="44"/>
        <v>0</v>
      </c>
      <c r="BP545" s="56">
        <f t="shared" si="45"/>
        <v>0</v>
      </c>
      <c r="BQ545" s="56">
        <f t="shared" si="46"/>
        <v>0</v>
      </c>
      <c r="BR545" s="57">
        <f t="shared" si="47"/>
        <v>0</v>
      </c>
      <c r="BS545" s="38"/>
      <c r="BT545" s="38"/>
      <c r="BU545" s="26"/>
      <c r="BV545" s="26"/>
      <c r="BW545" s="39">
        <f t="shared" si="48"/>
        <v>0</v>
      </c>
      <c r="BX545" s="78">
        <v>0</v>
      </c>
      <c r="BY545" s="63">
        <v>7</v>
      </c>
      <c r="BZ545" s="7"/>
      <c r="CA545" s="8"/>
      <c r="CB545" s="7"/>
      <c r="CC545" s="7"/>
    </row>
    <row r="546" spans="1:81" x14ac:dyDescent="0.2">
      <c r="A546" s="109" t="s">
        <v>318</v>
      </c>
      <c r="B546" s="26">
        <v>40</v>
      </c>
      <c r="C546" s="109" t="s">
        <v>183</v>
      </c>
      <c r="D546" s="38">
        <v>4</v>
      </c>
      <c r="E546" s="38">
        <v>2</v>
      </c>
      <c r="F546" s="38">
        <v>2</v>
      </c>
      <c r="G546" s="38" t="s">
        <v>51</v>
      </c>
      <c r="H546" s="38">
        <v>5</v>
      </c>
      <c r="I546" s="38" t="s">
        <v>50</v>
      </c>
      <c r="J546" s="38" t="s">
        <v>60</v>
      </c>
      <c r="K546" s="38"/>
      <c r="L546" s="38">
        <v>6</v>
      </c>
      <c r="M546" s="40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8"/>
      <c r="BF546" s="38"/>
      <c r="BG546" s="37"/>
      <c r="BH546" s="26"/>
      <c r="BI546" s="26"/>
      <c r="BJ546" s="26"/>
      <c r="BK546" s="26"/>
      <c r="BL546" s="26"/>
      <c r="BM546" s="26"/>
      <c r="BN546" s="26"/>
      <c r="BO546" s="37">
        <f t="shared" si="44"/>
        <v>0</v>
      </c>
      <c r="BP546" s="56">
        <f t="shared" si="45"/>
        <v>0</v>
      </c>
      <c r="BQ546" s="56">
        <f t="shared" si="46"/>
        <v>0</v>
      </c>
      <c r="BR546" s="57">
        <f t="shared" si="47"/>
        <v>0</v>
      </c>
      <c r="BS546" s="38"/>
      <c r="BT546" s="38"/>
      <c r="BU546" s="26"/>
      <c r="BV546" s="26"/>
      <c r="BW546" s="39">
        <f t="shared" si="48"/>
        <v>0</v>
      </c>
      <c r="BX546" s="78">
        <v>0</v>
      </c>
      <c r="BY546" s="63">
        <v>7</v>
      </c>
      <c r="BZ546" s="7"/>
      <c r="CA546" s="8"/>
      <c r="CB546" s="7"/>
      <c r="CC546" s="7"/>
    </row>
    <row r="547" spans="1:81" ht="16" x14ac:dyDescent="0.2">
      <c r="A547" s="109" t="s">
        <v>318</v>
      </c>
      <c r="B547" s="26">
        <v>40</v>
      </c>
      <c r="C547" s="109" t="s">
        <v>183</v>
      </c>
      <c r="D547" s="38">
        <v>5</v>
      </c>
      <c r="E547" s="38">
        <v>2</v>
      </c>
      <c r="F547" s="38">
        <v>4</v>
      </c>
      <c r="G547" s="38" t="s">
        <v>50</v>
      </c>
      <c r="H547" s="38"/>
      <c r="I547" s="38"/>
      <c r="J547" s="38"/>
      <c r="K547" s="38">
        <v>3</v>
      </c>
      <c r="L547" s="38">
        <v>6</v>
      </c>
      <c r="M547" s="40"/>
      <c r="N547" s="36"/>
      <c r="O547" s="36" t="s">
        <v>38</v>
      </c>
      <c r="P547" s="36">
        <f>4.5/9</f>
        <v>0.5</v>
      </c>
      <c r="Q547" s="36"/>
      <c r="R547" s="36"/>
      <c r="S547" s="36"/>
      <c r="T547" s="36"/>
      <c r="U547" s="36"/>
      <c r="V547" s="36"/>
      <c r="W547" s="36" t="s">
        <v>38</v>
      </c>
      <c r="X547" s="36">
        <f>4.5/9</f>
        <v>0.5</v>
      </c>
      <c r="Y547" s="36"/>
      <c r="Z547" s="36"/>
      <c r="AA547" s="36"/>
      <c r="AB547" s="36"/>
      <c r="AC547" s="36" t="s">
        <v>38</v>
      </c>
      <c r="AD547" s="36">
        <f>4.5/9</f>
        <v>0.5</v>
      </c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 t="s">
        <v>48</v>
      </c>
      <c r="AT547" s="36">
        <f>4.5/9</f>
        <v>0.5</v>
      </c>
      <c r="AU547" s="36"/>
      <c r="AV547" s="36"/>
      <c r="AW547" s="36" t="s">
        <v>38</v>
      </c>
      <c r="AX547" s="36">
        <f>5.5/9</f>
        <v>0.61111111111111116</v>
      </c>
      <c r="AY547" s="36"/>
      <c r="AZ547" s="36"/>
      <c r="BA547" s="36" t="s">
        <v>39</v>
      </c>
      <c r="BB547" s="36">
        <f>3/9</f>
        <v>0.33333333333333331</v>
      </c>
      <c r="BC547" s="36"/>
      <c r="BD547" s="36"/>
      <c r="BE547" s="38"/>
      <c r="BF547" s="38"/>
      <c r="BG547" s="37"/>
      <c r="BH547" s="26">
        <v>4</v>
      </c>
      <c r="BI547" s="26"/>
      <c r="BJ547" s="26">
        <v>1</v>
      </c>
      <c r="BK547" s="26"/>
      <c r="BL547" s="26">
        <v>1</v>
      </c>
      <c r="BM547" s="26"/>
      <c r="BN547" s="26"/>
      <c r="BO547" s="37">
        <f t="shared" si="44"/>
        <v>0</v>
      </c>
      <c r="BP547" s="56">
        <f t="shared" si="45"/>
        <v>5</v>
      </c>
      <c r="BQ547" s="56">
        <f t="shared" si="46"/>
        <v>0</v>
      </c>
      <c r="BR547" s="57">
        <f t="shared" si="47"/>
        <v>1</v>
      </c>
      <c r="BS547" s="38"/>
      <c r="BT547" s="38"/>
      <c r="BU547" s="26"/>
      <c r="BV547" s="26"/>
      <c r="BW547" s="39">
        <f t="shared" si="48"/>
        <v>6</v>
      </c>
      <c r="BX547" s="78">
        <v>4</v>
      </c>
      <c r="BY547" s="63">
        <v>1</v>
      </c>
      <c r="BZ547" s="7"/>
      <c r="CA547" s="8"/>
      <c r="CB547" s="7"/>
      <c r="CC547" s="7"/>
    </row>
    <row r="548" spans="1:81" ht="16" x14ac:dyDescent="0.2">
      <c r="A548" s="109" t="s">
        <v>319</v>
      </c>
      <c r="B548" s="26">
        <v>39</v>
      </c>
      <c r="C548" s="109" t="s">
        <v>184</v>
      </c>
      <c r="D548" s="38">
        <v>2</v>
      </c>
      <c r="E548" s="38">
        <v>2</v>
      </c>
      <c r="F548" s="38">
        <v>2</v>
      </c>
      <c r="G548" s="38" t="s">
        <v>51</v>
      </c>
      <c r="H548" s="38">
        <v>4</v>
      </c>
      <c r="I548" s="38" t="s">
        <v>51</v>
      </c>
      <c r="J548" s="38" t="s">
        <v>41</v>
      </c>
      <c r="K548" s="38"/>
      <c r="L548" s="38">
        <v>5</v>
      </c>
      <c r="M548" s="40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 t="s">
        <v>39</v>
      </c>
      <c r="AR548" s="36">
        <f>6.5/17</f>
        <v>0.38235294117647056</v>
      </c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8"/>
      <c r="BF548" s="38"/>
      <c r="BG548" s="37"/>
      <c r="BH548" s="26"/>
      <c r="BI548" s="26"/>
      <c r="BJ548" s="26">
        <v>1</v>
      </c>
      <c r="BK548" s="26"/>
      <c r="BL548" s="26"/>
      <c r="BM548" s="26"/>
      <c r="BN548" s="26"/>
      <c r="BO548" s="37">
        <f t="shared" si="44"/>
        <v>0</v>
      </c>
      <c r="BP548" s="56">
        <f t="shared" si="45"/>
        <v>1</v>
      </c>
      <c r="BQ548" s="56">
        <f t="shared" si="46"/>
        <v>0</v>
      </c>
      <c r="BR548" s="57">
        <f t="shared" si="47"/>
        <v>0</v>
      </c>
      <c r="BS548" s="38"/>
      <c r="BT548" s="38"/>
      <c r="BU548" s="26"/>
      <c r="BV548" s="26"/>
      <c r="BW548" s="39">
        <f t="shared" si="48"/>
        <v>1</v>
      </c>
      <c r="BX548" s="78">
        <v>3</v>
      </c>
      <c r="BY548" s="63">
        <v>10</v>
      </c>
      <c r="BZ548" s="7"/>
      <c r="CA548" s="8"/>
      <c r="CB548" s="7"/>
      <c r="CC548" s="7"/>
    </row>
    <row r="549" spans="1:81" ht="16" x14ac:dyDescent="0.2">
      <c r="A549" s="109" t="s">
        <v>319</v>
      </c>
      <c r="B549" s="26">
        <v>39</v>
      </c>
      <c r="C549" s="109" t="s">
        <v>184</v>
      </c>
      <c r="D549" s="38">
        <v>3</v>
      </c>
      <c r="E549" s="38">
        <v>2</v>
      </c>
      <c r="F549" s="38">
        <v>4</v>
      </c>
      <c r="G549" s="38" t="s">
        <v>50</v>
      </c>
      <c r="H549" s="38"/>
      <c r="I549" s="38"/>
      <c r="J549" s="26"/>
      <c r="K549" s="26" t="s">
        <v>47</v>
      </c>
      <c r="L549" s="38">
        <v>6</v>
      </c>
      <c r="M549" s="40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 t="s">
        <v>38</v>
      </c>
      <c r="Z549" s="36">
        <f>5/17</f>
        <v>0.29411764705882354</v>
      </c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 t="s">
        <v>39</v>
      </c>
      <c r="AR549" s="36">
        <f>19/17</f>
        <v>1.1176470588235294</v>
      </c>
      <c r="AS549" s="36"/>
      <c r="AT549" s="36"/>
      <c r="AU549" s="36"/>
      <c r="AV549" s="36"/>
      <c r="AW549" s="36" t="s">
        <v>38</v>
      </c>
      <c r="AX549" s="36">
        <f>17.5/17</f>
        <v>1.0294117647058822</v>
      </c>
      <c r="AY549" s="36"/>
      <c r="AZ549" s="36"/>
      <c r="BA549" s="36"/>
      <c r="BB549" s="36"/>
      <c r="BC549" s="36"/>
      <c r="BD549" s="36"/>
      <c r="BE549" s="38"/>
      <c r="BF549" s="38"/>
      <c r="BG549" s="37">
        <v>1</v>
      </c>
      <c r="BH549" s="26"/>
      <c r="BI549" s="26">
        <v>1</v>
      </c>
      <c r="BJ549" s="26"/>
      <c r="BK549" s="26"/>
      <c r="BL549" s="26"/>
      <c r="BM549" s="26"/>
      <c r="BO549" s="37">
        <f t="shared" si="44"/>
        <v>2</v>
      </c>
      <c r="BP549" s="56">
        <f t="shared" si="45"/>
        <v>0</v>
      </c>
      <c r="BQ549" s="56">
        <f t="shared" si="46"/>
        <v>0</v>
      </c>
      <c r="BR549" s="57">
        <f t="shared" si="47"/>
        <v>0</v>
      </c>
      <c r="BS549" s="38"/>
      <c r="BT549" s="38"/>
      <c r="BU549" s="26"/>
      <c r="BV549" s="26"/>
      <c r="BW549" s="39">
        <f t="shared" si="48"/>
        <v>2</v>
      </c>
      <c r="BX549" s="78">
        <v>1</v>
      </c>
      <c r="BY549" s="63">
        <v>3</v>
      </c>
    </row>
    <row r="550" spans="1:81" ht="16" x14ac:dyDescent="0.2">
      <c r="A550" s="109" t="s">
        <v>319</v>
      </c>
      <c r="B550" s="26">
        <v>39</v>
      </c>
      <c r="C550" s="109" t="s">
        <v>184</v>
      </c>
      <c r="D550" s="38">
        <v>4</v>
      </c>
      <c r="E550" s="38">
        <v>2</v>
      </c>
      <c r="F550" s="38">
        <v>1</v>
      </c>
      <c r="G550" s="38" t="s">
        <v>54</v>
      </c>
      <c r="H550" s="38">
        <v>2</v>
      </c>
      <c r="I550" s="38" t="s">
        <v>51</v>
      </c>
      <c r="J550" s="38"/>
      <c r="K550" s="38">
        <v>4</v>
      </c>
      <c r="L550" s="38">
        <v>6</v>
      </c>
      <c r="M550" s="40"/>
      <c r="N550" s="36"/>
      <c r="O550" s="36" t="s">
        <v>39</v>
      </c>
      <c r="P550" s="36">
        <f>14/17</f>
        <v>0.82352941176470584</v>
      </c>
      <c r="Q550" s="36"/>
      <c r="R550" s="36"/>
      <c r="S550" s="36" t="s">
        <v>39</v>
      </c>
      <c r="T550" s="36">
        <f>11.5/17</f>
        <v>0.67647058823529416</v>
      </c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 t="s">
        <v>39</v>
      </c>
      <c r="AX550" s="36">
        <f>12/17</f>
        <v>0.70588235294117652</v>
      </c>
      <c r="AY550" s="36"/>
      <c r="AZ550" s="36"/>
      <c r="BA550" s="36"/>
      <c r="BB550" s="36"/>
      <c r="BC550" s="36"/>
      <c r="BD550" s="36"/>
      <c r="BE550" s="38"/>
      <c r="BF550" s="38"/>
      <c r="BG550" s="37"/>
      <c r="BH550" s="26"/>
      <c r="BI550" s="26">
        <v>2</v>
      </c>
      <c r="BJ550" s="26">
        <v>1</v>
      </c>
      <c r="BK550" s="26"/>
      <c r="BL550" s="26"/>
      <c r="BM550" s="26"/>
      <c r="BN550" s="26"/>
      <c r="BO550" s="37">
        <f t="shared" si="44"/>
        <v>2</v>
      </c>
      <c r="BP550" s="56">
        <f t="shared" si="45"/>
        <v>1</v>
      </c>
      <c r="BQ550" s="56">
        <f t="shared" si="46"/>
        <v>0</v>
      </c>
      <c r="BR550" s="57">
        <f t="shared" si="47"/>
        <v>0</v>
      </c>
      <c r="BS550" s="38"/>
      <c r="BT550" s="38"/>
      <c r="BU550" s="26"/>
      <c r="BV550" s="26"/>
      <c r="BW550" s="39">
        <f t="shared" si="48"/>
        <v>3</v>
      </c>
      <c r="BX550" s="78">
        <v>2</v>
      </c>
      <c r="BY550" s="63">
        <v>1</v>
      </c>
      <c r="BZ550" s="7"/>
      <c r="CA550" s="8"/>
      <c r="CB550" s="7"/>
      <c r="CC550" s="7"/>
    </row>
    <row r="551" spans="1:81" ht="16" x14ac:dyDescent="0.2">
      <c r="A551" s="109" t="s">
        <v>320</v>
      </c>
      <c r="B551" s="26">
        <v>33</v>
      </c>
      <c r="C551" s="109" t="s">
        <v>185</v>
      </c>
      <c r="D551" s="38">
        <v>1</v>
      </c>
      <c r="E551" s="38">
        <v>2</v>
      </c>
      <c r="F551" s="38" t="s">
        <v>53</v>
      </c>
      <c r="G551" s="38" t="s">
        <v>50</v>
      </c>
      <c r="H551" s="38"/>
      <c r="I551" s="38"/>
      <c r="J551" s="38"/>
      <c r="K551" s="38">
        <v>5</v>
      </c>
      <c r="L551" s="38">
        <v>7</v>
      </c>
      <c r="M551" s="40" t="s">
        <v>39</v>
      </c>
      <c r="N551" s="36">
        <f>4.5/7</f>
        <v>0.6428571428571429</v>
      </c>
      <c r="O551" s="36"/>
      <c r="P551" s="36"/>
      <c r="Q551" s="36" t="s">
        <v>43</v>
      </c>
      <c r="R551" s="36">
        <f>4/7</f>
        <v>0.5714285714285714</v>
      </c>
      <c r="S551" s="36" t="s">
        <v>48</v>
      </c>
      <c r="T551" s="36">
        <f>5/7</f>
        <v>0.7142857142857143</v>
      </c>
      <c r="U551" s="36"/>
      <c r="V551" s="36"/>
      <c r="W551" s="36" t="s">
        <v>39</v>
      </c>
      <c r="X551" s="36">
        <f>2.5/7</f>
        <v>0.35714285714285715</v>
      </c>
      <c r="Y551" s="36"/>
      <c r="Z551" s="36"/>
      <c r="AA551" s="36"/>
      <c r="AB551" s="36"/>
      <c r="AC551" s="36" t="s">
        <v>38</v>
      </c>
      <c r="AD551" s="36">
        <f>3/7</f>
        <v>0.42857142857142855</v>
      </c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8"/>
      <c r="BF551" s="38"/>
      <c r="BG551" s="37"/>
      <c r="BH551" s="26">
        <v>1</v>
      </c>
      <c r="BI551" s="26"/>
      <c r="BJ551" s="26">
        <v>2</v>
      </c>
      <c r="BK551" s="26">
        <v>1</v>
      </c>
      <c r="BL551" s="26"/>
      <c r="BM551" s="26"/>
      <c r="BN551" s="26"/>
      <c r="BO551" s="37">
        <f t="shared" si="44"/>
        <v>0</v>
      </c>
      <c r="BP551" s="56">
        <f t="shared" si="45"/>
        <v>3</v>
      </c>
      <c r="BQ551" s="56">
        <f t="shared" si="46"/>
        <v>2</v>
      </c>
      <c r="BR551" s="57">
        <f t="shared" si="47"/>
        <v>0</v>
      </c>
      <c r="BS551" s="38">
        <v>1</v>
      </c>
      <c r="BT551" s="38"/>
      <c r="BU551" s="26"/>
      <c r="BV551" s="26"/>
      <c r="BW551" s="39">
        <f t="shared" si="48"/>
        <v>5</v>
      </c>
      <c r="BX551" s="78">
        <v>4</v>
      </c>
      <c r="BY551" s="63">
        <v>1</v>
      </c>
      <c r="BZ551" s="7"/>
      <c r="CA551" s="8"/>
      <c r="CB551" s="7"/>
      <c r="CC551" s="7"/>
    </row>
    <row r="552" spans="1:81" ht="16" x14ac:dyDescent="0.2">
      <c r="A552" s="109" t="s">
        <v>320</v>
      </c>
      <c r="B552" s="26">
        <v>33</v>
      </c>
      <c r="C552" s="109" t="s">
        <v>185</v>
      </c>
      <c r="D552" s="38">
        <v>2</v>
      </c>
      <c r="E552" s="38">
        <v>2</v>
      </c>
      <c r="F552" s="38">
        <v>4</v>
      </c>
      <c r="G552" s="38" t="s">
        <v>50</v>
      </c>
      <c r="H552" s="38"/>
      <c r="I552" s="38"/>
      <c r="J552" s="38"/>
      <c r="K552" s="38">
        <v>5</v>
      </c>
      <c r="L552" s="38">
        <v>7</v>
      </c>
      <c r="M552" s="40"/>
      <c r="N552" s="36"/>
      <c r="O552" s="36" t="s">
        <v>55</v>
      </c>
      <c r="P552" s="36">
        <f>4/6.5</f>
        <v>0.61538461538461542</v>
      </c>
      <c r="Q552" s="36"/>
      <c r="R552" s="36"/>
      <c r="S552" s="36" t="s">
        <v>48</v>
      </c>
      <c r="T552" s="36">
        <f>3.5/6.5</f>
        <v>0.53846153846153844</v>
      </c>
      <c r="U552" s="36"/>
      <c r="V552" s="36"/>
      <c r="W552" s="36"/>
      <c r="X552" s="36"/>
      <c r="Y552" s="36"/>
      <c r="Z552" s="36"/>
      <c r="AA552" s="36" t="s">
        <v>39</v>
      </c>
      <c r="AB552" s="36">
        <f>2.5/6.5</f>
        <v>0.38461538461538464</v>
      </c>
      <c r="AC552" s="36"/>
      <c r="AD552" s="36"/>
      <c r="AE552" s="36"/>
      <c r="AF552" s="36"/>
      <c r="AG552" s="36"/>
      <c r="AH552" s="36"/>
      <c r="AI552" s="36"/>
      <c r="AJ552" s="36"/>
      <c r="AK552" s="36" t="s">
        <v>48</v>
      </c>
      <c r="AL552" s="36">
        <f>3.5/6.5</f>
        <v>0.53846153846153844</v>
      </c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8"/>
      <c r="BF552" s="38"/>
      <c r="BG552" s="37"/>
      <c r="BH552" s="26"/>
      <c r="BI552" s="26"/>
      <c r="BJ552" s="26">
        <v>1</v>
      </c>
      <c r="BK552" s="26"/>
      <c r="BL552" s="26">
        <v>3</v>
      </c>
      <c r="BM552" s="26"/>
      <c r="BN552" s="26"/>
      <c r="BO552" s="37">
        <f t="shared" si="44"/>
        <v>0</v>
      </c>
      <c r="BP552" s="56">
        <f t="shared" si="45"/>
        <v>1</v>
      </c>
      <c r="BQ552" s="56">
        <f t="shared" si="46"/>
        <v>0</v>
      </c>
      <c r="BR552" s="57">
        <f t="shared" si="47"/>
        <v>3</v>
      </c>
      <c r="BS552" s="38"/>
      <c r="BT552" s="38"/>
      <c r="BU552" s="26"/>
      <c r="BV552" s="26"/>
      <c r="BW552" s="39">
        <f t="shared" si="48"/>
        <v>4</v>
      </c>
      <c r="BX552" s="78">
        <v>4</v>
      </c>
      <c r="BY552" s="63">
        <v>1</v>
      </c>
      <c r="BZ552" s="7"/>
      <c r="CA552" s="8"/>
      <c r="CB552" s="7"/>
      <c r="CC552" s="7"/>
    </row>
    <row r="553" spans="1:81" x14ac:dyDescent="0.2">
      <c r="A553" s="109" t="s">
        <v>320</v>
      </c>
      <c r="B553" s="26">
        <v>33</v>
      </c>
      <c r="C553" s="109" t="s">
        <v>185</v>
      </c>
      <c r="D553" s="38">
        <v>4</v>
      </c>
      <c r="E553" s="38">
        <v>2</v>
      </c>
      <c r="F553" s="38">
        <v>2</v>
      </c>
      <c r="G553" s="38" t="s">
        <v>51</v>
      </c>
      <c r="H553" s="38">
        <v>4</v>
      </c>
      <c r="I553" s="38" t="s">
        <v>51</v>
      </c>
      <c r="J553" s="38" t="s">
        <v>41</v>
      </c>
      <c r="K553" s="38"/>
      <c r="L553" s="38">
        <v>6</v>
      </c>
      <c r="M553" s="40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8"/>
      <c r="BF553" s="38"/>
      <c r="BG553" s="37"/>
      <c r="BH553" s="26"/>
      <c r="BI553" s="26"/>
      <c r="BJ553" s="26"/>
      <c r="BK553" s="26"/>
      <c r="BL553" s="26"/>
      <c r="BM553" s="26"/>
      <c r="BN553" s="26"/>
      <c r="BO553" s="37">
        <f t="shared" si="44"/>
        <v>0</v>
      </c>
      <c r="BP553" s="56">
        <f t="shared" si="45"/>
        <v>0</v>
      </c>
      <c r="BQ553" s="56">
        <f t="shared" si="46"/>
        <v>0</v>
      </c>
      <c r="BR553" s="57">
        <f t="shared" si="47"/>
        <v>0</v>
      </c>
      <c r="BS553" s="38"/>
      <c r="BT553" s="38"/>
      <c r="BU553" s="26"/>
      <c r="BV553" s="26"/>
      <c r="BW553" s="39">
        <f t="shared" si="48"/>
        <v>0</v>
      </c>
      <c r="BX553" s="78">
        <v>0</v>
      </c>
      <c r="BY553" s="63">
        <v>10</v>
      </c>
      <c r="BZ553" s="7"/>
      <c r="CA553" s="8"/>
      <c r="CB553" s="7"/>
      <c r="CC553" s="7"/>
    </row>
    <row r="554" spans="1:81" ht="16" x14ac:dyDescent="0.2">
      <c r="A554" s="109" t="s">
        <v>321</v>
      </c>
      <c r="B554" s="26">
        <v>43</v>
      </c>
      <c r="C554" s="109" t="s">
        <v>186</v>
      </c>
      <c r="D554" s="38">
        <v>4</v>
      </c>
      <c r="E554" s="38">
        <v>2</v>
      </c>
      <c r="F554" s="38">
        <v>3</v>
      </c>
      <c r="G554" s="38" t="s">
        <v>50</v>
      </c>
      <c r="H554" s="38">
        <v>2</v>
      </c>
      <c r="I554" s="38" t="s">
        <v>62</v>
      </c>
      <c r="J554" s="38" t="s">
        <v>37</v>
      </c>
      <c r="K554" s="38"/>
      <c r="L554" s="38">
        <v>6</v>
      </c>
      <c r="M554" s="40"/>
      <c r="N554" s="36"/>
      <c r="O554" s="36"/>
      <c r="P554" s="36"/>
      <c r="Q554" s="36"/>
      <c r="R554" s="36"/>
      <c r="S554" s="36"/>
      <c r="T554" s="36"/>
      <c r="U554" s="36"/>
      <c r="V554" s="36"/>
      <c r="W554" s="36" t="s">
        <v>39</v>
      </c>
      <c r="X554" s="36">
        <f>6/16</f>
        <v>0.375</v>
      </c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 t="s">
        <v>39</v>
      </c>
      <c r="AX554" s="36">
        <f>14/16</f>
        <v>0.875</v>
      </c>
      <c r="AY554" s="36" t="s">
        <v>38</v>
      </c>
      <c r="AZ554" s="36">
        <f>16/16</f>
        <v>1</v>
      </c>
      <c r="BA554" s="36"/>
      <c r="BB554" s="36"/>
      <c r="BC554" s="36"/>
      <c r="BD554" s="36"/>
      <c r="BE554" s="38"/>
      <c r="BF554" s="38"/>
      <c r="BG554" s="37">
        <v>1</v>
      </c>
      <c r="BH554" s="26"/>
      <c r="BI554" s="26">
        <v>1</v>
      </c>
      <c r="BJ554" s="26">
        <v>1</v>
      </c>
      <c r="BK554" s="26"/>
      <c r="BL554" s="26"/>
      <c r="BM554" s="26"/>
      <c r="BN554" s="26"/>
      <c r="BO554" s="37">
        <f t="shared" si="44"/>
        <v>2</v>
      </c>
      <c r="BP554" s="56">
        <f t="shared" si="45"/>
        <v>1</v>
      </c>
      <c r="BQ554" s="56">
        <f t="shared" si="46"/>
        <v>0</v>
      </c>
      <c r="BR554" s="57">
        <f t="shared" si="47"/>
        <v>0</v>
      </c>
      <c r="BS554" s="38"/>
      <c r="BT554" s="38"/>
      <c r="BU554" s="26"/>
      <c r="BV554" s="26"/>
      <c r="BW554" s="39">
        <f t="shared" si="48"/>
        <v>3</v>
      </c>
      <c r="BX554" s="78">
        <v>2</v>
      </c>
      <c r="BY554" s="63">
        <v>9</v>
      </c>
      <c r="BZ554" s="7"/>
      <c r="CA554" s="8"/>
      <c r="CB554" s="7"/>
      <c r="CC554" s="7"/>
    </row>
    <row r="555" spans="1:81" x14ac:dyDescent="0.2">
      <c r="A555" s="109" t="s">
        <v>322</v>
      </c>
      <c r="B555" s="26">
        <v>40</v>
      </c>
      <c r="C555" s="109">
        <v>98576010</v>
      </c>
      <c r="D555" s="38">
        <v>1</v>
      </c>
      <c r="E555" s="38">
        <v>2</v>
      </c>
      <c r="F555" s="38">
        <v>2</v>
      </c>
      <c r="G555" s="38" t="s">
        <v>51</v>
      </c>
      <c r="H555" s="38">
        <v>4</v>
      </c>
      <c r="I555" s="38" t="s">
        <v>51</v>
      </c>
      <c r="J555" s="38" t="s">
        <v>41</v>
      </c>
      <c r="K555" s="38"/>
      <c r="L555" s="38">
        <v>5</v>
      </c>
      <c r="M555" s="40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8"/>
      <c r="BF555" s="38"/>
      <c r="BG555" s="37"/>
      <c r="BH555" s="26"/>
      <c r="BI555" s="26"/>
      <c r="BJ555" s="26"/>
      <c r="BK555" s="26"/>
      <c r="BL555" s="26"/>
      <c r="BM555" s="26"/>
      <c r="BN555" s="26"/>
      <c r="BO555" s="37">
        <f t="shared" si="44"/>
        <v>0</v>
      </c>
      <c r="BP555" s="56">
        <f t="shared" si="45"/>
        <v>0</v>
      </c>
      <c r="BQ555" s="56">
        <f t="shared" si="46"/>
        <v>0</v>
      </c>
      <c r="BR555" s="57">
        <f t="shared" si="47"/>
        <v>0</v>
      </c>
      <c r="BS555" s="38"/>
      <c r="BT555" s="38"/>
      <c r="BU555" s="26"/>
      <c r="BV555" s="26"/>
      <c r="BW555" s="39">
        <f t="shared" si="48"/>
        <v>0</v>
      </c>
      <c r="BX555" s="78">
        <v>0</v>
      </c>
      <c r="BY555" s="63">
        <v>10</v>
      </c>
      <c r="CB555" s="7"/>
      <c r="CC555" s="7"/>
    </row>
    <row r="556" spans="1:81" ht="16" x14ac:dyDescent="0.2">
      <c r="A556" s="109" t="s">
        <v>322</v>
      </c>
      <c r="B556" s="26">
        <v>40</v>
      </c>
      <c r="C556" s="109">
        <v>98576010</v>
      </c>
      <c r="D556" s="38">
        <v>6</v>
      </c>
      <c r="E556" s="38">
        <v>2</v>
      </c>
      <c r="F556" s="38">
        <v>2</v>
      </c>
      <c r="G556" s="38" t="s">
        <v>51</v>
      </c>
      <c r="H556" s="38">
        <v>4</v>
      </c>
      <c r="I556" s="38" t="s">
        <v>51</v>
      </c>
      <c r="J556" s="38" t="s">
        <v>78</v>
      </c>
      <c r="K556" s="38"/>
      <c r="L556" s="38">
        <v>5</v>
      </c>
      <c r="M556" s="40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 t="s">
        <v>38</v>
      </c>
      <c r="AP556" s="36">
        <f>16/16</f>
        <v>1</v>
      </c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8"/>
      <c r="BF556" s="38"/>
      <c r="BG556" s="37">
        <v>1</v>
      </c>
      <c r="BH556" s="26"/>
      <c r="BI556" s="26"/>
      <c r="BJ556" s="26"/>
      <c r="BK556" s="26"/>
      <c r="BL556" s="26"/>
      <c r="BM556" s="26"/>
      <c r="BN556" s="26"/>
      <c r="BO556" s="37">
        <f t="shared" si="44"/>
        <v>1</v>
      </c>
      <c r="BP556" s="56">
        <f t="shared" si="45"/>
        <v>0</v>
      </c>
      <c r="BQ556" s="56">
        <f t="shared" si="46"/>
        <v>0</v>
      </c>
      <c r="BR556" s="57">
        <f t="shared" si="47"/>
        <v>0</v>
      </c>
      <c r="BS556" s="38"/>
      <c r="BT556" s="38"/>
      <c r="BU556" s="26"/>
      <c r="BV556" s="26"/>
      <c r="BW556" s="39">
        <f t="shared" si="48"/>
        <v>1</v>
      </c>
      <c r="BX556" s="78">
        <v>1</v>
      </c>
      <c r="BY556" s="63">
        <v>13</v>
      </c>
      <c r="CB556" s="7"/>
      <c r="CC556" s="7"/>
    </row>
    <row r="557" spans="1:81" ht="16" x14ac:dyDescent="0.2">
      <c r="A557" s="109" t="s">
        <v>322</v>
      </c>
      <c r="B557" s="26">
        <v>41</v>
      </c>
      <c r="C557" s="109" t="s">
        <v>187</v>
      </c>
      <c r="D557" s="26">
        <v>2</v>
      </c>
      <c r="E557" s="26">
        <v>2</v>
      </c>
      <c r="F557" s="26">
        <v>2</v>
      </c>
      <c r="G557" s="26" t="s">
        <v>51</v>
      </c>
      <c r="H557" s="26">
        <v>4</v>
      </c>
      <c r="I557" s="26" t="s">
        <v>51</v>
      </c>
      <c r="J557" s="26"/>
      <c r="K557" s="38" t="s">
        <v>63</v>
      </c>
      <c r="L557" s="26">
        <v>6</v>
      </c>
      <c r="M557" s="40"/>
      <c r="N557" s="36"/>
      <c r="O557" s="36"/>
      <c r="P557" s="36"/>
      <c r="Q557" s="36" t="s">
        <v>38</v>
      </c>
      <c r="R557" s="36">
        <f>13/14.5</f>
        <v>0.89655172413793105</v>
      </c>
      <c r="S557" s="36"/>
      <c r="T557" s="36"/>
      <c r="U557" s="36" t="s">
        <v>38</v>
      </c>
      <c r="V557" s="36">
        <f>10/14.5</f>
        <v>0.68965517241379315</v>
      </c>
      <c r="W557" s="36"/>
      <c r="X557" s="36"/>
      <c r="Y557" s="36" t="s">
        <v>39</v>
      </c>
      <c r="Z557" s="36">
        <f>13/14.5</f>
        <v>0.89655172413793105</v>
      </c>
      <c r="AA557" s="36"/>
      <c r="AB557" s="36"/>
      <c r="AC557" s="36"/>
      <c r="AD557" s="36"/>
      <c r="AE557" s="36"/>
      <c r="AF557" s="36"/>
      <c r="AG557" s="36"/>
      <c r="AH557" s="36"/>
      <c r="AI557" s="36" t="s">
        <v>39</v>
      </c>
      <c r="AJ557" s="36">
        <f>14/14.5</f>
        <v>0.96551724137931039</v>
      </c>
      <c r="AK557" s="36"/>
      <c r="AL557" s="36"/>
      <c r="AM557" s="36" t="s">
        <v>39</v>
      </c>
      <c r="AN557" s="36">
        <f>13/14.5</f>
        <v>0.89655172413793105</v>
      </c>
      <c r="AO557" s="36" t="s">
        <v>38</v>
      </c>
      <c r="AP557" s="36">
        <f>13/14.5</f>
        <v>0.89655172413793105</v>
      </c>
      <c r="AQ557" s="36"/>
      <c r="AR557" s="36"/>
      <c r="AS557" s="36"/>
      <c r="AT557" s="36"/>
      <c r="AU557" s="36" t="s">
        <v>39</v>
      </c>
      <c r="AV557" s="36">
        <f>14.5/14.5</f>
        <v>1</v>
      </c>
      <c r="AW557" s="36" t="s">
        <v>38</v>
      </c>
      <c r="AX557" s="36">
        <f>5.5/14.5</f>
        <v>0.37931034482758619</v>
      </c>
      <c r="AY557" s="36"/>
      <c r="AZ557" s="36"/>
      <c r="BA557" s="36" t="s">
        <v>38</v>
      </c>
      <c r="BB557" s="36">
        <f>12.5/14.5</f>
        <v>0.86206896551724133</v>
      </c>
      <c r="BC557" s="36" t="s">
        <v>39</v>
      </c>
      <c r="BD557" s="36">
        <f>13.5/14.5</f>
        <v>0.93103448275862066</v>
      </c>
      <c r="BE557" s="26"/>
      <c r="BF557" s="26"/>
      <c r="BG557" s="37">
        <v>3</v>
      </c>
      <c r="BH557" s="26">
        <v>2</v>
      </c>
      <c r="BI557" s="26">
        <v>5</v>
      </c>
      <c r="BJ557" s="26"/>
      <c r="BK557" s="26"/>
      <c r="BL557" s="26"/>
      <c r="BM557" s="26"/>
      <c r="BN557" s="26"/>
      <c r="BO557" s="37">
        <f t="shared" si="44"/>
        <v>8</v>
      </c>
      <c r="BP557" s="56">
        <f t="shared" si="45"/>
        <v>2</v>
      </c>
      <c r="BQ557" s="56">
        <f t="shared" si="46"/>
        <v>0</v>
      </c>
      <c r="BR557" s="57">
        <f t="shared" si="47"/>
        <v>0</v>
      </c>
      <c r="BS557" s="38"/>
      <c r="BT557" s="38"/>
      <c r="BU557" s="26"/>
      <c r="BV557" s="26"/>
      <c r="BW557" s="39">
        <f t="shared" si="48"/>
        <v>10</v>
      </c>
      <c r="BX557" s="78">
        <v>2</v>
      </c>
      <c r="BY557" s="63">
        <v>2</v>
      </c>
      <c r="CB557" s="7"/>
      <c r="CC557" s="7"/>
    </row>
    <row r="558" spans="1:81" ht="16" x14ac:dyDescent="0.2">
      <c r="A558" s="109" t="s">
        <v>322</v>
      </c>
      <c r="B558" s="26">
        <v>41</v>
      </c>
      <c r="C558" s="109" t="s">
        <v>187</v>
      </c>
      <c r="D558" s="26">
        <v>4</v>
      </c>
      <c r="E558" s="26">
        <v>2</v>
      </c>
      <c r="F558" s="26">
        <v>2</v>
      </c>
      <c r="G558" s="26" t="s">
        <v>51</v>
      </c>
      <c r="H558" s="26">
        <v>4</v>
      </c>
      <c r="I558" s="26" t="s">
        <v>51</v>
      </c>
      <c r="J558" s="26" t="s">
        <v>65</v>
      </c>
      <c r="K558" s="26"/>
      <c r="L558" s="26">
        <v>6</v>
      </c>
      <c r="M558" s="40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 t="s">
        <v>38</v>
      </c>
      <c r="BB558" s="36">
        <f>13.5/15</f>
        <v>0.9</v>
      </c>
      <c r="BC558" s="36"/>
      <c r="BD558" s="36"/>
      <c r="BE558" s="26"/>
      <c r="BF558" s="26"/>
      <c r="BG558" s="37">
        <v>1</v>
      </c>
      <c r="BH558" s="26"/>
      <c r="BI558" s="26"/>
      <c r="BJ558" s="26"/>
      <c r="BK558" s="26"/>
      <c r="BL558" s="26"/>
      <c r="BM558" s="26"/>
      <c r="BN558" s="26"/>
      <c r="BO558" s="37">
        <f t="shared" si="44"/>
        <v>1</v>
      </c>
      <c r="BP558" s="56">
        <f t="shared" si="45"/>
        <v>0</v>
      </c>
      <c r="BQ558" s="56">
        <f t="shared" si="46"/>
        <v>0</v>
      </c>
      <c r="BR558" s="57">
        <f t="shared" si="47"/>
        <v>0</v>
      </c>
      <c r="BS558" s="38"/>
      <c r="BT558" s="38"/>
      <c r="BU558" s="26"/>
      <c r="BV558" s="26"/>
      <c r="BW558" s="39">
        <f t="shared" si="48"/>
        <v>1</v>
      </c>
      <c r="BX558" s="78">
        <v>1</v>
      </c>
      <c r="BY558" s="63">
        <v>11</v>
      </c>
      <c r="BZ558" s="7"/>
      <c r="CA558" s="8"/>
      <c r="CB558" s="7"/>
      <c r="CC558" s="7"/>
    </row>
    <row r="559" spans="1:81" ht="16" x14ac:dyDescent="0.2">
      <c r="A559" s="109" t="s">
        <v>322</v>
      </c>
      <c r="B559" s="26">
        <v>41</v>
      </c>
      <c r="C559" s="109" t="s">
        <v>187</v>
      </c>
      <c r="D559" s="26">
        <v>5</v>
      </c>
      <c r="E559" s="26">
        <v>2</v>
      </c>
      <c r="F559" s="26">
        <v>2</v>
      </c>
      <c r="G559" s="26" t="s">
        <v>51</v>
      </c>
      <c r="H559" s="26">
        <v>4</v>
      </c>
      <c r="I559" s="26" t="s">
        <v>51</v>
      </c>
      <c r="J559" s="26"/>
      <c r="K559" s="26">
        <v>8</v>
      </c>
      <c r="L559" s="26">
        <v>6</v>
      </c>
      <c r="M559" s="40" t="s">
        <v>57</v>
      </c>
      <c r="N559" s="36">
        <f>8/14.5</f>
        <v>0.55172413793103448</v>
      </c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 t="s">
        <v>38</v>
      </c>
      <c r="AN559" s="36">
        <f>13/14.5</f>
        <v>0.89655172413793105</v>
      </c>
      <c r="AO559" s="36"/>
      <c r="AP559" s="36"/>
      <c r="AQ559" s="36"/>
      <c r="AR559" s="36"/>
      <c r="AS559" s="36" t="s">
        <v>39</v>
      </c>
      <c r="AT559" s="36">
        <f>10/14.5</f>
        <v>0.68965517241379315</v>
      </c>
      <c r="AU559" s="36"/>
      <c r="AV559" s="36"/>
      <c r="AW559" s="36"/>
      <c r="AX559" s="36"/>
      <c r="AY559" s="36" t="s">
        <v>38</v>
      </c>
      <c r="AZ559" s="36">
        <f>14/14.5</f>
        <v>0.96551724137931039</v>
      </c>
      <c r="BA559" s="36"/>
      <c r="BB559" s="36"/>
      <c r="BC559" s="36"/>
      <c r="BD559" s="36"/>
      <c r="BE559" s="26"/>
      <c r="BF559" s="26"/>
      <c r="BG559" s="37">
        <v>2</v>
      </c>
      <c r="BH559" s="26"/>
      <c r="BI559" s="26"/>
      <c r="BJ559" s="26">
        <v>1</v>
      </c>
      <c r="BK559" s="26"/>
      <c r="BL559" s="26"/>
      <c r="BM559" s="26"/>
      <c r="BN559" s="26">
        <v>1</v>
      </c>
      <c r="BO559" s="37">
        <f t="shared" si="44"/>
        <v>2</v>
      </c>
      <c r="BP559" s="56">
        <f t="shared" si="45"/>
        <v>1</v>
      </c>
      <c r="BQ559" s="56">
        <f t="shared" si="46"/>
        <v>0</v>
      </c>
      <c r="BR559" s="57">
        <f t="shared" si="47"/>
        <v>1</v>
      </c>
      <c r="BS559" s="38"/>
      <c r="BT559" s="38"/>
      <c r="BU559" s="26"/>
      <c r="BV559" s="26"/>
      <c r="BW559" s="39">
        <f t="shared" si="48"/>
        <v>4</v>
      </c>
      <c r="BX559" s="78">
        <v>2</v>
      </c>
      <c r="BY559" s="63">
        <v>1</v>
      </c>
      <c r="CB559" s="7"/>
      <c r="CC559" s="7"/>
    </row>
    <row r="560" spans="1:81" ht="16" x14ac:dyDescent="0.2">
      <c r="A560" s="109" t="s">
        <v>322</v>
      </c>
      <c r="B560" s="26">
        <v>41</v>
      </c>
      <c r="C560" s="109" t="s">
        <v>187</v>
      </c>
      <c r="D560" s="26">
        <v>7</v>
      </c>
      <c r="E560" s="26">
        <v>2</v>
      </c>
      <c r="F560" s="26">
        <v>2</v>
      </c>
      <c r="G560" s="26" t="s">
        <v>51</v>
      </c>
      <c r="H560" s="26">
        <v>4</v>
      </c>
      <c r="I560" s="26" t="s">
        <v>51</v>
      </c>
      <c r="J560" s="26" t="s">
        <v>41</v>
      </c>
      <c r="K560" s="26"/>
      <c r="L560" s="26">
        <v>6</v>
      </c>
      <c r="M560" s="40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 t="s">
        <v>39</v>
      </c>
      <c r="AX560" s="36">
        <f>12/15</f>
        <v>0.8</v>
      </c>
      <c r="AY560" s="36"/>
      <c r="AZ560" s="36"/>
      <c r="BA560" s="36" t="s">
        <v>38</v>
      </c>
      <c r="BB560" s="36">
        <f>14.5/15</f>
        <v>0.96666666666666667</v>
      </c>
      <c r="BC560" s="36"/>
      <c r="BD560" s="36"/>
      <c r="BE560" s="26"/>
      <c r="BF560" s="26"/>
      <c r="BG560" s="37">
        <v>1</v>
      </c>
      <c r="BH560" s="26"/>
      <c r="BI560" s="26">
        <v>1</v>
      </c>
      <c r="BJ560" s="26"/>
      <c r="BK560" s="26"/>
      <c r="BL560" s="26"/>
      <c r="BM560" s="26"/>
      <c r="BN560" s="26"/>
      <c r="BO560" s="37">
        <f t="shared" si="44"/>
        <v>2</v>
      </c>
      <c r="BP560" s="56">
        <f t="shared" si="45"/>
        <v>0</v>
      </c>
      <c r="BQ560" s="56">
        <f t="shared" si="46"/>
        <v>0</v>
      </c>
      <c r="BR560" s="57">
        <f t="shared" si="47"/>
        <v>0</v>
      </c>
      <c r="BS560" s="38"/>
      <c r="BT560" s="38"/>
      <c r="BU560" s="26"/>
      <c r="BV560" s="26"/>
      <c r="BW560" s="39">
        <f t="shared" si="48"/>
        <v>2</v>
      </c>
      <c r="BX560" s="78">
        <v>1</v>
      </c>
      <c r="BY560" s="63">
        <v>10</v>
      </c>
      <c r="CB560" s="7"/>
      <c r="CC560" s="7"/>
    </row>
    <row r="561" spans="1:81" ht="16" x14ac:dyDescent="0.2">
      <c r="A561" s="109" t="s">
        <v>322</v>
      </c>
      <c r="B561" s="26">
        <v>41</v>
      </c>
      <c r="C561" s="109" t="s">
        <v>187</v>
      </c>
      <c r="D561" s="26">
        <v>8</v>
      </c>
      <c r="E561" s="26">
        <v>2</v>
      </c>
      <c r="F561" s="26">
        <v>2</v>
      </c>
      <c r="G561" s="26" t="s">
        <v>51</v>
      </c>
      <c r="H561" s="26">
        <v>4</v>
      </c>
      <c r="I561" s="26" t="s">
        <v>51</v>
      </c>
      <c r="J561" s="26" t="s">
        <v>41</v>
      </c>
      <c r="K561" s="26"/>
      <c r="L561" s="26">
        <v>6</v>
      </c>
      <c r="M561" s="40"/>
      <c r="N561" s="36"/>
      <c r="O561" s="36"/>
      <c r="P561" s="36"/>
      <c r="Q561" s="36"/>
      <c r="R561" s="36"/>
      <c r="S561" s="36"/>
      <c r="T561" s="36"/>
      <c r="U561" s="36"/>
      <c r="V561" s="36"/>
      <c r="W561" s="36" t="s">
        <v>38</v>
      </c>
      <c r="X561" s="36">
        <f>5.5/15</f>
        <v>0.36666666666666664</v>
      </c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 t="s">
        <v>39</v>
      </c>
      <c r="AL561" s="36">
        <f>15/15</f>
        <v>1</v>
      </c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 t="s">
        <v>39</v>
      </c>
      <c r="AX561" s="36">
        <f>11/15</f>
        <v>0.73333333333333328</v>
      </c>
      <c r="AY561" s="36"/>
      <c r="AZ561" s="36"/>
      <c r="BA561" s="36"/>
      <c r="BB561" s="36"/>
      <c r="BC561" s="36" t="s">
        <v>39</v>
      </c>
      <c r="BD561" s="36">
        <f>12/15</f>
        <v>0.8</v>
      </c>
      <c r="BE561" s="26"/>
      <c r="BF561" s="26"/>
      <c r="BG561" s="37"/>
      <c r="BH561" s="26">
        <v>1</v>
      </c>
      <c r="BI561" s="26">
        <v>3</v>
      </c>
      <c r="BJ561" s="26"/>
      <c r="BK561" s="26"/>
      <c r="BL561" s="26"/>
      <c r="BM561" s="26"/>
      <c r="BN561" s="26"/>
      <c r="BO561" s="37">
        <f t="shared" si="44"/>
        <v>3</v>
      </c>
      <c r="BP561" s="56">
        <f t="shared" si="45"/>
        <v>1</v>
      </c>
      <c r="BQ561" s="56">
        <f t="shared" si="46"/>
        <v>0</v>
      </c>
      <c r="BR561" s="57">
        <f t="shared" si="47"/>
        <v>0</v>
      </c>
      <c r="BS561" s="38"/>
      <c r="BT561" s="38"/>
      <c r="BU561" s="26"/>
      <c r="BV561" s="26"/>
      <c r="BW561" s="39">
        <f t="shared" si="48"/>
        <v>4</v>
      </c>
      <c r="BX561" s="78">
        <v>2</v>
      </c>
      <c r="BY561" s="63">
        <v>10</v>
      </c>
      <c r="CB561" s="7"/>
      <c r="CC561" s="7"/>
    </row>
    <row r="562" spans="1:81" ht="16" x14ac:dyDescent="0.2">
      <c r="A562" s="109" t="s">
        <v>322</v>
      </c>
      <c r="B562" s="26">
        <v>41</v>
      </c>
      <c r="C562" s="109" t="s">
        <v>187</v>
      </c>
      <c r="D562" s="26">
        <v>10</v>
      </c>
      <c r="E562" s="26">
        <v>2</v>
      </c>
      <c r="F562" s="26">
        <v>2</v>
      </c>
      <c r="G562" s="26" t="s">
        <v>51</v>
      </c>
      <c r="H562" s="26">
        <v>4</v>
      </c>
      <c r="I562" s="26" t="s">
        <v>51</v>
      </c>
      <c r="J562" s="26"/>
      <c r="K562" s="38" t="s">
        <v>63</v>
      </c>
      <c r="L562" s="26">
        <v>6</v>
      </c>
      <c r="M562" s="40" t="s">
        <v>57</v>
      </c>
      <c r="N562" s="36">
        <f>11/14.5</f>
        <v>0.75862068965517238</v>
      </c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 t="s">
        <v>39</v>
      </c>
      <c r="BD562" s="36">
        <f>12/14.5</f>
        <v>0.82758620689655171</v>
      </c>
      <c r="BE562" s="26"/>
      <c r="BF562" s="26"/>
      <c r="BG562" s="37"/>
      <c r="BH562" s="26"/>
      <c r="BI562" s="26">
        <v>1</v>
      </c>
      <c r="BJ562" s="26"/>
      <c r="BK562" s="26"/>
      <c r="BL562" s="26"/>
      <c r="BM562" s="26">
        <v>1</v>
      </c>
      <c r="BN562" s="26"/>
      <c r="BO562" s="37">
        <f t="shared" si="44"/>
        <v>1</v>
      </c>
      <c r="BP562" s="56">
        <f t="shared" si="45"/>
        <v>0</v>
      </c>
      <c r="BQ562" s="56">
        <f t="shared" si="46"/>
        <v>1</v>
      </c>
      <c r="BR562" s="57">
        <f t="shared" si="47"/>
        <v>0</v>
      </c>
      <c r="BS562" s="38"/>
      <c r="BT562" s="38"/>
      <c r="BU562" s="26"/>
      <c r="BV562" s="26"/>
      <c r="BW562" s="39">
        <f t="shared" si="48"/>
        <v>2</v>
      </c>
      <c r="BX562" s="78">
        <v>2</v>
      </c>
      <c r="BY562" s="63">
        <v>2</v>
      </c>
      <c r="BZ562" s="7"/>
      <c r="CA562" s="8"/>
      <c r="CB562" s="7"/>
      <c r="CC562" s="7"/>
    </row>
    <row r="563" spans="1:81" ht="16" x14ac:dyDescent="0.2">
      <c r="A563" s="109" t="s">
        <v>322</v>
      </c>
      <c r="B563" s="26">
        <v>41</v>
      </c>
      <c r="C563" s="109" t="s">
        <v>187</v>
      </c>
      <c r="D563" s="26">
        <v>13</v>
      </c>
      <c r="E563" s="26">
        <v>2</v>
      </c>
      <c r="F563" s="26">
        <v>2</v>
      </c>
      <c r="G563" s="26" t="s">
        <v>51</v>
      </c>
      <c r="H563" s="26">
        <v>4</v>
      </c>
      <c r="I563" s="26" t="s">
        <v>51</v>
      </c>
      <c r="J563" s="26" t="s">
        <v>41</v>
      </c>
      <c r="K563" s="26"/>
      <c r="L563" s="26">
        <v>7</v>
      </c>
      <c r="M563" s="40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 t="s">
        <v>38</v>
      </c>
      <c r="BB563" s="36">
        <f>15/15</f>
        <v>1</v>
      </c>
      <c r="BC563" s="36"/>
      <c r="BD563" s="36"/>
      <c r="BE563" s="26"/>
      <c r="BF563" s="26"/>
      <c r="BG563" s="37">
        <v>1</v>
      </c>
      <c r="BH563" s="26"/>
      <c r="BI563" s="26"/>
      <c r="BJ563" s="26"/>
      <c r="BK563" s="26"/>
      <c r="BL563" s="26"/>
      <c r="BM563" s="26"/>
      <c r="BN563" s="26"/>
      <c r="BO563" s="37">
        <f t="shared" si="44"/>
        <v>1</v>
      </c>
      <c r="BP563" s="56">
        <f t="shared" si="45"/>
        <v>0</v>
      </c>
      <c r="BQ563" s="56">
        <f t="shared" si="46"/>
        <v>0</v>
      </c>
      <c r="BR563" s="57">
        <f t="shared" si="47"/>
        <v>0</v>
      </c>
      <c r="BS563" s="38"/>
      <c r="BT563" s="38"/>
      <c r="BU563" s="26"/>
      <c r="BV563" s="26"/>
      <c r="BW563" s="39">
        <f t="shared" si="48"/>
        <v>1</v>
      </c>
      <c r="BX563" s="78">
        <v>1</v>
      </c>
      <c r="BY563" s="63">
        <v>10</v>
      </c>
      <c r="CB563" s="7"/>
      <c r="CC563" s="7"/>
    </row>
    <row r="564" spans="1:81" x14ac:dyDescent="0.2">
      <c r="A564" s="109" t="s">
        <v>323</v>
      </c>
      <c r="B564" s="26">
        <v>39</v>
      </c>
      <c r="C564" s="109" t="s">
        <v>188</v>
      </c>
      <c r="D564" s="38">
        <v>1</v>
      </c>
      <c r="E564" s="38">
        <v>2</v>
      </c>
      <c r="F564" s="38">
        <v>2</v>
      </c>
      <c r="G564" s="38" t="s">
        <v>51</v>
      </c>
      <c r="H564" s="38">
        <v>4</v>
      </c>
      <c r="I564" s="38" t="s">
        <v>51</v>
      </c>
      <c r="J564" s="38" t="s">
        <v>41</v>
      </c>
      <c r="K564" s="38"/>
      <c r="L564" s="38">
        <v>5</v>
      </c>
      <c r="M564" s="40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8"/>
      <c r="BF564" s="38"/>
      <c r="BG564" s="39"/>
      <c r="BH564" s="38"/>
      <c r="BI564" s="38"/>
      <c r="BJ564" s="38"/>
      <c r="BK564" s="38"/>
      <c r="BL564" s="38"/>
      <c r="BM564" s="38"/>
      <c r="BN564" s="38"/>
      <c r="BO564" s="37">
        <f t="shared" si="44"/>
        <v>0</v>
      </c>
      <c r="BP564" s="56">
        <f t="shared" si="45"/>
        <v>0</v>
      </c>
      <c r="BQ564" s="56">
        <f t="shared" si="46"/>
        <v>0</v>
      </c>
      <c r="BR564" s="57">
        <f t="shared" si="47"/>
        <v>0</v>
      </c>
      <c r="BS564" s="38"/>
      <c r="BT564" s="38"/>
      <c r="BU564" s="26"/>
      <c r="BV564" s="26"/>
      <c r="BW564" s="39">
        <f t="shared" si="48"/>
        <v>0</v>
      </c>
      <c r="BX564" s="78">
        <v>0</v>
      </c>
      <c r="BY564" s="63">
        <v>10</v>
      </c>
      <c r="BZ564" s="7"/>
      <c r="CA564" s="8"/>
      <c r="CB564" s="7"/>
      <c r="CC564" s="7"/>
    </row>
    <row r="565" spans="1:81" x14ac:dyDescent="0.2">
      <c r="A565" s="109" t="s">
        <v>323</v>
      </c>
      <c r="B565" s="26">
        <v>39</v>
      </c>
      <c r="C565" s="109" t="s">
        <v>188</v>
      </c>
      <c r="D565" s="38">
        <v>2</v>
      </c>
      <c r="E565" s="38">
        <v>2</v>
      </c>
      <c r="F565" s="38">
        <v>2</v>
      </c>
      <c r="G565" s="38" t="s">
        <v>51</v>
      </c>
      <c r="H565" s="38">
        <v>4</v>
      </c>
      <c r="I565" s="38" t="s">
        <v>51</v>
      </c>
      <c r="J565" s="38" t="s">
        <v>41</v>
      </c>
      <c r="K565" s="38"/>
      <c r="L565" s="38">
        <v>7</v>
      </c>
      <c r="M565" s="40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8"/>
      <c r="BF565" s="38"/>
      <c r="BG565" s="39"/>
      <c r="BH565" s="38"/>
      <c r="BI565" s="38"/>
      <c r="BJ565" s="38"/>
      <c r="BK565" s="38"/>
      <c r="BL565" s="38"/>
      <c r="BM565" s="38"/>
      <c r="BN565" s="38"/>
      <c r="BO565" s="37">
        <f t="shared" si="44"/>
        <v>0</v>
      </c>
      <c r="BP565" s="56">
        <f t="shared" si="45"/>
        <v>0</v>
      </c>
      <c r="BQ565" s="56">
        <f t="shared" si="46"/>
        <v>0</v>
      </c>
      <c r="BR565" s="57">
        <f t="shared" si="47"/>
        <v>0</v>
      </c>
      <c r="BS565" s="38"/>
      <c r="BT565" s="38"/>
      <c r="BU565" s="26"/>
      <c r="BV565" s="26"/>
      <c r="BW565" s="39">
        <f t="shared" si="48"/>
        <v>0</v>
      </c>
      <c r="BX565" s="78">
        <v>0</v>
      </c>
      <c r="BY565" s="63">
        <v>10</v>
      </c>
      <c r="BZ565" s="7"/>
      <c r="CA565" s="8"/>
      <c r="CB565" s="7"/>
      <c r="CC565" s="7"/>
    </row>
    <row r="566" spans="1:81" x14ac:dyDescent="0.2">
      <c r="A566" s="109" t="s">
        <v>323</v>
      </c>
      <c r="B566" s="26">
        <v>39</v>
      </c>
      <c r="C566" s="109" t="s">
        <v>188</v>
      </c>
      <c r="D566" s="38">
        <v>5</v>
      </c>
      <c r="E566" s="38">
        <v>2</v>
      </c>
      <c r="F566" s="38">
        <v>2</v>
      </c>
      <c r="G566" s="38" t="s">
        <v>51</v>
      </c>
      <c r="H566" s="38">
        <v>4</v>
      </c>
      <c r="I566" s="38" t="s">
        <v>51</v>
      </c>
      <c r="J566" s="38" t="s">
        <v>41</v>
      </c>
      <c r="K566" s="38"/>
      <c r="L566" s="38">
        <v>6</v>
      </c>
      <c r="M566" s="40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8"/>
      <c r="BF566" s="38"/>
      <c r="BG566" s="39"/>
      <c r="BH566" s="38"/>
      <c r="BI566" s="38"/>
      <c r="BJ566" s="38"/>
      <c r="BK566" s="38"/>
      <c r="BL566" s="38"/>
      <c r="BM566" s="38"/>
      <c r="BN566" s="38"/>
      <c r="BO566" s="37">
        <f t="shared" si="44"/>
        <v>0</v>
      </c>
      <c r="BP566" s="56">
        <f t="shared" si="45"/>
        <v>0</v>
      </c>
      <c r="BQ566" s="56">
        <f t="shared" si="46"/>
        <v>0</v>
      </c>
      <c r="BR566" s="57">
        <f t="shared" si="47"/>
        <v>0</v>
      </c>
      <c r="BS566" s="38"/>
      <c r="BT566" s="38"/>
      <c r="BU566" s="26"/>
      <c r="BV566" s="26"/>
      <c r="BW566" s="39">
        <f t="shared" si="48"/>
        <v>0</v>
      </c>
      <c r="BX566" s="78">
        <v>0</v>
      </c>
      <c r="BY566" s="63">
        <v>10</v>
      </c>
      <c r="BZ566" s="7"/>
      <c r="CA566" s="8"/>
      <c r="CB566" s="7"/>
      <c r="CC566" s="7"/>
    </row>
    <row r="567" spans="1:81" ht="16" x14ac:dyDescent="0.2">
      <c r="A567" s="109" t="s">
        <v>323</v>
      </c>
      <c r="B567" s="26">
        <v>39</v>
      </c>
      <c r="C567" s="109" t="s">
        <v>188</v>
      </c>
      <c r="D567" s="38">
        <v>6</v>
      </c>
      <c r="E567" s="38">
        <v>2</v>
      </c>
      <c r="F567" s="38">
        <v>2</v>
      </c>
      <c r="G567" s="38" t="s">
        <v>51</v>
      </c>
      <c r="H567" s="38">
        <v>4</v>
      </c>
      <c r="I567" s="38" t="s">
        <v>51</v>
      </c>
      <c r="J567" s="38" t="s">
        <v>64</v>
      </c>
      <c r="K567" s="38"/>
      <c r="L567" s="38">
        <v>7</v>
      </c>
      <c r="M567" s="40" t="s">
        <v>40</v>
      </c>
      <c r="N567" s="36">
        <f>17.5/18</f>
        <v>0.97222222222222221</v>
      </c>
      <c r="O567" s="36" t="s">
        <v>55</v>
      </c>
      <c r="P567" s="36">
        <f>18/18</f>
        <v>1</v>
      </c>
      <c r="Q567" s="36"/>
      <c r="R567" s="36"/>
      <c r="S567" s="36"/>
      <c r="T567" s="36"/>
      <c r="U567" s="36" t="s">
        <v>38</v>
      </c>
      <c r="V567" s="36">
        <f>8.5/18</f>
        <v>0.47222222222222221</v>
      </c>
      <c r="W567" s="36"/>
      <c r="X567" s="36"/>
      <c r="Y567" s="36"/>
      <c r="Z567" s="36"/>
      <c r="AA567" s="36" t="s">
        <v>40</v>
      </c>
      <c r="AB567" s="36">
        <f>17.5/18</f>
        <v>0.97222222222222221</v>
      </c>
      <c r="AC567" s="36"/>
      <c r="AD567" s="36"/>
      <c r="AE567" s="36" t="s">
        <v>39</v>
      </c>
      <c r="AF567" s="36">
        <f>17.5/18</f>
        <v>0.97222222222222221</v>
      </c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8"/>
      <c r="BF567" s="38"/>
      <c r="BG567" s="39"/>
      <c r="BH567" s="38">
        <v>1</v>
      </c>
      <c r="BI567" s="38">
        <v>1</v>
      </c>
      <c r="BJ567" s="38"/>
      <c r="BK567" s="38">
        <v>1</v>
      </c>
      <c r="BL567" s="38"/>
      <c r="BM567" s="38">
        <v>2</v>
      </c>
      <c r="BN567" s="38"/>
      <c r="BO567" s="37">
        <f t="shared" si="44"/>
        <v>1</v>
      </c>
      <c r="BP567" s="56">
        <f t="shared" si="45"/>
        <v>1</v>
      </c>
      <c r="BQ567" s="56">
        <f t="shared" si="46"/>
        <v>3</v>
      </c>
      <c r="BR567" s="57">
        <f t="shared" si="47"/>
        <v>0</v>
      </c>
      <c r="BS567" s="38"/>
      <c r="BT567" s="38"/>
      <c r="BU567" s="26"/>
      <c r="BV567" s="26"/>
      <c r="BW567" s="39">
        <f t="shared" si="48"/>
        <v>5</v>
      </c>
      <c r="BX567" s="78">
        <v>2</v>
      </c>
      <c r="BY567" s="63">
        <v>6</v>
      </c>
      <c r="BZ567" s="7"/>
      <c r="CA567" s="8"/>
      <c r="CB567" s="7"/>
      <c r="CC567" s="7"/>
    </row>
    <row r="568" spans="1:81" ht="16" x14ac:dyDescent="0.2">
      <c r="A568" s="109" t="s">
        <v>323</v>
      </c>
      <c r="B568" s="26">
        <v>39</v>
      </c>
      <c r="C568" s="109" t="s">
        <v>188</v>
      </c>
      <c r="D568" s="38">
        <v>8</v>
      </c>
      <c r="E568" s="38">
        <v>2</v>
      </c>
      <c r="F568" s="38">
        <v>2</v>
      </c>
      <c r="G568" s="38" t="s">
        <v>51</v>
      </c>
      <c r="H568" s="38">
        <v>4</v>
      </c>
      <c r="I568" s="38" t="s">
        <v>51</v>
      </c>
      <c r="J568" s="38"/>
      <c r="K568" s="38">
        <v>4</v>
      </c>
      <c r="L568" s="38">
        <v>7</v>
      </c>
      <c r="M568" s="40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 t="s">
        <v>39</v>
      </c>
      <c r="AV568" s="36">
        <f>12.5/18</f>
        <v>0.69444444444444442</v>
      </c>
      <c r="AW568" s="36"/>
      <c r="AX568" s="36"/>
      <c r="AY568" s="36"/>
      <c r="AZ568" s="36"/>
      <c r="BA568" s="36" t="s">
        <v>39</v>
      </c>
      <c r="BB568" s="36">
        <f>14/18</f>
        <v>0.77777777777777779</v>
      </c>
      <c r="BC568" s="36"/>
      <c r="BD568" s="36"/>
      <c r="BE568" s="38"/>
      <c r="BF568" s="38"/>
      <c r="BG568" s="39"/>
      <c r="BH568" s="38"/>
      <c r="BI568" s="38">
        <v>1</v>
      </c>
      <c r="BJ568" s="38">
        <v>1</v>
      </c>
      <c r="BK568" s="38"/>
      <c r="BL568" s="38"/>
      <c r="BM568" s="38"/>
      <c r="BN568" s="38"/>
      <c r="BO568" s="37">
        <f t="shared" si="44"/>
        <v>1</v>
      </c>
      <c r="BP568" s="56">
        <f t="shared" si="45"/>
        <v>1</v>
      </c>
      <c r="BQ568" s="56">
        <f t="shared" si="46"/>
        <v>0</v>
      </c>
      <c r="BR568" s="57">
        <f t="shared" si="47"/>
        <v>0</v>
      </c>
      <c r="BS568" s="38"/>
      <c r="BT568" s="38"/>
      <c r="BU568" s="26"/>
      <c r="BV568" s="26"/>
      <c r="BW568" s="39">
        <f t="shared" si="48"/>
        <v>2</v>
      </c>
      <c r="BX568" s="78">
        <v>2</v>
      </c>
      <c r="BY568" s="63">
        <v>1</v>
      </c>
      <c r="BZ568" s="7"/>
      <c r="CA568" s="8"/>
      <c r="CB568" s="7"/>
      <c r="CC568" s="7"/>
    </row>
    <row r="569" spans="1:81" ht="16" x14ac:dyDescent="0.2">
      <c r="A569" s="109" t="s">
        <v>324</v>
      </c>
      <c r="B569" s="38">
        <v>37</v>
      </c>
      <c r="C569" s="111" t="s">
        <v>189</v>
      </c>
      <c r="D569" s="47">
        <v>1</v>
      </c>
      <c r="E569" s="47">
        <v>2</v>
      </c>
      <c r="F569" s="47">
        <v>2</v>
      </c>
      <c r="G569" s="47" t="s">
        <v>51</v>
      </c>
      <c r="H569" s="47">
        <v>4</v>
      </c>
      <c r="I569" s="47" t="s">
        <v>51</v>
      </c>
      <c r="J569" s="38" t="s">
        <v>65</v>
      </c>
      <c r="K569" s="26"/>
      <c r="L569" s="38">
        <v>5</v>
      </c>
      <c r="M569" s="40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 t="s">
        <v>38</v>
      </c>
      <c r="AR569" s="36">
        <f>10/10</f>
        <v>1</v>
      </c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8"/>
      <c r="BF569" s="38"/>
      <c r="BG569" s="39">
        <v>1</v>
      </c>
      <c r="BH569" s="38"/>
      <c r="BI569" s="38"/>
      <c r="BJ569" s="38"/>
      <c r="BK569" s="38"/>
      <c r="BL569" s="38"/>
      <c r="BM569" s="38"/>
      <c r="BN569" s="38"/>
      <c r="BO569" s="37">
        <f t="shared" si="44"/>
        <v>1</v>
      </c>
      <c r="BP569" s="56">
        <f t="shared" si="45"/>
        <v>0</v>
      </c>
      <c r="BQ569" s="56">
        <f t="shared" si="46"/>
        <v>0</v>
      </c>
      <c r="BR569" s="57">
        <f t="shared" si="47"/>
        <v>0</v>
      </c>
      <c r="BS569" s="38"/>
      <c r="BT569" s="38"/>
      <c r="BU569" s="26"/>
      <c r="BV569" s="26"/>
      <c r="BW569" s="39">
        <f t="shared" si="48"/>
        <v>1</v>
      </c>
      <c r="BX569" s="78">
        <v>1</v>
      </c>
      <c r="BY569" s="63">
        <v>11</v>
      </c>
      <c r="BZ569" s="7"/>
      <c r="CA569" s="8"/>
      <c r="CB569" s="7"/>
      <c r="CC569" s="7"/>
    </row>
    <row r="570" spans="1:81" ht="16" x14ac:dyDescent="0.2">
      <c r="A570" s="109" t="s">
        <v>324</v>
      </c>
      <c r="B570" s="38">
        <v>37</v>
      </c>
      <c r="C570" s="111" t="s">
        <v>189</v>
      </c>
      <c r="D570" s="47">
        <v>2</v>
      </c>
      <c r="E570" s="47">
        <v>2</v>
      </c>
      <c r="F570" s="47"/>
      <c r="G570" s="47"/>
      <c r="H570" s="47"/>
      <c r="I570" s="47"/>
      <c r="J570" s="38"/>
      <c r="K570" s="38" t="s">
        <v>47</v>
      </c>
      <c r="L570" s="38">
        <v>6</v>
      </c>
      <c r="M570" s="40" t="s">
        <v>38</v>
      </c>
      <c r="N570" s="36">
        <f>6.5/10</f>
        <v>0.65</v>
      </c>
      <c r="O570" s="36"/>
      <c r="P570" s="36"/>
      <c r="Q570" s="36"/>
      <c r="R570" s="36"/>
      <c r="S570" s="36" t="s">
        <v>38</v>
      </c>
      <c r="T570" s="36">
        <f>6.5/10</f>
        <v>0.65</v>
      </c>
      <c r="U570" s="36" t="s">
        <v>39</v>
      </c>
      <c r="V570" s="36">
        <f>5/10</f>
        <v>0.5</v>
      </c>
      <c r="W570" s="36" t="s">
        <v>38</v>
      </c>
      <c r="X570" s="36">
        <f>4/10</f>
        <v>0.4</v>
      </c>
      <c r="Y570" s="36" t="s">
        <v>38</v>
      </c>
      <c r="Z570" s="36">
        <f>5.5/10</f>
        <v>0.55000000000000004</v>
      </c>
      <c r="AA570" s="36"/>
      <c r="AB570" s="36"/>
      <c r="AC570" s="36"/>
      <c r="AD570" s="36"/>
      <c r="AE570" s="36"/>
      <c r="AF570" s="36"/>
      <c r="AG570" s="36" t="s">
        <v>38</v>
      </c>
      <c r="AH570" s="36">
        <f>5/10</f>
        <v>0.5</v>
      </c>
      <c r="AI570" s="36"/>
      <c r="AJ570" s="36"/>
      <c r="AK570" s="36"/>
      <c r="AL570" s="36"/>
      <c r="AM570" s="36"/>
      <c r="AN570" s="36"/>
      <c r="AO570" s="36"/>
      <c r="AP570" s="36"/>
      <c r="AQ570" s="36" t="s">
        <v>38</v>
      </c>
      <c r="AR570" s="36">
        <f>7/10</f>
        <v>0.7</v>
      </c>
      <c r="AS570" s="36" t="s">
        <v>38</v>
      </c>
      <c r="AT570" s="36">
        <f>9/10</f>
        <v>0.9</v>
      </c>
      <c r="AU570" s="36" t="s">
        <v>38</v>
      </c>
      <c r="AV570" s="36">
        <f>4/10</f>
        <v>0.4</v>
      </c>
      <c r="AW570" s="36" t="s">
        <v>38</v>
      </c>
      <c r="AX570" s="36">
        <f>6/10</f>
        <v>0.6</v>
      </c>
      <c r="AY570" s="36" t="s">
        <v>39</v>
      </c>
      <c r="AZ570" s="36">
        <f>5/10</f>
        <v>0.5</v>
      </c>
      <c r="BA570" s="36" t="s">
        <v>39</v>
      </c>
      <c r="BB570" s="36">
        <f>3.5/10</f>
        <v>0.35</v>
      </c>
      <c r="BC570" s="36" t="s">
        <v>38</v>
      </c>
      <c r="BD570" s="36">
        <f>8/10</f>
        <v>0.8</v>
      </c>
      <c r="BE570" s="38" t="s">
        <v>39</v>
      </c>
      <c r="BF570" s="38" t="s">
        <v>46</v>
      </c>
      <c r="BG570" s="39">
        <v>3</v>
      </c>
      <c r="BH570" s="38">
        <v>7</v>
      </c>
      <c r="BI570" s="38"/>
      <c r="BJ570" s="38">
        <v>3</v>
      </c>
      <c r="BK570" s="38"/>
      <c r="BL570" s="38"/>
      <c r="BM570" s="38"/>
      <c r="BN570" s="38"/>
      <c r="BO570" s="37">
        <f t="shared" si="44"/>
        <v>4</v>
      </c>
      <c r="BP570" s="56">
        <f t="shared" si="45"/>
        <v>10</v>
      </c>
      <c r="BQ570" s="56">
        <f t="shared" si="46"/>
        <v>0</v>
      </c>
      <c r="BR570" s="57">
        <f t="shared" si="47"/>
        <v>0</v>
      </c>
      <c r="BS570" s="38"/>
      <c r="BT570" s="38"/>
      <c r="BU570" s="26">
        <v>1</v>
      </c>
      <c r="BV570" s="26"/>
      <c r="BW570" s="39">
        <f t="shared" si="48"/>
        <v>14</v>
      </c>
      <c r="BX570" s="78">
        <v>2</v>
      </c>
      <c r="BY570" s="63">
        <v>3</v>
      </c>
      <c r="BZ570" s="7"/>
      <c r="CA570" s="8"/>
      <c r="CB570" s="7"/>
      <c r="CC570" s="7"/>
    </row>
    <row r="571" spans="1:81" ht="16" x14ac:dyDescent="0.2">
      <c r="A571" s="109" t="s">
        <v>325</v>
      </c>
      <c r="B571" s="26">
        <v>37</v>
      </c>
      <c r="C571" s="109" t="s">
        <v>190</v>
      </c>
      <c r="D571" s="38">
        <v>1</v>
      </c>
      <c r="E571" s="38">
        <v>2</v>
      </c>
      <c r="F571" s="38">
        <v>2</v>
      </c>
      <c r="G571" s="38" t="s">
        <v>51</v>
      </c>
      <c r="H571" s="38">
        <v>5</v>
      </c>
      <c r="I571" s="38" t="s">
        <v>56</v>
      </c>
      <c r="J571" s="38" t="s">
        <v>42</v>
      </c>
      <c r="K571" s="38"/>
      <c r="L571" s="38">
        <v>5</v>
      </c>
      <c r="M571" s="40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 t="s">
        <v>38</v>
      </c>
      <c r="AR571" s="36">
        <f>16/16</f>
        <v>1</v>
      </c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8"/>
      <c r="BF571" s="38"/>
      <c r="BG571" s="39">
        <v>1</v>
      </c>
      <c r="BH571" s="38"/>
      <c r="BI571" s="38"/>
      <c r="BJ571" s="38"/>
      <c r="BK571" s="38"/>
      <c r="BL571" s="38"/>
      <c r="BM571" s="38"/>
      <c r="BN571" s="38"/>
      <c r="BO571" s="37">
        <f t="shared" si="44"/>
        <v>1</v>
      </c>
      <c r="BP571" s="56">
        <f t="shared" si="45"/>
        <v>0</v>
      </c>
      <c r="BQ571" s="56">
        <f t="shared" si="46"/>
        <v>0</v>
      </c>
      <c r="BR571" s="57">
        <f t="shared" si="47"/>
        <v>0</v>
      </c>
      <c r="BS571" s="38"/>
      <c r="BT571" s="38"/>
      <c r="BU571" s="26"/>
      <c r="BV571" s="26"/>
      <c r="BW571" s="39">
        <f t="shared" si="48"/>
        <v>1</v>
      </c>
      <c r="BX571" s="78">
        <v>1</v>
      </c>
      <c r="BY571" s="63">
        <v>8</v>
      </c>
      <c r="BZ571" s="7"/>
      <c r="CA571" s="8"/>
      <c r="CB571" s="7"/>
      <c r="CC571" s="7"/>
    </row>
    <row r="572" spans="1:81" ht="16" x14ac:dyDescent="0.2">
      <c r="A572" s="109" t="s">
        <v>325</v>
      </c>
      <c r="B572" s="26">
        <v>37</v>
      </c>
      <c r="C572" s="109" t="s">
        <v>190</v>
      </c>
      <c r="D572" s="38">
        <v>2</v>
      </c>
      <c r="E572" s="38">
        <v>2</v>
      </c>
      <c r="F572" s="38">
        <v>2</v>
      </c>
      <c r="G572" s="38" t="s">
        <v>51</v>
      </c>
      <c r="H572" s="38">
        <v>4</v>
      </c>
      <c r="I572" s="38" t="s">
        <v>51</v>
      </c>
      <c r="J572" s="38"/>
      <c r="K572" s="38">
        <v>6</v>
      </c>
      <c r="L572" s="38">
        <v>6</v>
      </c>
      <c r="M572" s="40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 t="s">
        <v>38</v>
      </c>
      <c r="AH572" s="36">
        <f>10/20</f>
        <v>0.5</v>
      </c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 t="s">
        <v>38</v>
      </c>
      <c r="AZ572" s="36">
        <f>15.5/20</f>
        <v>0.77500000000000002</v>
      </c>
      <c r="BA572" s="36"/>
      <c r="BB572" s="36"/>
      <c r="BC572" s="36" t="s">
        <v>38</v>
      </c>
      <c r="BD572" s="36">
        <f>12/20</f>
        <v>0.6</v>
      </c>
      <c r="BE572" s="38"/>
      <c r="BF572" s="38"/>
      <c r="BG572" s="39">
        <v>1</v>
      </c>
      <c r="BH572" s="38">
        <v>2</v>
      </c>
      <c r="BI572" s="38"/>
      <c r="BJ572" s="38"/>
      <c r="BK572" s="38"/>
      <c r="BL572" s="38"/>
      <c r="BM572" s="38"/>
      <c r="BN572" s="38"/>
      <c r="BO572" s="37">
        <f t="shared" si="44"/>
        <v>1</v>
      </c>
      <c r="BP572" s="56">
        <f t="shared" si="45"/>
        <v>2</v>
      </c>
      <c r="BQ572" s="56">
        <f t="shared" si="46"/>
        <v>0</v>
      </c>
      <c r="BR572" s="57">
        <f t="shared" si="47"/>
        <v>0</v>
      </c>
      <c r="BS572" s="38"/>
      <c r="BT572" s="38"/>
      <c r="BU572" s="26"/>
      <c r="BV572" s="26"/>
      <c r="BW572" s="39">
        <f t="shared" si="48"/>
        <v>3</v>
      </c>
      <c r="BX572" s="78">
        <v>2</v>
      </c>
      <c r="BY572" s="63">
        <v>1</v>
      </c>
      <c r="BZ572" s="7"/>
      <c r="CA572" s="8"/>
      <c r="CB572" s="7"/>
      <c r="CC572" s="7"/>
    </row>
    <row r="573" spans="1:81" ht="16" x14ac:dyDescent="0.2">
      <c r="A573" s="109" t="s">
        <v>325</v>
      </c>
      <c r="B573" s="26">
        <v>37</v>
      </c>
      <c r="C573" s="109" t="s">
        <v>190</v>
      </c>
      <c r="D573" s="38">
        <v>3</v>
      </c>
      <c r="E573" s="38">
        <v>2</v>
      </c>
      <c r="F573" s="38">
        <v>2</v>
      </c>
      <c r="G573" s="38" t="s">
        <v>51</v>
      </c>
      <c r="H573" s="38">
        <v>4</v>
      </c>
      <c r="I573" s="38" t="s">
        <v>51</v>
      </c>
      <c r="J573" s="38" t="s">
        <v>64</v>
      </c>
      <c r="K573" s="38"/>
      <c r="L573" s="38">
        <v>6</v>
      </c>
      <c r="M573" s="40"/>
      <c r="N573" s="36"/>
      <c r="O573" s="36"/>
      <c r="P573" s="36"/>
      <c r="Q573" s="36" t="s">
        <v>38</v>
      </c>
      <c r="R573" s="36">
        <f>15.5/16</f>
        <v>0.96875</v>
      </c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8"/>
      <c r="BF573" s="38"/>
      <c r="BG573" s="39">
        <v>1</v>
      </c>
      <c r="BH573" s="38"/>
      <c r="BI573" s="38"/>
      <c r="BJ573" s="38"/>
      <c r="BK573" s="38"/>
      <c r="BL573" s="38"/>
      <c r="BM573" s="38"/>
      <c r="BN573" s="38"/>
      <c r="BO573" s="37">
        <f t="shared" ref="BO573:BO636" si="49">BG573+BI573+BU573</f>
        <v>1</v>
      </c>
      <c r="BP573" s="56">
        <f t="shared" ref="BP573:BP636" si="50">BH573+BJ573</f>
        <v>0</v>
      </c>
      <c r="BQ573" s="56">
        <f t="shared" ref="BQ573:BQ636" si="51">BK573+BM573+BV573+BS573</f>
        <v>0</v>
      </c>
      <c r="BR573" s="57">
        <f t="shared" ref="BR573:BR636" si="52">BL573+BN573+BT573</f>
        <v>0</v>
      </c>
      <c r="BS573" s="38"/>
      <c r="BT573" s="38"/>
      <c r="BU573" s="26"/>
      <c r="BV573" s="26"/>
      <c r="BW573" s="39">
        <f t="shared" ref="BW573:BW636" si="53">SUM(BO573:BR573)</f>
        <v>1</v>
      </c>
      <c r="BX573" s="78">
        <v>1</v>
      </c>
      <c r="BY573" s="63">
        <v>6</v>
      </c>
      <c r="BZ573" s="7"/>
      <c r="CA573" s="8"/>
      <c r="CB573" s="7"/>
      <c r="CC573" s="7"/>
    </row>
    <row r="574" spans="1:81" ht="16" x14ac:dyDescent="0.2">
      <c r="A574" s="109" t="s">
        <v>325</v>
      </c>
      <c r="B574" s="26">
        <v>37</v>
      </c>
      <c r="C574" s="109" t="s">
        <v>190</v>
      </c>
      <c r="D574" s="38">
        <v>6</v>
      </c>
      <c r="E574" s="38">
        <v>2</v>
      </c>
      <c r="F574" s="38" t="s">
        <v>53</v>
      </c>
      <c r="G574" s="38" t="s">
        <v>56</v>
      </c>
      <c r="H574" s="38"/>
      <c r="I574" s="38"/>
      <c r="J574" s="38" t="s">
        <v>60</v>
      </c>
      <c r="K574" s="38"/>
      <c r="L574" s="38">
        <v>6</v>
      </c>
      <c r="M574" s="40"/>
      <c r="N574" s="36"/>
      <c r="O574" s="36"/>
      <c r="P574" s="36"/>
      <c r="Q574" s="36"/>
      <c r="R574" s="36"/>
      <c r="S574" s="36" t="s">
        <v>40</v>
      </c>
      <c r="T574" s="36">
        <f>8.5/16</f>
        <v>0.53125</v>
      </c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8"/>
      <c r="BF574" s="38"/>
      <c r="BG574" s="39"/>
      <c r="BH574" s="38"/>
      <c r="BI574" s="38"/>
      <c r="BJ574" s="38"/>
      <c r="BK574" s="38"/>
      <c r="BL574" s="38"/>
      <c r="BM574" s="38"/>
      <c r="BN574" s="38">
        <v>1</v>
      </c>
      <c r="BO574" s="37">
        <f t="shared" si="49"/>
        <v>0</v>
      </c>
      <c r="BP574" s="56">
        <f t="shared" si="50"/>
        <v>0</v>
      </c>
      <c r="BQ574" s="56">
        <f t="shared" si="51"/>
        <v>0</v>
      </c>
      <c r="BR574" s="57">
        <f t="shared" si="52"/>
        <v>1</v>
      </c>
      <c r="BS574" s="38"/>
      <c r="BT574" s="38"/>
      <c r="BU574" s="26"/>
      <c r="BV574" s="26"/>
      <c r="BW574" s="39">
        <f t="shared" si="53"/>
        <v>1</v>
      </c>
      <c r="BX574" s="78">
        <v>4</v>
      </c>
      <c r="BY574" s="63">
        <v>7</v>
      </c>
      <c r="BZ574" s="7"/>
      <c r="CA574" s="8"/>
      <c r="CB574" s="7"/>
      <c r="CC574" s="7"/>
    </row>
    <row r="575" spans="1:81" ht="16" x14ac:dyDescent="0.2">
      <c r="A575" s="109" t="s">
        <v>325</v>
      </c>
      <c r="B575" s="26">
        <v>37</v>
      </c>
      <c r="C575" s="109" t="s">
        <v>190</v>
      </c>
      <c r="D575" s="38">
        <v>7</v>
      </c>
      <c r="E575" s="38">
        <v>2</v>
      </c>
      <c r="F575" s="38">
        <v>1</v>
      </c>
      <c r="G575" s="38" t="s">
        <v>54</v>
      </c>
      <c r="H575" s="38">
        <v>2</v>
      </c>
      <c r="I575" s="38" t="s">
        <v>51</v>
      </c>
      <c r="J575" s="38"/>
      <c r="K575" s="38" t="s">
        <v>63</v>
      </c>
      <c r="L575" s="38">
        <v>6</v>
      </c>
      <c r="M575" s="40" t="s">
        <v>40</v>
      </c>
      <c r="N575" s="36">
        <f>6/7.5</f>
        <v>0.8</v>
      </c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8"/>
      <c r="BF575" s="38"/>
      <c r="BG575" s="39"/>
      <c r="BH575" s="38"/>
      <c r="BI575" s="38"/>
      <c r="BJ575" s="38"/>
      <c r="BK575" s="38"/>
      <c r="BL575" s="38"/>
      <c r="BM575" s="38">
        <v>1</v>
      </c>
      <c r="BN575" s="38"/>
      <c r="BO575" s="37">
        <f t="shared" si="49"/>
        <v>0</v>
      </c>
      <c r="BP575" s="56">
        <f t="shared" si="50"/>
        <v>0</v>
      </c>
      <c r="BQ575" s="56">
        <f t="shared" si="51"/>
        <v>1</v>
      </c>
      <c r="BR575" s="57">
        <f t="shared" si="52"/>
        <v>0</v>
      </c>
      <c r="BS575" s="38"/>
      <c r="BT575" s="38"/>
      <c r="BU575" s="26"/>
      <c r="BV575" s="26"/>
      <c r="BW575" s="39">
        <f t="shared" si="53"/>
        <v>1</v>
      </c>
      <c r="BX575" s="78">
        <v>4</v>
      </c>
      <c r="BY575" s="63">
        <v>2</v>
      </c>
      <c r="BZ575" s="7"/>
      <c r="CA575" s="8"/>
      <c r="CB575" s="7"/>
      <c r="CC575" s="7"/>
    </row>
    <row r="576" spans="1:81" x14ac:dyDescent="0.2">
      <c r="A576" s="109" t="s">
        <v>325</v>
      </c>
      <c r="B576" s="26">
        <v>37</v>
      </c>
      <c r="C576" s="109" t="s">
        <v>190</v>
      </c>
      <c r="D576" s="38">
        <v>8</v>
      </c>
      <c r="E576" s="38">
        <v>2</v>
      </c>
      <c r="F576" s="38">
        <v>2</v>
      </c>
      <c r="G576" s="38" t="s">
        <v>51</v>
      </c>
      <c r="H576" s="38">
        <v>4</v>
      </c>
      <c r="I576" s="38" t="s">
        <v>51</v>
      </c>
      <c r="J576" s="38" t="s">
        <v>60</v>
      </c>
      <c r="K576" s="38"/>
      <c r="L576" s="38">
        <v>6</v>
      </c>
      <c r="M576" s="40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8"/>
      <c r="BF576" s="38"/>
      <c r="BG576" s="39"/>
      <c r="BH576" s="38"/>
      <c r="BI576" s="38"/>
      <c r="BJ576" s="38"/>
      <c r="BK576" s="38"/>
      <c r="BL576" s="38"/>
      <c r="BM576" s="38"/>
      <c r="BN576" s="38"/>
      <c r="BO576" s="37">
        <f t="shared" si="49"/>
        <v>0</v>
      </c>
      <c r="BP576" s="56">
        <f t="shared" si="50"/>
        <v>0</v>
      </c>
      <c r="BQ576" s="56">
        <f t="shared" si="51"/>
        <v>0</v>
      </c>
      <c r="BR576" s="57">
        <f t="shared" si="52"/>
        <v>0</v>
      </c>
      <c r="BS576" s="38"/>
      <c r="BT576" s="38"/>
      <c r="BU576" s="26"/>
      <c r="BV576" s="26"/>
      <c r="BW576" s="39">
        <f t="shared" si="53"/>
        <v>0</v>
      </c>
      <c r="BX576" s="78">
        <v>0</v>
      </c>
      <c r="BY576" s="63">
        <v>7</v>
      </c>
      <c r="BZ576" s="7"/>
      <c r="CA576" s="8"/>
      <c r="CB576" s="7"/>
      <c r="CC576" s="7"/>
    </row>
    <row r="577" spans="1:81" ht="16" x14ac:dyDescent="0.2">
      <c r="A577" s="109" t="s">
        <v>325</v>
      </c>
      <c r="B577" s="26">
        <v>37</v>
      </c>
      <c r="C577" s="109" t="s">
        <v>190</v>
      </c>
      <c r="D577" s="38">
        <v>9</v>
      </c>
      <c r="E577" s="38">
        <v>2</v>
      </c>
      <c r="F577" s="38">
        <v>2</v>
      </c>
      <c r="G577" s="38" t="s">
        <v>51</v>
      </c>
      <c r="H577" s="38">
        <v>4</v>
      </c>
      <c r="I577" s="38" t="s">
        <v>51</v>
      </c>
      <c r="J577" s="38" t="s">
        <v>60</v>
      </c>
      <c r="K577" s="38"/>
      <c r="L577" s="38">
        <v>6</v>
      </c>
      <c r="M577" s="40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 t="s">
        <v>38</v>
      </c>
      <c r="BD577" s="36">
        <f>17/17</f>
        <v>1</v>
      </c>
      <c r="BE577" s="38"/>
      <c r="BF577" s="38"/>
      <c r="BG577" s="39">
        <v>1</v>
      </c>
      <c r="BH577" s="38"/>
      <c r="BI577" s="38"/>
      <c r="BJ577" s="38"/>
      <c r="BK577" s="38"/>
      <c r="BL577" s="38"/>
      <c r="BM577" s="38"/>
      <c r="BO577" s="37">
        <f t="shared" si="49"/>
        <v>1</v>
      </c>
      <c r="BP577" s="56">
        <f t="shared" si="50"/>
        <v>0</v>
      </c>
      <c r="BQ577" s="56">
        <f t="shared" si="51"/>
        <v>0</v>
      </c>
      <c r="BR577" s="57">
        <f t="shared" si="52"/>
        <v>0</v>
      </c>
      <c r="BS577" s="38"/>
      <c r="BT577" s="38"/>
      <c r="BU577" s="26"/>
      <c r="BV577" s="26"/>
      <c r="BW577" s="39">
        <f t="shared" si="53"/>
        <v>1</v>
      </c>
      <c r="BX577" s="78">
        <v>1</v>
      </c>
      <c r="BY577" s="63">
        <v>7</v>
      </c>
    </row>
    <row r="578" spans="1:81" ht="16" x14ac:dyDescent="0.2">
      <c r="A578" s="109" t="s">
        <v>325</v>
      </c>
      <c r="B578" s="26">
        <v>37</v>
      </c>
      <c r="C578" s="109" t="s">
        <v>190</v>
      </c>
      <c r="D578" s="38">
        <v>10</v>
      </c>
      <c r="E578" s="38">
        <v>2</v>
      </c>
      <c r="F578" s="38">
        <v>2</v>
      </c>
      <c r="G578" s="38" t="s">
        <v>51</v>
      </c>
      <c r="H578" s="38">
        <v>4</v>
      </c>
      <c r="I578" s="38" t="s">
        <v>51</v>
      </c>
      <c r="J578" s="38" t="s">
        <v>41</v>
      </c>
      <c r="K578" s="38"/>
      <c r="L578" s="38">
        <v>5</v>
      </c>
      <c r="M578" s="40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 t="s">
        <v>43</v>
      </c>
      <c r="AH578" s="36">
        <f>7/16</f>
        <v>0.4375</v>
      </c>
      <c r="AI578" s="36" t="s">
        <v>38</v>
      </c>
      <c r="AJ578" s="36">
        <f>5/16</f>
        <v>0.3125</v>
      </c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8"/>
      <c r="BF578" s="38"/>
      <c r="BG578" s="39"/>
      <c r="BH578" s="38">
        <v>1</v>
      </c>
      <c r="BI578" s="38"/>
      <c r="BJ578" s="38"/>
      <c r="BK578" s="38"/>
      <c r="BL578" s="38"/>
      <c r="BM578" s="38"/>
      <c r="BN578" s="38"/>
      <c r="BO578" s="37">
        <f t="shared" si="49"/>
        <v>0</v>
      </c>
      <c r="BP578" s="56">
        <f t="shared" si="50"/>
        <v>1</v>
      </c>
      <c r="BQ578" s="56">
        <f t="shared" si="51"/>
        <v>1</v>
      </c>
      <c r="BR578" s="57">
        <f t="shared" si="52"/>
        <v>0</v>
      </c>
      <c r="BS578" s="38">
        <v>1</v>
      </c>
      <c r="BT578" s="38"/>
      <c r="BU578" s="26"/>
      <c r="BV578" s="26"/>
      <c r="BW578" s="39">
        <f t="shared" si="53"/>
        <v>2</v>
      </c>
      <c r="BX578" s="78">
        <v>4</v>
      </c>
      <c r="BY578" s="63">
        <v>10</v>
      </c>
      <c r="BZ578" s="7"/>
      <c r="CA578" s="8"/>
      <c r="CB578" s="7"/>
      <c r="CC578" s="7"/>
    </row>
    <row r="579" spans="1:81" ht="16" x14ac:dyDescent="0.2">
      <c r="A579" s="109" t="s">
        <v>325</v>
      </c>
      <c r="B579" s="26">
        <v>37</v>
      </c>
      <c r="C579" s="109" t="s">
        <v>190</v>
      </c>
      <c r="D579" s="38">
        <v>11</v>
      </c>
      <c r="E579" s="38">
        <v>2</v>
      </c>
      <c r="F579" s="38">
        <v>4</v>
      </c>
      <c r="G579" s="38" t="s">
        <v>50</v>
      </c>
      <c r="H579" s="38"/>
      <c r="I579" s="38"/>
      <c r="J579" s="38"/>
      <c r="K579" s="38" t="s">
        <v>63</v>
      </c>
      <c r="L579" s="38">
        <v>6</v>
      </c>
      <c r="M579" s="40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 t="s">
        <v>38</v>
      </c>
      <c r="AT579" s="36">
        <f>7/7</f>
        <v>1</v>
      </c>
      <c r="AU579" s="36"/>
      <c r="AV579" s="36"/>
      <c r="AW579" s="36" t="s">
        <v>39</v>
      </c>
      <c r="AX579" s="36">
        <f>6/7</f>
        <v>0.8571428571428571</v>
      </c>
      <c r="AY579" s="36"/>
      <c r="AZ579" s="36"/>
      <c r="BA579" s="36"/>
      <c r="BB579" s="36"/>
      <c r="BC579" s="36"/>
      <c r="BD579" s="36"/>
      <c r="BE579" s="38"/>
      <c r="BF579" s="38"/>
      <c r="BG579" s="39">
        <v>1</v>
      </c>
      <c r="BH579" s="38"/>
      <c r="BI579" s="38">
        <v>1</v>
      </c>
      <c r="BJ579" s="38"/>
      <c r="BK579" s="38"/>
      <c r="BL579" s="38"/>
      <c r="BM579" s="38"/>
      <c r="BN579" s="38"/>
      <c r="BO579" s="37">
        <f t="shared" si="49"/>
        <v>2</v>
      </c>
      <c r="BP579" s="56">
        <f t="shared" si="50"/>
        <v>0</v>
      </c>
      <c r="BQ579" s="56">
        <f t="shared" si="51"/>
        <v>0</v>
      </c>
      <c r="BR579" s="57">
        <f t="shared" si="52"/>
        <v>0</v>
      </c>
      <c r="BS579" s="38"/>
      <c r="BT579" s="38"/>
      <c r="BU579" s="26"/>
      <c r="BV579" s="26"/>
      <c r="BW579" s="39">
        <f t="shared" si="53"/>
        <v>2</v>
      </c>
      <c r="BX579" s="78">
        <v>1</v>
      </c>
      <c r="BY579" s="63">
        <v>2</v>
      </c>
      <c r="BZ579" s="7"/>
      <c r="CA579" s="8"/>
      <c r="CB579" s="7"/>
      <c r="CC579" s="7"/>
    </row>
    <row r="580" spans="1:81" ht="16" x14ac:dyDescent="0.2">
      <c r="A580" s="109" t="s">
        <v>325</v>
      </c>
      <c r="B580" s="26">
        <v>37</v>
      </c>
      <c r="C580" s="109" t="s">
        <v>190</v>
      </c>
      <c r="D580" s="38">
        <v>12</v>
      </c>
      <c r="E580" s="38">
        <v>2</v>
      </c>
      <c r="F580" s="38">
        <v>4</v>
      </c>
      <c r="G580" s="38" t="s">
        <v>50</v>
      </c>
      <c r="H580" s="38"/>
      <c r="I580" s="38"/>
      <c r="J580" s="38"/>
      <c r="K580" s="26" t="s">
        <v>47</v>
      </c>
      <c r="L580" s="38">
        <v>6</v>
      </c>
      <c r="M580" s="40" t="s">
        <v>38</v>
      </c>
      <c r="N580" s="36">
        <f>8/8.5</f>
        <v>0.94117647058823528</v>
      </c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8"/>
      <c r="BF580" s="38"/>
      <c r="BG580" s="39">
        <v>1</v>
      </c>
      <c r="BH580" s="38"/>
      <c r="BI580" s="38"/>
      <c r="BJ580" s="38"/>
      <c r="BK580" s="38"/>
      <c r="BL580" s="38"/>
      <c r="BM580" s="38"/>
      <c r="BN580" s="38"/>
      <c r="BO580" s="37">
        <f t="shared" si="49"/>
        <v>1</v>
      </c>
      <c r="BP580" s="56">
        <f t="shared" si="50"/>
        <v>0</v>
      </c>
      <c r="BQ580" s="56">
        <f t="shared" si="51"/>
        <v>0</v>
      </c>
      <c r="BR580" s="57">
        <f t="shared" si="52"/>
        <v>0</v>
      </c>
      <c r="BS580" s="38"/>
      <c r="BT580" s="38"/>
      <c r="BU580" s="26"/>
      <c r="BV580" s="26"/>
      <c r="BW580" s="39">
        <f t="shared" si="53"/>
        <v>1</v>
      </c>
      <c r="BX580" s="78">
        <v>1</v>
      </c>
      <c r="BY580" s="63">
        <v>3</v>
      </c>
      <c r="BZ580" s="7"/>
      <c r="CA580" s="8"/>
      <c r="CB580" s="7"/>
      <c r="CC580" s="7"/>
    </row>
    <row r="581" spans="1:81" ht="16" x14ac:dyDescent="0.2">
      <c r="A581" s="109" t="s">
        <v>325</v>
      </c>
      <c r="B581" s="26">
        <v>37</v>
      </c>
      <c r="C581" s="109" t="s">
        <v>190</v>
      </c>
      <c r="D581" s="38">
        <v>13</v>
      </c>
      <c r="E581" s="38">
        <v>2</v>
      </c>
      <c r="F581" s="38">
        <v>3</v>
      </c>
      <c r="G581" s="38" t="s">
        <v>56</v>
      </c>
      <c r="H581" s="38"/>
      <c r="I581" s="38"/>
      <c r="J581" s="38"/>
      <c r="K581" s="38" t="s">
        <v>63</v>
      </c>
      <c r="L581" s="38">
        <v>6</v>
      </c>
      <c r="M581" s="40"/>
      <c r="N581" s="36"/>
      <c r="O581" s="36"/>
      <c r="P581" s="36"/>
      <c r="Q581" s="36"/>
      <c r="R581" s="36"/>
      <c r="S581" s="36" t="s">
        <v>38</v>
      </c>
      <c r="T581" s="36">
        <f>2.5/7.5</f>
        <v>0.33333333333333331</v>
      </c>
      <c r="U581" s="36" t="s">
        <v>39</v>
      </c>
      <c r="V581" s="36">
        <v>0.5</v>
      </c>
      <c r="W581" s="36" t="s">
        <v>39</v>
      </c>
      <c r="X581" s="36">
        <f>2.5/7.5</f>
        <v>0.33333333333333331</v>
      </c>
      <c r="Y581" s="36"/>
      <c r="Z581" s="36"/>
      <c r="AA581" s="36"/>
      <c r="AB581" s="36"/>
      <c r="AC581" s="36" t="s">
        <v>38</v>
      </c>
      <c r="AD581" s="36">
        <f>4/7.5</f>
        <v>0.53333333333333333</v>
      </c>
      <c r="AE581" s="36"/>
      <c r="AF581" s="36"/>
      <c r="AG581" s="36" t="s">
        <v>39</v>
      </c>
      <c r="AH581" s="36">
        <f>2.5/7.5</f>
        <v>0.33333333333333331</v>
      </c>
      <c r="AI581" s="36"/>
      <c r="AJ581" s="36"/>
      <c r="AK581" s="36"/>
      <c r="AL581" s="36"/>
      <c r="AM581" s="36"/>
      <c r="AN581" s="36"/>
      <c r="AO581" s="36" t="s">
        <v>39</v>
      </c>
      <c r="AP581" s="36">
        <f>4/7.5</f>
        <v>0.53333333333333333</v>
      </c>
      <c r="AQ581" s="36" t="s">
        <v>39</v>
      </c>
      <c r="AR581" s="36">
        <f>3/7.5</f>
        <v>0.4</v>
      </c>
      <c r="AS581" s="36"/>
      <c r="AT581" s="36"/>
      <c r="AU581" s="36"/>
      <c r="AV581" s="36"/>
      <c r="AW581" s="36"/>
      <c r="AX581" s="36"/>
      <c r="AY581" s="36"/>
      <c r="AZ581" s="36"/>
      <c r="BA581" s="36" t="s">
        <v>39</v>
      </c>
      <c r="BB581" s="36">
        <f>3.5/7.5</f>
        <v>0.46666666666666667</v>
      </c>
      <c r="BC581" s="36"/>
      <c r="BD581" s="36"/>
      <c r="BE581" s="38"/>
      <c r="BF581" s="38"/>
      <c r="BG581" s="39"/>
      <c r="BH581" s="38">
        <v>2</v>
      </c>
      <c r="BI581" s="38"/>
      <c r="BJ581" s="38">
        <v>6</v>
      </c>
      <c r="BK581" s="38"/>
      <c r="BL581" s="38"/>
      <c r="BM581" s="38"/>
      <c r="BO581" s="37">
        <f t="shared" si="49"/>
        <v>0</v>
      </c>
      <c r="BP581" s="56">
        <f t="shared" si="50"/>
        <v>8</v>
      </c>
      <c r="BQ581" s="56">
        <f t="shared" si="51"/>
        <v>0</v>
      </c>
      <c r="BR581" s="57">
        <f t="shared" si="52"/>
        <v>0</v>
      </c>
      <c r="BS581" s="38"/>
      <c r="BT581" s="38"/>
      <c r="BU581" s="26"/>
      <c r="BV581" s="26"/>
      <c r="BW581" s="39">
        <f t="shared" si="53"/>
        <v>8</v>
      </c>
      <c r="BX581" s="78">
        <v>3</v>
      </c>
      <c r="BY581" s="63">
        <v>2</v>
      </c>
    </row>
    <row r="582" spans="1:81" x14ac:dyDescent="0.2">
      <c r="A582" s="109" t="s">
        <v>325</v>
      </c>
      <c r="B582" s="26">
        <v>37</v>
      </c>
      <c r="C582" s="109" t="s">
        <v>190</v>
      </c>
      <c r="D582" s="38">
        <v>14</v>
      </c>
      <c r="E582" s="38">
        <v>2</v>
      </c>
      <c r="F582" s="38">
        <v>2</v>
      </c>
      <c r="G582" s="38" t="s">
        <v>51</v>
      </c>
      <c r="H582" s="38">
        <v>5</v>
      </c>
      <c r="I582" s="38" t="s">
        <v>50</v>
      </c>
      <c r="J582" s="38"/>
      <c r="K582" s="38">
        <v>14</v>
      </c>
      <c r="L582" s="38">
        <v>6</v>
      </c>
      <c r="M582" s="40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8"/>
      <c r="BF582" s="38"/>
      <c r="BG582" s="39"/>
      <c r="BH582" s="38"/>
      <c r="BI582" s="38"/>
      <c r="BJ582" s="38"/>
      <c r="BK582" s="38"/>
      <c r="BL582" s="38"/>
      <c r="BM582" s="38"/>
      <c r="BO582" s="37">
        <f t="shared" si="49"/>
        <v>0</v>
      </c>
      <c r="BP582" s="56">
        <f t="shared" si="50"/>
        <v>0</v>
      </c>
      <c r="BQ582" s="56">
        <f t="shared" si="51"/>
        <v>0</v>
      </c>
      <c r="BR582" s="57">
        <f t="shared" si="52"/>
        <v>0</v>
      </c>
      <c r="BS582" s="38"/>
      <c r="BT582" s="38"/>
      <c r="BU582" s="26"/>
      <c r="BV582" s="26"/>
      <c r="BW582" s="39">
        <f t="shared" si="53"/>
        <v>0</v>
      </c>
      <c r="BX582" s="78">
        <v>0</v>
      </c>
      <c r="BY582" s="63">
        <v>2</v>
      </c>
    </row>
    <row r="583" spans="1:81" ht="16" x14ac:dyDescent="0.2">
      <c r="A583" s="109" t="s">
        <v>325</v>
      </c>
      <c r="B583" s="26">
        <v>37</v>
      </c>
      <c r="C583" s="109" t="s">
        <v>190</v>
      </c>
      <c r="D583" s="38">
        <v>15</v>
      </c>
      <c r="E583" s="38">
        <v>2</v>
      </c>
      <c r="F583" s="38">
        <v>3</v>
      </c>
      <c r="G583" s="38" t="s">
        <v>50</v>
      </c>
      <c r="H583" s="38">
        <v>5</v>
      </c>
      <c r="I583" s="38" t="s">
        <v>51</v>
      </c>
      <c r="J583" s="38"/>
      <c r="K583" s="38" t="s">
        <v>63</v>
      </c>
      <c r="L583" s="38">
        <v>6</v>
      </c>
      <c r="M583" s="40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/>
      <c r="AZ583" s="36"/>
      <c r="BA583" s="36"/>
      <c r="BB583" s="36"/>
      <c r="BC583" s="36" t="s">
        <v>39</v>
      </c>
      <c r="BD583" s="36">
        <f>9/10.5</f>
        <v>0.8571428571428571</v>
      </c>
      <c r="BE583" s="38"/>
      <c r="BF583" s="38"/>
      <c r="BG583" s="39"/>
      <c r="BH583" s="38"/>
      <c r="BI583" s="38">
        <v>1</v>
      </c>
      <c r="BJ583" s="38"/>
      <c r="BK583" s="38"/>
      <c r="BL583" s="38"/>
      <c r="BM583" s="38"/>
      <c r="BO583" s="37">
        <f t="shared" si="49"/>
        <v>1</v>
      </c>
      <c r="BP583" s="56">
        <f t="shared" si="50"/>
        <v>0</v>
      </c>
      <c r="BQ583" s="56">
        <f t="shared" si="51"/>
        <v>0</v>
      </c>
      <c r="BR583" s="57">
        <f t="shared" si="52"/>
        <v>0</v>
      </c>
      <c r="BS583" s="38"/>
      <c r="BT583" s="38"/>
      <c r="BU583" s="26"/>
      <c r="BV583" s="26"/>
      <c r="BW583" s="39">
        <f t="shared" si="53"/>
        <v>1</v>
      </c>
      <c r="BX583" s="78">
        <v>1</v>
      </c>
      <c r="BY583" s="63">
        <v>2</v>
      </c>
    </row>
    <row r="584" spans="1:81" x14ac:dyDescent="0.2">
      <c r="A584" s="109" t="s">
        <v>326</v>
      </c>
      <c r="B584" s="26">
        <v>32</v>
      </c>
      <c r="C584" s="109" t="s">
        <v>191</v>
      </c>
      <c r="D584" s="38">
        <v>1</v>
      </c>
      <c r="E584" s="38">
        <v>2</v>
      </c>
      <c r="F584" s="38">
        <v>3</v>
      </c>
      <c r="G584" s="38" t="s">
        <v>50</v>
      </c>
      <c r="H584" s="38">
        <v>6</v>
      </c>
      <c r="I584" s="38" t="s">
        <v>51</v>
      </c>
      <c r="J584" s="38"/>
      <c r="K584" s="38">
        <v>4</v>
      </c>
      <c r="L584" s="38">
        <v>6</v>
      </c>
      <c r="M584" s="40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8"/>
      <c r="BF584" s="38"/>
      <c r="BG584" s="39"/>
      <c r="BH584" s="38"/>
      <c r="BI584" s="38"/>
      <c r="BJ584" s="38"/>
      <c r="BK584" s="38"/>
      <c r="BL584" s="38"/>
      <c r="BM584" s="38"/>
      <c r="BN584" s="38"/>
      <c r="BO584" s="37">
        <f t="shared" si="49"/>
        <v>0</v>
      </c>
      <c r="BP584" s="56">
        <f t="shared" si="50"/>
        <v>0</v>
      </c>
      <c r="BQ584" s="56">
        <f t="shared" si="51"/>
        <v>0</v>
      </c>
      <c r="BR584" s="57">
        <f t="shared" si="52"/>
        <v>0</v>
      </c>
      <c r="BS584" s="38"/>
      <c r="BT584" s="38"/>
      <c r="BU584" s="26"/>
      <c r="BV584" s="26"/>
      <c r="BW584" s="39">
        <f t="shared" si="53"/>
        <v>0</v>
      </c>
      <c r="BX584" s="78">
        <v>0</v>
      </c>
      <c r="BY584" s="63">
        <v>1</v>
      </c>
      <c r="BZ584" s="7"/>
      <c r="CA584" s="8"/>
      <c r="CB584" s="7"/>
      <c r="CC584" s="7"/>
    </row>
    <row r="585" spans="1:81" ht="16" x14ac:dyDescent="0.2">
      <c r="A585" s="109" t="s">
        <v>326</v>
      </c>
      <c r="B585" s="26">
        <v>32</v>
      </c>
      <c r="C585" s="109" t="s">
        <v>191</v>
      </c>
      <c r="D585" s="38">
        <v>3</v>
      </c>
      <c r="E585" s="38">
        <v>2</v>
      </c>
      <c r="F585" s="38">
        <v>2</v>
      </c>
      <c r="G585" s="38" t="s">
        <v>51</v>
      </c>
      <c r="H585" s="38">
        <v>4</v>
      </c>
      <c r="I585" s="38" t="s">
        <v>51</v>
      </c>
      <c r="J585" s="38" t="s">
        <v>41</v>
      </c>
      <c r="K585" s="38"/>
      <c r="L585" s="38">
        <v>6</v>
      </c>
      <c r="M585" s="40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 t="s">
        <v>38</v>
      </c>
      <c r="AX585" s="36">
        <f>17.5/18</f>
        <v>0.97222222222222221</v>
      </c>
      <c r="AY585" s="36"/>
      <c r="AZ585" s="36"/>
      <c r="BA585" s="36"/>
      <c r="BB585" s="36"/>
      <c r="BC585" s="36"/>
      <c r="BD585" s="36"/>
      <c r="BE585" s="38"/>
      <c r="BF585" s="38"/>
      <c r="BG585" s="39">
        <v>1</v>
      </c>
      <c r="BH585" s="38"/>
      <c r="BI585" s="38"/>
      <c r="BJ585" s="38"/>
      <c r="BK585" s="38"/>
      <c r="BL585" s="38"/>
      <c r="BM585" s="38"/>
      <c r="BO585" s="37">
        <f t="shared" si="49"/>
        <v>1</v>
      </c>
      <c r="BP585" s="56">
        <f t="shared" si="50"/>
        <v>0</v>
      </c>
      <c r="BQ585" s="56">
        <f t="shared" si="51"/>
        <v>0</v>
      </c>
      <c r="BR585" s="57">
        <f t="shared" si="52"/>
        <v>0</v>
      </c>
      <c r="BS585" s="38"/>
      <c r="BT585" s="38"/>
      <c r="BU585" s="26"/>
      <c r="BV585" s="26"/>
      <c r="BW585" s="39">
        <f t="shared" si="53"/>
        <v>1</v>
      </c>
      <c r="BX585" s="78">
        <v>1</v>
      </c>
      <c r="BY585" s="63">
        <v>10</v>
      </c>
    </row>
    <row r="586" spans="1:81" ht="16" x14ac:dyDescent="0.2">
      <c r="A586" s="109" t="s">
        <v>326</v>
      </c>
      <c r="B586" s="26">
        <v>32</v>
      </c>
      <c r="C586" s="109" t="s">
        <v>191</v>
      </c>
      <c r="D586" s="38">
        <v>4</v>
      </c>
      <c r="E586" s="38">
        <v>2</v>
      </c>
      <c r="F586" s="38">
        <v>2</v>
      </c>
      <c r="G586" s="38" t="s">
        <v>51</v>
      </c>
      <c r="H586" s="38">
        <v>4</v>
      </c>
      <c r="I586" s="38" t="s">
        <v>51</v>
      </c>
      <c r="J586" s="38" t="s">
        <v>42</v>
      </c>
      <c r="K586" s="38"/>
      <c r="L586" s="38">
        <v>5</v>
      </c>
      <c r="M586" s="40"/>
      <c r="N586" s="36"/>
      <c r="O586" s="36"/>
      <c r="P586" s="36"/>
      <c r="Q586" s="36"/>
      <c r="R586" s="36"/>
      <c r="S586" s="36" t="s">
        <v>57</v>
      </c>
      <c r="T586" s="36">
        <f>9.5/19</f>
        <v>0.5</v>
      </c>
      <c r="U586" s="36" t="s">
        <v>48</v>
      </c>
      <c r="V586" s="36">
        <f>13.5/19</f>
        <v>0.71052631578947367</v>
      </c>
      <c r="W586" s="36"/>
      <c r="X586" s="36"/>
      <c r="Y586" s="36"/>
      <c r="Z586" s="36"/>
      <c r="AA586" s="36" t="s">
        <v>40</v>
      </c>
      <c r="AB586" s="36">
        <f>12.5/19</f>
        <v>0.65789473684210531</v>
      </c>
      <c r="AC586" s="36" t="s">
        <v>39</v>
      </c>
      <c r="AD586" s="36">
        <f>16/19</f>
        <v>0.84210526315789469</v>
      </c>
      <c r="AE586" s="36"/>
      <c r="AF586" s="36"/>
      <c r="AG586" s="36"/>
      <c r="AH586" s="36"/>
      <c r="AI586" s="36" t="s">
        <v>38</v>
      </c>
      <c r="AJ586" s="36">
        <f>7.5/19</f>
        <v>0.39473684210526316</v>
      </c>
      <c r="AK586" s="36"/>
      <c r="AL586" s="36"/>
      <c r="AM586" s="36"/>
      <c r="AN586" s="36"/>
      <c r="AO586" s="36"/>
      <c r="AP586" s="36"/>
      <c r="AQ586" s="36"/>
      <c r="AR586" s="36"/>
      <c r="AS586" s="36" t="s">
        <v>38</v>
      </c>
      <c r="AT586" s="36">
        <f>8/19</f>
        <v>0.42105263157894735</v>
      </c>
      <c r="AU586" s="36"/>
      <c r="AV586" s="36"/>
      <c r="AW586" s="36" t="s">
        <v>38</v>
      </c>
      <c r="AX586" s="36">
        <f>10/19</f>
        <v>0.52631578947368418</v>
      </c>
      <c r="AY586" s="36"/>
      <c r="AZ586" s="36"/>
      <c r="BA586" s="36"/>
      <c r="BB586" s="36"/>
      <c r="BC586" s="36"/>
      <c r="BD586" s="36"/>
      <c r="BE586" s="38"/>
      <c r="BF586" s="38"/>
      <c r="BG586" s="39"/>
      <c r="BH586" s="38">
        <v>3</v>
      </c>
      <c r="BI586" s="38">
        <v>1</v>
      </c>
      <c r="BJ586" s="38"/>
      <c r="BK586" s="38">
        <v>1</v>
      </c>
      <c r="BL586" s="38"/>
      <c r="BM586" s="38"/>
      <c r="BN586" s="38">
        <v>2</v>
      </c>
      <c r="BO586" s="37">
        <f t="shared" si="49"/>
        <v>1</v>
      </c>
      <c r="BP586" s="56">
        <f t="shared" si="50"/>
        <v>3</v>
      </c>
      <c r="BQ586" s="56">
        <f t="shared" si="51"/>
        <v>1</v>
      </c>
      <c r="BR586" s="57">
        <f t="shared" si="52"/>
        <v>2</v>
      </c>
      <c r="BS586" s="38"/>
      <c r="BT586" s="38"/>
      <c r="BU586" s="26"/>
      <c r="BV586" s="26"/>
      <c r="BW586" s="39">
        <f t="shared" si="53"/>
        <v>7</v>
      </c>
      <c r="BX586" s="78">
        <v>2</v>
      </c>
      <c r="BY586" s="63">
        <v>8</v>
      </c>
      <c r="BZ586" s="7"/>
      <c r="CA586" s="8"/>
      <c r="CB586" s="7"/>
      <c r="CC586" s="7"/>
    </row>
    <row r="587" spans="1:81" ht="16" x14ac:dyDescent="0.2">
      <c r="A587" s="109" t="s">
        <v>326</v>
      </c>
      <c r="B587" s="26">
        <v>32</v>
      </c>
      <c r="C587" s="109" t="s">
        <v>191</v>
      </c>
      <c r="D587" s="38">
        <v>5</v>
      </c>
      <c r="E587" s="38">
        <v>2</v>
      </c>
      <c r="F587" s="38">
        <v>2</v>
      </c>
      <c r="G587" s="38" t="s">
        <v>51</v>
      </c>
      <c r="H587" s="38">
        <v>4</v>
      </c>
      <c r="I587" s="38" t="s">
        <v>51</v>
      </c>
      <c r="J587" s="38" t="s">
        <v>42</v>
      </c>
      <c r="K587" s="38"/>
      <c r="L587" s="38">
        <v>6</v>
      </c>
      <c r="M587" s="40"/>
      <c r="N587" s="36"/>
      <c r="O587" s="36" t="s">
        <v>39</v>
      </c>
      <c r="P587" s="36">
        <f>8.5/19</f>
        <v>0.44736842105263158</v>
      </c>
      <c r="Q587" s="36" t="s">
        <v>39</v>
      </c>
      <c r="R587" s="36">
        <f>7/19</f>
        <v>0.36842105263157893</v>
      </c>
      <c r="S587" s="36" t="s">
        <v>38</v>
      </c>
      <c r="T587" s="36">
        <f>7/19</f>
        <v>0.36842105263157893</v>
      </c>
      <c r="U587" s="36" t="s">
        <v>38</v>
      </c>
      <c r="V587" s="36">
        <f>6/19</f>
        <v>0.31578947368421051</v>
      </c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 t="s">
        <v>38</v>
      </c>
      <c r="AV587" s="36">
        <f>6/19</f>
        <v>0.31578947368421051</v>
      </c>
      <c r="AW587" s="36" t="s">
        <v>40</v>
      </c>
      <c r="AX587" s="36">
        <f>14/19</f>
        <v>0.73684210526315785</v>
      </c>
      <c r="AY587" s="36"/>
      <c r="AZ587" s="36"/>
      <c r="BA587" s="36"/>
      <c r="BB587" s="36"/>
      <c r="BC587" s="36"/>
      <c r="BD587" s="36"/>
      <c r="BE587" s="38"/>
      <c r="BF587" s="38"/>
      <c r="BG587" s="39"/>
      <c r="BH587" s="38">
        <v>3</v>
      </c>
      <c r="BI587" s="38"/>
      <c r="BJ587" s="38">
        <v>2</v>
      </c>
      <c r="BK587" s="38"/>
      <c r="BL587" s="38"/>
      <c r="BM587" s="38">
        <v>1</v>
      </c>
      <c r="BN587" s="38"/>
      <c r="BO587" s="37">
        <f t="shared" si="49"/>
        <v>0</v>
      </c>
      <c r="BP587" s="56">
        <f t="shared" si="50"/>
        <v>5</v>
      </c>
      <c r="BQ587" s="56">
        <f t="shared" si="51"/>
        <v>1</v>
      </c>
      <c r="BR587" s="57">
        <f t="shared" si="52"/>
        <v>0</v>
      </c>
      <c r="BS587" s="38"/>
      <c r="BT587" s="38"/>
      <c r="BU587" s="26"/>
      <c r="BV587" s="26"/>
      <c r="BW587" s="39">
        <f t="shared" si="53"/>
        <v>6</v>
      </c>
      <c r="BX587" s="78">
        <v>4</v>
      </c>
      <c r="BY587" s="64">
        <v>8</v>
      </c>
      <c r="BZ587" s="17"/>
      <c r="CA587" s="8"/>
      <c r="CB587" s="7"/>
      <c r="CC587" s="7"/>
    </row>
    <row r="588" spans="1:81" x14ac:dyDescent="0.2">
      <c r="A588" s="109" t="s">
        <v>326</v>
      </c>
      <c r="B588" s="26">
        <v>32</v>
      </c>
      <c r="C588" s="109" t="s">
        <v>191</v>
      </c>
      <c r="D588" s="38">
        <v>6</v>
      </c>
      <c r="E588" s="38">
        <v>2</v>
      </c>
      <c r="F588" s="38">
        <v>2</v>
      </c>
      <c r="G588" s="38" t="s">
        <v>51</v>
      </c>
      <c r="H588" s="38">
        <v>4</v>
      </c>
      <c r="I588" s="38" t="s">
        <v>51</v>
      </c>
      <c r="J588" s="38" t="s">
        <v>41</v>
      </c>
      <c r="K588" s="38"/>
      <c r="L588" s="38">
        <v>5</v>
      </c>
      <c r="M588" s="40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8"/>
      <c r="BF588" s="38"/>
      <c r="BG588" s="39"/>
      <c r="BH588" s="38"/>
      <c r="BI588" s="38"/>
      <c r="BJ588" s="38"/>
      <c r="BK588" s="38"/>
      <c r="BL588" s="38"/>
      <c r="BM588" s="38"/>
      <c r="BN588" s="38"/>
      <c r="BO588" s="37">
        <f t="shared" si="49"/>
        <v>0</v>
      </c>
      <c r="BP588" s="56">
        <f t="shared" si="50"/>
        <v>0</v>
      </c>
      <c r="BQ588" s="56">
        <f t="shared" si="51"/>
        <v>0</v>
      </c>
      <c r="BR588" s="57">
        <f t="shared" si="52"/>
        <v>0</v>
      </c>
      <c r="BS588" s="38"/>
      <c r="BT588" s="38"/>
      <c r="BU588" s="26"/>
      <c r="BV588" s="26"/>
      <c r="BW588" s="39">
        <f t="shared" si="53"/>
        <v>0</v>
      </c>
      <c r="BX588" s="78">
        <v>0</v>
      </c>
      <c r="BY588" s="63">
        <v>10</v>
      </c>
      <c r="BZ588" s="17"/>
      <c r="CA588" s="8"/>
      <c r="CB588" s="7"/>
      <c r="CC588" s="7"/>
    </row>
    <row r="589" spans="1:81" ht="16" x14ac:dyDescent="0.2">
      <c r="A589" s="109" t="s">
        <v>327</v>
      </c>
      <c r="B589" s="26">
        <v>35</v>
      </c>
      <c r="C589" s="109" t="s">
        <v>192</v>
      </c>
      <c r="D589" s="26">
        <v>1</v>
      </c>
      <c r="E589" s="26">
        <v>2</v>
      </c>
      <c r="F589" s="26">
        <v>2</v>
      </c>
      <c r="G589" s="26" t="s">
        <v>51</v>
      </c>
      <c r="H589" s="26">
        <v>4</v>
      </c>
      <c r="I589" s="26" t="s">
        <v>51</v>
      </c>
      <c r="J589" s="26" t="s">
        <v>37</v>
      </c>
      <c r="K589" s="26"/>
      <c r="L589" s="26">
        <v>6</v>
      </c>
      <c r="M589" s="40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 t="s">
        <v>39</v>
      </c>
      <c r="AL589" s="36">
        <v>1</v>
      </c>
      <c r="AM589" s="36"/>
      <c r="AN589" s="36"/>
      <c r="AO589" s="36"/>
      <c r="AP589" s="36"/>
      <c r="AQ589" s="36" t="s">
        <v>39</v>
      </c>
      <c r="AR589" s="36">
        <v>0.89</v>
      </c>
      <c r="AS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G589" s="39"/>
      <c r="BH589" s="38"/>
      <c r="BI589" s="38">
        <v>2</v>
      </c>
      <c r="BJ589" s="38"/>
      <c r="BK589" s="38"/>
      <c r="BL589" s="38"/>
      <c r="BM589" s="38"/>
      <c r="BN589" s="38"/>
      <c r="BO589" s="37">
        <f t="shared" si="49"/>
        <v>2</v>
      </c>
      <c r="BP589" s="56">
        <f t="shared" si="50"/>
        <v>0</v>
      </c>
      <c r="BQ589" s="56">
        <f t="shared" si="51"/>
        <v>0</v>
      </c>
      <c r="BR589" s="57">
        <f t="shared" si="52"/>
        <v>0</v>
      </c>
      <c r="BS589" s="38"/>
      <c r="BT589" s="38"/>
      <c r="BU589" s="26"/>
      <c r="BV589" s="26"/>
      <c r="BW589" s="39">
        <f t="shared" si="53"/>
        <v>2</v>
      </c>
      <c r="BX589" s="78">
        <v>1</v>
      </c>
      <c r="BY589" s="63">
        <v>9</v>
      </c>
      <c r="BZ589" s="7"/>
      <c r="CA589" s="8"/>
      <c r="CB589" s="7"/>
      <c r="CC589" s="7"/>
    </row>
    <row r="590" spans="1:81" x14ac:dyDescent="0.2">
      <c r="A590" s="109" t="s">
        <v>327</v>
      </c>
      <c r="B590" s="26">
        <v>35</v>
      </c>
      <c r="C590" s="109" t="s">
        <v>192</v>
      </c>
      <c r="D590" s="26">
        <v>2</v>
      </c>
      <c r="E590" s="26">
        <v>2</v>
      </c>
      <c r="F590" s="26">
        <v>2</v>
      </c>
      <c r="G590" s="26" t="s">
        <v>51</v>
      </c>
      <c r="H590" s="26">
        <v>4</v>
      </c>
      <c r="I590" s="26" t="s">
        <v>51</v>
      </c>
      <c r="J590" s="26" t="s">
        <v>41</v>
      </c>
      <c r="K590" s="26"/>
      <c r="L590" s="26">
        <v>5</v>
      </c>
      <c r="M590" s="40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G590" s="39"/>
      <c r="BH590" s="38"/>
      <c r="BI590" s="38"/>
      <c r="BJ590" s="38"/>
      <c r="BK590" s="38"/>
      <c r="BL590" s="38"/>
      <c r="BM590" s="38"/>
      <c r="BN590" s="38"/>
      <c r="BO590" s="37">
        <f t="shared" si="49"/>
        <v>0</v>
      </c>
      <c r="BP590" s="56">
        <f t="shared" si="50"/>
        <v>0</v>
      </c>
      <c r="BQ590" s="56">
        <f t="shared" si="51"/>
        <v>0</v>
      </c>
      <c r="BR590" s="57">
        <f t="shared" si="52"/>
        <v>0</v>
      </c>
      <c r="BS590" s="38"/>
      <c r="BT590" s="38"/>
      <c r="BU590" s="26"/>
      <c r="BV590" s="26"/>
      <c r="BW590" s="39">
        <f t="shared" si="53"/>
        <v>0</v>
      </c>
      <c r="BX590" s="78">
        <v>0</v>
      </c>
      <c r="BY590" s="63">
        <v>10</v>
      </c>
      <c r="BZ590" s="7"/>
      <c r="CA590" s="8"/>
      <c r="CB590" s="7"/>
      <c r="CC590" s="7"/>
    </row>
    <row r="591" spans="1:81" ht="16" x14ac:dyDescent="0.2">
      <c r="A591" s="109" t="s">
        <v>327</v>
      </c>
      <c r="B591" s="26">
        <v>35</v>
      </c>
      <c r="C591" s="109" t="s">
        <v>192</v>
      </c>
      <c r="D591" s="26">
        <v>3</v>
      </c>
      <c r="E591" s="26">
        <v>2</v>
      </c>
      <c r="F591" s="26">
        <v>2</v>
      </c>
      <c r="G591" s="26" t="s">
        <v>51</v>
      </c>
      <c r="H591" s="26">
        <v>4</v>
      </c>
      <c r="I591" s="26" t="s">
        <v>51</v>
      </c>
      <c r="J591" s="26" t="s">
        <v>41</v>
      </c>
      <c r="K591" s="26"/>
      <c r="L591" s="26">
        <v>5</v>
      </c>
      <c r="M591" s="40"/>
      <c r="N591" s="36"/>
      <c r="O591" s="36" t="s">
        <v>57</v>
      </c>
      <c r="P591" s="36">
        <v>0.56999999999999995</v>
      </c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 t="s">
        <v>39</v>
      </c>
      <c r="AD591" s="36">
        <v>1</v>
      </c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G591" s="39"/>
      <c r="BH591" s="38"/>
      <c r="BI591" s="38">
        <v>1</v>
      </c>
      <c r="BJ591" s="38"/>
      <c r="BK591" s="38"/>
      <c r="BL591" s="38"/>
      <c r="BM591" s="38"/>
      <c r="BN591" s="38">
        <v>1</v>
      </c>
      <c r="BO591" s="37">
        <f t="shared" si="49"/>
        <v>1</v>
      </c>
      <c r="BP591" s="56">
        <f t="shared" si="50"/>
        <v>0</v>
      </c>
      <c r="BQ591" s="56">
        <f t="shared" si="51"/>
        <v>0</v>
      </c>
      <c r="BR591" s="57">
        <f t="shared" si="52"/>
        <v>1</v>
      </c>
      <c r="BS591" s="38"/>
      <c r="BT591" s="38"/>
      <c r="BU591" s="26"/>
      <c r="BV591" s="26"/>
      <c r="BW591" s="39">
        <f t="shared" si="53"/>
        <v>2</v>
      </c>
      <c r="BX591" s="78">
        <v>2</v>
      </c>
      <c r="BY591" s="63">
        <v>10</v>
      </c>
      <c r="BZ591" s="7"/>
      <c r="CA591" s="8"/>
      <c r="CB591" s="7"/>
      <c r="CC591" s="7"/>
    </row>
    <row r="592" spans="1:81" ht="16" x14ac:dyDescent="0.2">
      <c r="A592" s="109" t="s">
        <v>327</v>
      </c>
      <c r="B592" s="26">
        <v>35</v>
      </c>
      <c r="C592" s="109" t="s">
        <v>192</v>
      </c>
      <c r="D592" s="26">
        <v>4</v>
      </c>
      <c r="E592" s="26">
        <v>2</v>
      </c>
      <c r="F592" s="26">
        <v>2</v>
      </c>
      <c r="G592" s="26" t="s">
        <v>51</v>
      </c>
      <c r="H592" s="26">
        <v>5</v>
      </c>
      <c r="I592" s="26" t="s">
        <v>56</v>
      </c>
      <c r="J592" s="26"/>
      <c r="K592" s="26" t="s">
        <v>47</v>
      </c>
      <c r="L592" s="26">
        <v>6</v>
      </c>
      <c r="M592" s="40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 t="s">
        <v>38</v>
      </c>
      <c r="AR592" s="36">
        <v>1</v>
      </c>
      <c r="AS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G592" s="39">
        <v>1</v>
      </c>
      <c r="BH592" s="38"/>
      <c r="BI592" s="38"/>
      <c r="BJ592" s="38"/>
      <c r="BK592" s="38"/>
      <c r="BL592" s="38"/>
      <c r="BM592" s="38"/>
      <c r="BN592" s="38"/>
      <c r="BO592" s="37">
        <f t="shared" si="49"/>
        <v>1</v>
      </c>
      <c r="BP592" s="56">
        <f t="shared" si="50"/>
        <v>0</v>
      </c>
      <c r="BQ592" s="56">
        <f t="shared" si="51"/>
        <v>0</v>
      </c>
      <c r="BR592" s="57">
        <f t="shared" si="52"/>
        <v>0</v>
      </c>
      <c r="BS592" s="38"/>
      <c r="BT592" s="38"/>
      <c r="BU592" s="26"/>
      <c r="BV592" s="26"/>
      <c r="BW592" s="39">
        <f t="shared" si="53"/>
        <v>1</v>
      </c>
      <c r="BX592" s="78">
        <v>1</v>
      </c>
      <c r="BY592" s="63">
        <v>3</v>
      </c>
      <c r="BZ592" s="7"/>
      <c r="CA592" s="8"/>
      <c r="CB592" s="7"/>
      <c r="CC592" s="7"/>
    </row>
    <row r="593" spans="1:81" ht="16" x14ac:dyDescent="0.2">
      <c r="A593" s="109" t="s">
        <v>328</v>
      </c>
      <c r="B593" s="26">
        <v>40</v>
      </c>
      <c r="C593" s="109" t="s">
        <v>193</v>
      </c>
      <c r="D593" s="38">
        <v>2</v>
      </c>
      <c r="E593" s="38">
        <v>2</v>
      </c>
      <c r="F593" s="38">
        <v>2</v>
      </c>
      <c r="G593" s="38" t="s">
        <v>51</v>
      </c>
      <c r="H593" s="38">
        <v>4</v>
      </c>
      <c r="I593" s="38" t="s">
        <v>51</v>
      </c>
      <c r="J593" s="38" t="s">
        <v>37</v>
      </c>
      <c r="K593" s="38"/>
      <c r="L593" s="38">
        <v>6</v>
      </c>
      <c r="M593" s="40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 t="s">
        <v>39</v>
      </c>
      <c r="AV593" s="36">
        <f>7/16</f>
        <v>0.4375</v>
      </c>
      <c r="AW593" s="36"/>
      <c r="AX593" s="36"/>
      <c r="AY593" s="36" t="s">
        <v>39</v>
      </c>
      <c r="AZ593" s="36">
        <f>16/16</f>
        <v>1</v>
      </c>
      <c r="BA593" s="36" t="s">
        <v>39</v>
      </c>
      <c r="BB593" s="36">
        <f>15/16</f>
        <v>0.9375</v>
      </c>
      <c r="BC593" s="36"/>
      <c r="BD593" s="36"/>
      <c r="BE593" s="38"/>
      <c r="BF593" s="38"/>
      <c r="BG593" s="43"/>
      <c r="BI593" s="41">
        <v>2</v>
      </c>
      <c r="BJ593" s="41">
        <v>1</v>
      </c>
      <c r="BO593" s="37">
        <f t="shared" si="49"/>
        <v>2</v>
      </c>
      <c r="BP593" s="56">
        <f t="shared" si="50"/>
        <v>1</v>
      </c>
      <c r="BQ593" s="56">
        <f t="shared" si="51"/>
        <v>0</v>
      </c>
      <c r="BR593" s="57">
        <f t="shared" si="52"/>
        <v>0</v>
      </c>
      <c r="BS593" s="38"/>
      <c r="BT593" s="38"/>
      <c r="BU593" s="26"/>
      <c r="BV593" s="26"/>
      <c r="BW593" s="39">
        <f t="shared" si="53"/>
        <v>3</v>
      </c>
      <c r="BX593" s="78">
        <v>2</v>
      </c>
      <c r="BY593" s="63">
        <v>9</v>
      </c>
      <c r="BZ593" s="7"/>
      <c r="CA593" s="8"/>
      <c r="CB593" s="7"/>
      <c r="CC593" s="7"/>
    </row>
    <row r="594" spans="1:81" ht="16" x14ac:dyDescent="0.2">
      <c r="A594" s="109" t="s">
        <v>328</v>
      </c>
      <c r="B594" s="26">
        <v>40</v>
      </c>
      <c r="C594" s="109" t="s">
        <v>193</v>
      </c>
      <c r="D594" s="38">
        <v>3</v>
      </c>
      <c r="E594" s="38">
        <v>2</v>
      </c>
      <c r="F594" s="38">
        <v>3</v>
      </c>
      <c r="G594" s="38" t="s">
        <v>50</v>
      </c>
      <c r="H594" s="38">
        <v>6</v>
      </c>
      <c r="I594" s="38" t="s">
        <v>56</v>
      </c>
      <c r="J594" s="38" t="s">
        <v>60</v>
      </c>
      <c r="K594" s="38"/>
      <c r="L594" s="38">
        <v>6</v>
      </c>
      <c r="M594" s="40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 t="s">
        <v>39</v>
      </c>
      <c r="AB594" s="36">
        <f>14/16</f>
        <v>0.875</v>
      </c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 t="s">
        <v>39</v>
      </c>
      <c r="AV594" s="36">
        <f>16/16</f>
        <v>1</v>
      </c>
      <c r="AW594" s="36"/>
      <c r="AX594" s="36"/>
      <c r="AY594" s="36"/>
      <c r="AZ594" s="36"/>
      <c r="BA594" s="36"/>
      <c r="BB594" s="36"/>
      <c r="BC594" s="36"/>
      <c r="BD594" s="36"/>
      <c r="BE594" s="38"/>
      <c r="BF594" s="38"/>
      <c r="BG594" s="43"/>
      <c r="BI594" s="41">
        <v>2</v>
      </c>
      <c r="BO594" s="37">
        <f t="shared" si="49"/>
        <v>2</v>
      </c>
      <c r="BP594" s="56">
        <f t="shared" si="50"/>
        <v>0</v>
      </c>
      <c r="BQ594" s="56">
        <f t="shared" si="51"/>
        <v>0</v>
      </c>
      <c r="BR594" s="57">
        <f t="shared" si="52"/>
        <v>0</v>
      </c>
      <c r="BS594" s="38"/>
      <c r="BT594" s="38"/>
      <c r="BU594" s="26"/>
      <c r="BV594" s="26"/>
      <c r="BW594" s="39">
        <f t="shared" si="53"/>
        <v>2</v>
      </c>
      <c r="BX594" s="78">
        <v>1</v>
      </c>
      <c r="BY594" s="63">
        <v>7</v>
      </c>
      <c r="BZ594" s="7"/>
      <c r="CA594" s="19"/>
      <c r="CB594" s="7"/>
      <c r="CC594" s="7"/>
    </row>
    <row r="595" spans="1:81" x14ac:dyDescent="0.2">
      <c r="A595" s="109" t="s">
        <v>328</v>
      </c>
      <c r="B595" s="26">
        <v>40</v>
      </c>
      <c r="C595" s="109" t="s">
        <v>193</v>
      </c>
      <c r="D595" s="38">
        <v>4</v>
      </c>
      <c r="E595" s="38">
        <v>2</v>
      </c>
      <c r="F595" s="38">
        <v>2</v>
      </c>
      <c r="G595" s="38" t="s">
        <v>51</v>
      </c>
      <c r="H595" s="38">
        <v>4</v>
      </c>
      <c r="I595" s="38" t="s">
        <v>51</v>
      </c>
      <c r="J595" s="38" t="s">
        <v>41</v>
      </c>
      <c r="K595" s="38"/>
      <c r="L595" s="38">
        <v>5</v>
      </c>
      <c r="M595" s="40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8" t="s">
        <v>39</v>
      </c>
      <c r="BF595" s="38" t="s">
        <v>46</v>
      </c>
      <c r="BG595" s="37"/>
      <c r="BH595" s="26"/>
      <c r="BI595" s="26"/>
      <c r="BJ595" s="26"/>
      <c r="BK595" s="26"/>
      <c r="BL595" s="26"/>
      <c r="BM595" s="26"/>
      <c r="BN595" s="26"/>
      <c r="BO595" s="37">
        <f t="shared" si="49"/>
        <v>1</v>
      </c>
      <c r="BP595" s="56">
        <f t="shared" si="50"/>
        <v>0</v>
      </c>
      <c r="BQ595" s="56">
        <f t="shared" si="51"/>
        <v>0</v>
      </c>
      <c r="BR595" s="57">
        <f t="shared" si="52"/>
        <v>0</v>
      </c>
      <c r="BS595" s="38"/>
      <c r="BT595" s="38"/>
      <c r="BU595" s="26">
        <v>1</v>
      </c>
      <c r="BV595" s="26"/>
      <c r="BW595" s="39">
        <f t="shared" si="53"/>
        <v>1</v>
      </c>
      <c r="BX595" s="78">
        <v>1</v>
      </c>
      <c r="BY595" s="63">
        <v>10</v>
      </c>
      <c r="BZ595" s="7"/>
      <c r="CA595" s="8"/>
      <c r="CB595" s="7"/>
      <c r="CC595" s="7"/>
    </row>
    <row r="596" spans="1:81" ht="16" x14ac:dyDescent="0.2">
      <c r="A596" s="109" t="s">
        <v>328</v>
      </c>
      <c r="B596" s="26">
        <v>40</v>
      </c>
      <c r="C596" s="109" t="s">
        <v>193</v>
      </c>
      <c r="D596" s="38">
        <v>5</v>
      </c>
      <c r="E596" s="38">
        <v>2</v>
      </c>
      <c r="F596" s="38">
        <v>2</v>
      </c>
      <c r="G596" s="38" t="s">
        <v>51</v>
      </c>
      <c r="H596" s="38">
        <v>4</v>
      </c>
      <c r="I596" s="38" t="s">
        <v>51</v>
      </c>
      <c r="J596" s="38" t="s">
        <v>41</v>
      </c>
      <c r="K596" s="38"/>
      <c r="L596" s="38">
        <v>6</v>
      </c>
      <c r="M596" s="40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 t="s">
        <v>39</v>
      </c>
      <c r="AP596" s="36">
        <f>18/16</f>
        <v>1.125</v>
      </c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 t="s">
        <v>38</v>
      </c>
      <c r="BD596" s="36">
        <f>18/16</f>
        <v>1.125</v>
      </c>
      <c r="BE596" s="38"/>
      <c r="BF596" s="38"/>
      <c r="BG596" s="37">
        <v>1</v>
      </c>
      <c r="BH596" s="26"/>
      <c r="BI596" s="26">
        <v>1</v>
      </c>
      <c r="BJ596" s="26"/>
      <c r="BK596" s="26"/>
      <c r="BL596" s="26"/>
      <c r="BM596" s="26"/>
      <c r="BN596" s="26"/>
      <c r="BO596" s="37">
        <f t="shared" si="49"/>
        <v>2</v>
      </c>
      <c r="BP596" s="56">
        <f t="shared" si="50"/>
        <v>0</v>
      </c>
      <c r="BQ596" s="56">
        <f t="shared" si="51"/>
        <v>0</v>
      </c>
      <c r="BR596" s="57">
        <f t="shared" si="52"/>
        <v>0</v>
      </c>
      <c r="BS596" s="38"/>
      <c r="BT596" s="38"/>
      <c r="BU596" s="26"/>
      <c r="BV596" s="26"/>
      <c r="BW596" s="39">
        <f t="shared" si="53"/>
        <v>2</v>
      </c>
      <c r="BX596" s="78">
        <v>1</v>
      </c>
      <c r="BY596" s="63">
        <v>10</v>
      </c>
      <c r="BZ596" s="7"/>
      <c r="CA596" s="8"/>
      <c r="CB596" s="7"/>
      <c r="CC596" s="7"/>
    </row>
    <row r="597" spans="1:81" ht="16" x14ac:dyDescent="0.2">
      <c r="A597" s="109" t="s">
        <v>328</v>
      </c>
      <c r="B597" s="26">
        <v>40</v>
      </c>
      <c r="C597" s="109" t="s">
        <v>193</v>
      </c>
      <c r="D597" s="38">
        <v>7</v>
      </c>
      <c r="E597" s="38">
        <v>2</v>
      </c>
      <c r="F597" s="38">
        <v>2</v>
      </c>
      <c r="G597" s="38" t="s">
        <v>51</v>
      </c>
      <c r="H597" s="38">
        <v>4</v>
      </c>
      <c r="I597" s="38" t="s">
        <v>51</v>
      </c>
      <c r="J597" s="38" t="s">
        <v>41</v>
      </c>
      <c r="K597" s="38"/>
      <c r="L597" s="38">
        <v>5</v>
      </c>
      <c r="M597" s="40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 t="s">
        <v>40</v>
      </c>
      <c r="AJ597" s="36">
        <f>6/16</f>
        <v>0.375</v>
      </c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  <c r="BA597" s="36" t="s">
        <v>39</v>
      </c>
      <c r="BB597" s="36">
        <f>15/16</f>
        <v>0.9375</v>
      </c>
      <c r="BC597" s="36"/>
      <c r="BD597" s="36"/>
      <c r="BE597" s="38"/>
      <c r="BF597" s="38"/>
      <c r="BG597" s="37"/>
      <c r="BH597" s="26"/>
      <c r="BI597" s="26">
        <v>1</v>
      </c>
      <c r="BJ597" s="26"/>
      <c r="BK597" s="26"/>
      <c r="BL597" s="26"/>
      <c r="BM597" s="26"/>
      <c r="BN597" s="26">
        <v>1</v>
      </c>
      <c r="BO597" s="37">
        <f t="shared" si="49"/>
        <v>1</v>
      </c>
      <c r="BP597" s="56">
        <f t="shared" si="50"/>
        <v>0</v>
      </c>
      <c r="BQ597" s="56">
        <f t="shared" si="51"/>
        <v>0</v>
      </c>
      <c r="BR597" s="57">
        <f t="shared" si="52"/>
        <v>1</v>
      </c>
      <c r="BS597" s="38"/>
      <c r="BT597" s="38"/>
      <c r="BU597" s="26"/>
      <c r="BV597" s="26"/>
      <c r="BW597" s="39">
        <f t="shared" si="53"/>
        <v>2</v>
      </c>
      <c r="BX597" s="78">
        <v>2</v>
      </c>
      <c r="BY597" s="63">
        <v>10</v>
      </c>
      <c r="BZ597" s="7"/>
      <c r="CA597" s="8"/>
      <c r="CB597" s="7"/>
      <c r="CC597" s="7"/>
    </row>
    <row r="598" spans="1:81" ht="16" x14ac:dyDescent="0.2">
      <c r="A598" s="109" t="s">
        <v>328</v>
      </c>
      <c r="B598" s="26">
        <v>40</v>
      </c>
      <c r="C598" s="109" t="s">
        <v>193</v>
      </c>
      <c r="D598" s="38">
        <v>8</v>
      </c>
      <c r="E598" s="38">
        <v>2</v>
      </c>
      <c r="F598" s="38">
        <v>2</v>
      </c>
      <c r="G598" s="38" t="s">
        <v>51</v>
      </c>
      <c r="H598" s="38">
        <v>4</v>
      </c>
      <c r="I598" s="38" t="s">
        <v>51</v>
      </c>
      <c r="J598" s="38" t="s">
        <v>41</v>
      </c>
      <c r="K598" s="38"/>
      <c r="L598" s="38">
        <v>5</v>
      </c>
      <c r="M598" s="40" t="s">
        <v>39</v>
      </c>
      <c r="N598" s="36">
        <f>9/16</f>
        <v>0.5625</v>
      </c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 t="s">
        <v>39</v>
      </c>
      <c r="AV598" s="36">
        <f>4.5/16</f>
        <v>0.28125</v>
      </c>
      <c r="AW598" s="36"/>
      <c r="AX598" s="36"/>
      <c r="AY598" s="36"/>
      <c r="AZ598" s="36"/>
      <c r="BA598" s="36"/>
      <c r="BB598" s="36"/>
      <c r="BC598" s="36"/>
      <c r="BD598" s="36"/>
      <c r="BE598" s="38" t="s">
        <v>39</v>
      </c>
      <c r="BF598" s="38" t="s">
        <v>52</v>
      </c>
      <c r="BG598" s="37"/>
      <c r="BH598" s="26"/>
      <c r="BI598" s="26"/>
      <c r="BJ598" s="26">
        <v>1</v>
      </c>
      <c r="BK598" s="26"/>
      <c r="BL598" s="26"/>
      <c r="BM598" s="26"/>
      <c r="BN598" s="26"/>
      <c r="BO598" s="37">
        <f t="shared" si="49"/>
        <v>1</v>
      </c>
      <c r="BP598" s="56">
        <f t="shared" si="50"/>
        <v>1</v>
      </c>
      <c r="BQ598" s="56">
        <f t="shared" si="51"/>
        <v>0</v>
      </c>
      <c r="BR598" s="57">
        <f t="shared" si="52"/>
        <v>0</v>
      </c>
      <c r="BS598" s="38"/>
      <c r="BT598" s="38"/>
      <c r="BU598" s="26">
        <v>1</v>
      </c>
      <c r="BV598" s="26"/>
      <c r="BW598" s="39">
        <f t="shared" si="53"/>
        <v>2</v>
      </c>
      <c r="BX598" s="78">
        <v>2</v>
      </c>
      <c r="BY598" s="63">
        <v>10</v>
      </c>
      <c r="BZ598" s="7"/>
      <c r="CA598" s="8"/>
      <c r="CB598" s="7"/>
      <c r="CC598" s="7"/>
    </row>
    <row r="599" spans="1:81" x14ac:dyDescent="0.2">
      <c r="A599" s="109" t="s">
        <v>328</v>
      </c>
      <c r="B599" s="26">
        <v>40</v>
      </c>
      <c r="C599" s="109" t="s">
        <v>193</v>
      </c>
      <c r="D599" s="38">
        <v>9</v>
      </c>
      <c r="E599" s="38">
        <v>2</v>
      </c>
      <c r="F599" s="38">
        <v>2</v>
      </c>
      <c r="G599" s="38" t="s">
        <v>51</v>
      </c>
      <c r="H599" s="38">
        <v>4</v>
      </c>
      <c r="I599" s="38" t="s">
        <v>51</v>
      </c>
      <c r="J599" s="38" t="s">
        <v>41</v>
      </c>
      <c r="K599" s="38"/>
      <c r="L599" s="38">
        <v>5</v>
      </c>
      <c r="M599" s="40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8"/>
      <c r="BF599" s="38"/>
      <c r="BG599" s="37"/>
      <c r="BH599" s="26"/>
      <c r="BI599" s="26"/>
      <c r="BJ599" s="26"/>
      <c r="BK599" s="26"/>
      <c r="BL599" s="26"/>
      <c r="BM599" s="26"/>
      <c r="BN599" s="26"/>
      <c r="BO599" s="37">
        <f t="shared" si="49"/>
        <v>0</v>
      </c>
      <c r="BP599" s="56">
        <f t="shared" si="50"/>
        <v>0</v>
      </c>
      <c r="BQ599" s="56">
        <f t="shared" si="51"/>
        <v>0</v>
      </c>
      <c r="BR599" s="57">
        <f t="shared" si="52"/>
        <v>0</v>
      </c>
      <c r="BS599" s="38"/>
      <c r="BT599" s="38"/>
      <c r="BU599" s="26"/>
      <c r="BV599" s="26"/>
      <c r="BW599" s="39">
        <f t="shared" si="53"/>
        <v>0</v>
      </c>
      <c r="BX599" s="78">
        <v>0</v>
      </c>
      <c r="BY599" s="63">
        <v>10</v>
      </c>
      <c r="BZ599" s="7"/>
      <c r="CA599" s="8"/>
      <c r="CB599" s="7"/>
      <c r="CC599" s="7"/>
    </row>
    <row r="600" spans="1:81" ht="16" x14ac:dyDescent="0.2">
      <c r="A600" s="109" t="s">
        <v>328</v>
      </c>
      <c r="B600" s="26">
        <v>40</v>
      </c>
      <c r="C600" s="109" t="s">
        <v>193</v>
      </c>
      <c r="D600" s="38">
        <v>10</v>
      </c>
      <c r="E600" s="38">
        <v>2</v>
      </c>
      <c r="F600" s="38">
        <v>2</v>
      </c>
      <c r="G600" s="38" t="s">
        <v>51</v>
      </c>
      <c r="H600" s="38">
        <v>5</v>
      </c>
      <c r="I600" s="38" t="s">
        <v>56</v>
      </c>
      <c r="J600" s="38"/>
      <c r="K600" s="26" t="s">
        <v>47</v>
      </c>
      <c r="L600" s="38">
        <v>6</v>
      </c>
      <c r="M600" s="40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 t="s">
        <v>39</v>
      </c>
      <c r="AH600" s="36">
        <f>14.5/16</f>
        <v>0.90625</v>
      </c>
      <c r="AI600" s="36"/>
      <c r="AJ600" s="36"/>
      <c r="AK600" s="36"/>
      <c r="AL600" s="36"/>
      <c r="AM600" s="36" t="s">
        <v>38</v>
      </c>
      <c r="AN600" s="36">
        <f>14.5/16</f>
        <v>0.90625</v>
      </c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  <c r="BA600" s="36" t="s">
        <v>39</v>
      </c>
      <c r="BB600" s="36">
        <f>16/16</f>
        <v>1</v>
      </c>
      <c r="BC600" s="36" t="s">
        <v>39</v>
      </c>
      <c r="BD600" s="36">
        <f>16/16</f>
        <v>1</v>
      </c>
      <c r="BE600" s="38"/>
      <c r="BF600" s="38"/>
      <c r="BG600" s="39">
        <v>1</v>
      </c>
      <c r="BH600" s="38"/>
      <c r="BI600" s="38">
        <v>3</v>
      </c>
      <c r="BJ600" s="38"/>
      <c r="BK600" s="38"/>
      <c r="BL600" s="38"/>
      <c r="BM600" s="38"/>
      <c r="BN600" s="38"/>
      <c r="BO600" s="37">
        <f t="shared" si="49"/>
        <v>4</v>
      </c>
      <c r="BP600" s="56">
        <f t="shared" si="50"/>
        <v>0</v>
      </c>
      <c r="BQ600" s="56">
        <f t="shared" si="51"/>
        <v>0</v>
      </c>
      <c r="BR600" s="57">
        <f t="shared" si="52"/>
        <v>0</v>
      </c>
      <c r="BS600" s="38"/>
      <c r="BT600" s="38"/>
      <c r="BU600" s="26"/>
      <c r="BV600" s="26"/>
      <c r="BW600" s="39">
        <f t="shared" si="53"/>
        <v>4</v>
      </c>
      <c r="BX600" s="78">
        <v>1</v>
      </c>
      <c r="BY600" s="64">
        <v>3</v>
      </c>
      <c r="BZ600" s="17"/>
      <c r="CA600" s="20"/>
      <c r="CB600" s="7"/>
      <c r="CC600" s="7"/>
    </row>
    <row r="601" spans="1:81" ht="16" x14ac:dyDescent="0.2">
      <c r="A601" s="109" t="s">
        <v>328</v>
      </c>
      <c r="B601" s="26">
        <v>40</v>
      </c>
      <c r="C601" s="109" t="s">
        <v>193</v>
      </c>
      <c r="D601" s="38">
        <v>11</v>
      </c>
      <c r="E601" s="38">
        <v>2</v>
      </c>
      <c r="F601" s="38">
        <v>2</v>
      </c>
      <c r="G601" s="38" t="s">
        <v>51</v>
      </c>
      <c r="H601" s="38">
        <v>4</v>
      </c>
      <c r="I601" s="38" t="s">
        <v>51</v>
      </c>
      <c r="J601" s="38"/>
      <c r="K601" s="26" t="s">
        <v>47</v>
      </c>
      <c r="L601" s="38">
        <v>6</v>
      </c>
      <c r="M601" s="40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  <c r="BA601" s="36" t="s">
        <v>39</v>
      </c>
      <c r="BB601" s="36">
        <f>16.5/16</f>
        <v>1.03125</v>
      </c>
      <c r="BC601" s="36"/>
      <c r="BD601" s="36"/>
      <c r="BE601" s="38"/>
      <c r="BF601" s="38"/>
      <c r="BG601" s="37"/>
      <c r="BH601" s="26"/>
      <c r="BI601" s="26">
        <v>1</v>
      </c>
      <c r="BJ601" s="26"/>
      <c r="BK601" s="26"/>
      <c r="BL601" s="26"/>
      <c r="BM601" s="26"/>
      <c r="BN601" s="26"/>
      <c r="BO601" s="37">
        <f t="shared" si="49"/>
        <v>1</v>
      </c>
      <c r="BP601" s="56">
        <f t="shared" si="50"/>
        <v>0</v>
      </c>
      <c r="BQ601" s="56">
        <f t="shared" si="51"/>
        <v>0</v>
      </c>
      <c r="BR601" s="57">
        <f t="shared" si="52"/>
        <v>0</v>
      </c>
      <c r="BS601" s="38"/>
      <c r="BT601" s="38"/>
      <c r="BU601" s="26"/>
      <c r="BV601" s="26"/>
      <c r="BW601" s="39">
        <f t="shared" si="53"/>
        <v>1</v>
      </c>
      <c r="BX601" s="78">
        <v>1</v>
      </c>
      <c r="BY601" s="63">
        <v>3</v>
      </c>
      <c r="BZ601" s="7"/>
      <c r="CA601" s="8"/>
      <c r="CB601" s="7"/>
      <c r="CC601" s="7"/>
    </row>
    <row r="602" spans="1:81" ht="16" x14ac:dyDescent="0.2">
      <c r="A602" s="109" t="s">
        <v>328</v>
      </c>
      <c r="B602" s="26">
        <v>40</v>
      </c>
      <c r="C602" s="109" t="s">
        <v>193</v>
      </c>
      <c r="D602" s="38">
        <v>12</v>
      </c>
      <c r="E602" s="38">
        <v>2</v>
      </c>
      <c r="F602" s="38">
        <v>2</v>
      </c>
      <c r="G602" s="38" t="s">
        <v>51</v>
      </c>
      <c r="H602" s="38">
        <v>4</v>
      </c>
      <c r="I602" s="38" t="s">
        <v>51</v>
      </c>
      <c r="J602" s="38" t="s">
        <v>41</v>
      </c>
      <c r="K602" s="38"/>
      <c r="L602" s="38">
        <v>5</v>
      </c>
      <c r="M602" s="40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 t="s">
        <v>39</v>
      </c>
      <c r="Z602" s="36">
        <f>3.5/16</f>
        <v>0.21875</v>
      </c>
      <c r="AA602" s="36"/>
      <c r="AB602" s="36"/>
      <c r="AC602" s="36" t="s">
        <v>39</v>
      </c>
      <c r="AD602" s="36">
        <f>15.5/16</f>
        <v>0.96875</v>
      </c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8"/>
      <c r="BF602" s="38"/>
      <c r="BG602" s="37"/>
      <c r="BH602" s="26"/>
      <c r="BI602" s="26">
        <v>1</v>
      </c>
      <c r="BJ602" s="26"/>
      <c r="BK602" s="26"/>
      <c r="BL602" s="26"/>
      <c r="BM602" s="26"/>
      <c r="BN602" s="26"/>
      <c r="BO602" s="37">
        <f t="shared" si="49"/>
        <v>1</v>
      </c>
      <c r="BP602" s="56">
        <f t="shared" si="50"/>
        <v>0</v>
      </c>
      <c r="BQ602" s="56">
        <f t="shared" si="51"/>
        <v>0</v>
      </c>
      <c r="BR602" s="57">
        <f t="shared" si="52"/>
        <v>0</v>
      </c>
      <c r="BS602" s="38"/>
      <c r="BT602" s="38"/>
      <c r="BU602" s="26"/>
      <c r="BV602" s="26"/>
      <c r="BW602" s="39">
        <f t="shared" si="53"/>
        <v>1</v>
      </c>
      <c r="BX602" s="78">
        <v>1</v>
      </c>
      <c r="BY602" s="63">
        <v>10</v>
      </c>
      <c r="BZ602" s="7"/>
      <c r="CA602" s="8"/>
      <c r="CB602" s="7"/>
      <c r="CC602" s="7"/>
    </row>
    <row r="603" spans="1:81" x14ac:dyDescent="0.2">
      <c r="A603" s="109" t="s">
        <v>328</v>
      </c>
      <c r="B603" s="26">
        <v>40</v>
      </c>
      <c r="C603" s="109" t="s">
        <v>193</v>
      </c>
      <c r="D603" s="38">
        <v>13</v>
      </c>
      <c r="E603" s="38">
        <v>2</v>
      </c>
      <c r="F603" s="38">
        <v>2</v>
      </c>
      <c r="G603" s="38" t="s">
        <v>51</v>
      </c>
      <c r="H603" s="38">
        <v>4</v>
      </c>
      <c r="I603" s="38" t="s">
        <v>51</v>
      </c>
      <c r="J603" s="38"/>
      <c r="K603" s="26" t="s">
        <v>47</v>
      </c>
      <c r="L603" s="38">
        <v>6</v>
      </c>
      <c r="M603" s="40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8"/>
      <c r="BF603" s="38"/>
      <c r="BG603" s="37"/>
      <c r="BH603" s="26"/>
      <c r="BI603" s="26"/>
      <c r="BJ603" s="26"/>
      <c r="BK603" s="26"/>
      <c r="BL603" s="26"/>
      <c r="BM603" s="26"/>
      <c r="BN603" s="26"/>
      <c r="BO603" s="37">
        <f t="shared" si="49"/>
        <v>0</v>
      </c>
      <c r="BP603" s="56">
        <f t="shared" si="50"/>
        <v>0</v>
      </c>
      <c r="BQ603" s="56">
        <f t="shared" si="51"/>
        <v>0</v>
      </c>
      <c r="BR603" s="57">
        <f t="shared" si="52"/>
        <v>0</v>
      </c>
      <c r="BS603" s="38"/>
      <c r="BT603" s="38"/>
      <c r="BU603" s="26"/>
      <c r="BV603" s="26"/>
      <c r="BW603" s="39">
        <f t="shared" si="53"/>
        <v>0</v>
      </c>
      <c r="BX603" s="78">
        <v>0</v>
      </c>
      <c r="BY603" s="63">
        <v>3</v>
      </c>
      <c r="BZ603" s="7"/>
      <c r="CA603" s="8"/>
      <c r="CB603" s="7"/>
      <c r="CC603" s="7"/>
    </row>
    <row r="604" spans="1:81" ht="16" x14ac:dyDescent="0.2">
      <c r="A604" s="109" t="s">
        <v>328</v>
      </c>
      <c r="B604" s="26">
        <v>40</v>
      </c>
      <c r="C604" s="109" t="s">
        <v>193</v>
      </c>
      <c r="D604" s="38">
        <v>14</v>
      </c>
      <c r="E604" s="38">
        <v>2</v>
      </c>
      <c r="F604" s="38">
        <v>2</v>
      </c>
      <c r="G604" s="38" t="s">
        <v>51</v>
      </c>
      <c r="H604" s="38">
        <v>4</v>
      </c>
      <c r="I604" s="38" t="s">
        <v>51</v>
      </c>
      <c r="J604" s="38" t="s">
        <v>41</v>
      </c>
      <c r="K604" s="38"/>
      <c r="L604" s="38">
        <v>5</v>
      </c>
      <c r="M604" s="40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 t="s">
        <v>39</v>
      </c>
      <c r="AR604" s="36">
        <f>15/16</f>
        <v>0.9375</v>
      </c>
      <c r="AS604" s="36"/>
      <c r="AT604" s="36"/>
      <c r="AU604" s="36"/>
      <c r="AV604" s="36"/>
      <c r="AW604" s="36"/>
      <c r="AX604" s="36"/>
      <c r="AY604" s="36"/>
      <c r="AZ604" s="36"/>
      <c r="BA604" s="36" t="s">
        <v>39</v>
      </c>
      <c r="BB604" s="36">
        <f>16/16</f>
        <v>1</v>
      </c>
      <c r="BC604" s="36"/>
      <c r="BD604" s="36"/>
      <c r="BE604" s="38"/>
      <c r="BF604" s="38"/>
      <c r="BG604" s="43"/>
      <c r="BI604" s="41">
        <v>2</v>
      </c>
      <c r="BO604" s="37">
        <f t="shared" si="49"/>
        <v>2</v>
      </c>
      <c r="BP604" s="56">
        <f t="shared" si="50"/>
        <v>0</v>
      </c>
      <c r="BQ604" s="56">
        <f t="shared" si="51"/>
        <v>0</v>
      </c>
      <c r="BR604" s="57">
        <f t="shared" si="52"/>
        <v>0</v>
      </c>
      <c r="BS604" s="38"/>
      <c r="BT604" s="38"/>
      <c r="BU604" s="26"/>
      <c r="BV604" s="26"/>
      <c r="BW604" s="39">
        <f t="shared" si="53"/>
        <v>2</v>
      </c>
      <c r="BX604" s="78">
        <v>1</v>
      </c>
      <c r="BY604" s="63">
        <v>10</v>
      </c>
      <c r="BZ604" s="7"/>
      <c r="CA604" s="8"/>
      <c r="CB604" s="7"/>
      <c r="CC604" s="7"/>
    </row>
    <row r="605" spans="1:81" ht="16" x14ac:dyDescent="0.2">
      <c r="A605" s="109" t="s">
        <v>328</v>
      </c>
      <c r="B605" s="26">
        <v>40</v>
      </c>
      <c r="C605" s="109" t="s">
        <v>193</v>
      </c>
      <c r="D605" s="38">
        <v>15</v>
      </c>
      <c r="E605" s="38">
        <v>2</v>
      </c>
      <c r="F605" s="38">
        <v>4</v>
      </c>
      <c r="G605" s="38" t="s">
        <v>50</v>
      </c>
      <c r="H605" s="38">
        <v>7</v>
      </c>
      <c r="I605" s="38" t="s">
        <v>56</v>
      </c>
      <c r="J605" s="38" t="s">
        <v>60</v>
      </c>
      <c r="K605" s="38"/>
      <c r="L605" s="38">
        <v>6</v>
      </c>
      <c r="M605" s="40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 t="s">
        <v>39</v>
      </c>
      <c r="AR605" s="36">
        <f>15.5/16</f>
        <v>0.96875</v>
      </c>
      <c r="AS605" s="36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 t="s">
        <v>39</v>
      </c>
      <c r="BD605" s="36">
        <f>13/16</f>
        <v>0.8125</v>
      </c>
      <c r="BE605" s="38"/>
      <c r="BF605" s="38"/>
      <c r="BG605" s="43"/>
      <c r="BI605" s="41">
        <v>2</v>
      </c>
      <c r="BO605" s="37">
        <f t="shared" si="49"/>
        <v>2</v>
      </c>
      <c r="BP605" s="56">
        <f t="shared" si="50"/>
        <v>0</v>
      </c>
      <c r="BQ605" s="56">
        <f t="shared" si="51"/>
        <v>0</v>
      </c>
      <c r="BR605" s="57">
        <f t="shared" si="52"/>
        <v>0</v>
      </c>
      <c r="BS605" s="38"/>
      <c r="BT605" s="38"/>
      <c r="BU605" s="26"/>
      <c r="BV605" s="26"/>
      <c r="BW605" s="39">
        <f t="shared" si="53"/>
        <v>2</v>
      </c>
      <c r="BX605" s="78">
        <v>1</v>
      </c>
      <c r="BY605" s="63">
        <v>7</v>
      </c>
      <c r="BZ605" s="7"/>
      <c r="CA605" s="19"/>
      <c r="CB605" s="7"/>
      <c r="CC605" s="7"/>
    </row>
    <row r="606" spans="1:81" ht="16" x14ac:dyDescent="0.2">
      <c r="A606" s="109" t="s">
        <v>328</v>
      </c>
      <c r="B606" s="26">
        <v>40</v>
      </c>
      <c r="C606" s="109" t="s">
        <v>193</v>
      </c>
      <c r="D606" s="38">
        <v>16</v>
      </c>
      <c r="E606" s="38">
        <v>2</v>
      </c>
      <c r="F606" s="38">
        <v>2</v>
      </c>
      <c r="G606" s="38" t="s">
        <v>51</v>
      </c>
      <c r="H606" s="38">
        <v>4</v>
      </c>
      <c r="I606" s="38" t="s">
        <v>51</v>
      </c>
      <c r="J606" s="38" t="s">
        <v>41</v>
      </c>
      <c r="K606" s="38"/>
      <c r="L606" s="38">
        <v>5</v>
      </c>
      <c r="M606" s="40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 t="s">
        <v>38</v>
      </c>
      <c r="AR606" s="36">
        <f>19/16</f>
        <v>1.1875</v>
      </c>
      <c r="AS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8"/>
      <c r="BF606" s="38"/>
      <c r="BG606" s="39">
        <v>1</v>
      </c>
      <c r="BH606" s="38"/>
      <c r="BI606" s="38"/>
      <c r="BJ606" s="38"/>
      <c r="BK606" s="38"/>
      <c r="BL606" s="38"/>
      <c r="BM606" s="38"/>
      <c r="BN606" s="38"/>
      <c r="BO606" s="37">
        <f t="shared" si="49"/>
        <v>1</v>
      </c>
      <c r="BP606" s="56">
        <f t="shared" si="50"/>
        <v>0</v>
      </c>
      <c r="BQ606" s="56">
        <f t="shared" si="51"/>
        <v>0</v>
      </c>
      <c r="BR606" s="57">
        <f t="shared" si="52"/>
        <v>0</v>
      </c>
      <c r="BS606" s="38"/>
      <c r="BT606" s="38"/>
      <c r="BU606" s="26"/>
      <c r="BV606" s="26"/>
      <c r="BW606" s="39">
        <f t="shared" si="53"/>
        <v>1</v>
      </c>
      <c r="BX606" s="78">
        <v>1</v>
      </c>
      <c r="BY606" s="64">
        <v>10</v>
      </c>
      <c r="BZ606" s="17"/>
      <c r="CA606" s="20"/>
      <c r="CB606" s="7"/>
      <c r="CC606" s="7"/>
    </row>
    <row r="607" spans="1:81" ht="16" x14ac:dyDescent="0.2">
      <c r="A607" s="109" t="s">
        <v>328</v>
      </c>
      <c r="B607" s="26">
        <v>40</v>
      </c>
      <c r="C607" s="109" t="s">
        <v>193</v>
      </c>
      <c r="D607" s="38">
        <v>17</v>
      </c>
      <c r="E607" s="38">
        <v>2</v>
      </c>
      <c r="F607" s="38">
        <v>2</v>
      </c>
      <c r="G607" s="38" t="s">
        <v>51</v>
      </c>
      <c r="H607" s="38">
        <v>4</v>
      </c>
      <c r="I607" s="38" t="s">
        <v>51</v>
      </c>
      <c r="J607" s="38" t="s">
        <v>60</v>
      </c>
      <c r="K607" s="38"/>
      <c r="L607" s="38">
        <v>6</v>
      </c>
      <c r="M607" s="40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 t="s">
        <v>39</v>
      </c>
      <c r="AB607" s="36">
        <f>5.5/16</f>
        <v>0.34375</v>
      </c>
      <c r="AC607" s="36"/>
      <c r="AD607" s="36"/>
      <c r="AE607" s="36"/>
      <c r="AF607" s="36"/>
      <c r="AG607" s="36"/>
      <c r="AH607" s="36"/>
      <c r="AI607" s="36"/>
      <c r="AJ607" s="36"/>
      <c r="AK607" s="36" t="s">
        <v>39</v>
      </c>
      <c r="AL607" s="36">
        <f>6/16</f>
        <v>0.375</v>
      </c>
      <c r="AM607" s="36"/>
      <c r="AN607" s="36"/>
      <c r="AO607" s="36" t="s">
        <v>39</v>
      </c>
      <c r="AP607" s="36">
        <f>16/16</f>
        <v>1</v>
      </c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8"/>
      <c r="BF607" s="38"/>
      <c r="BG607" s="43"/>
      <c r="BI607" s="41">
        <v>1</v>
      </c>
      <c r="BJ607" s="41">
        <v>2</v>
      </c>
      <c r="BO607" s="37">
        <f t="shared" si="49"/>
        <v>1</v>
      </c>
      <c r="BP607" s="56">
        <f t="shared" si="50"/>
        <v>2</v>
      </c>
      <c r="BQ607" s="56">
        <f t="shared" si="51"/>
        <v>0</v>
      </c>
      <c r="BR607" s="57">
        <f t="shared" si="52"/>
        <v>0</v>
      </c>
      <c r="BS607" s="38"/>
      <c r="BT607" s="38"/>
      <c r="BU607" s="26"/>
      <c r="BV607" s="26"/>
      <c r="BW607" s="39">
        <f t="shared" si="53"/>
        <v>3</v>
      </c>
      <c r="BX607" s="78">
        <v>2</v>
      </c>
      <c r="BY607" s="63">
        <v>7</v>
      </c>
      <c r="BZ607" s="7"/>
      <c r="CA607" s="8"/>
      <c r="CB607" s="7"/>
      <c r="CC607" s="7"/>
    </row>
    <row r="608" spans="1:81" ht="16" x14ac:dyDescent="0.2">
      <c r="A608" s="109" t="s">
        <v>328</v>
      </c>
      <c r="B608" s="26">
        <v>40</v>
      </c>
      <c r="C608" s="109" t="s">
        <v>193</v>
      </c>
      <c r="D608" s="38">
        <v>18</v>
      </c>
      <c r="E608" s="38">
        <v>2</v>
      </c>
      <c r="F608" s="38">
        <v>2</v>
      </c>
      <c r="G608" s="38" t="s">
        <v>51</v>
      </c>
      <c r="H608" s="38">
        <v>4</v>
      </c>
      <c r="I608" s="38" t="s">
        <v>51</v>
      </c>
      <c r="J608" s="38" t="s">
        <v>41</v>
      </c>
      <c r="K608" s="38"/>
      <c r="L608" s="38">
        <v>5</v>
      </c>
      <c r="M608" s="40"/>
      <c r="N608" s="36"/>
      <c r="O608" s="36" t="s">
        <v>38</v>
      </c>
      <c r="P608" s="36">
        <f>17/16</f>
        <v>1.0625</v>
      </c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8"/>
      <c r="BF608" s="38"/>
      <c r="BG608" s="43">
        <v>1</v>
      </c>
      <c r="BO608" s="37">
        <f t="shared" si="49"/>
        <v>1</v>
      </c>
      <c r="BP608" s="56">
        <f t="shared" si="50"/>
        <v>0</v>
      </c>
      <c r="BQ608" s="56">
        <f t="shared" si="51"/>
        <v>0</v>
      </c>
      <c r="BR608" s="57">
        <f t="shared" si="52"/>
        <v>0</v>
      </c>
      <c r="BS608" s="38"/>
      <c r="BT608" s="38"/>
      <c r="BU608" s="26"/>
      <c r="BV608" s="26"/>
      <c r="BW608" s="39">
        <f t="shared" si="53"/>
        <v>1</v>
      </c>
      <c r="BX608" s="78">
        <v>1</v>
      </c>
      <c r="BY608" s="63">
        <v>10</v>
      </c>
      <c r="BZ608" s="7"/>
      <c r="CA608" s="19"/>
      <c r="CB608" s="7"/>
      <c r="CC608" s="7"/>
    </row>
    <row r="609" spans="1:81" ht="16" x14ac:dyDescent="0.2">
      <c r="A609" s="109" t="s">
        <v>328</v>
      </c>
      <c r="B609" s="26">
        <v>40</v>
      </c>
      <c r="C609" s="109" t="s">
        <v>193</v>
      </c>
      <c r="D609" s="38">
        <v>19</v>
      </c>
      <c r="E609" s="38">
        <v>2</v>
      </c>
      <c r="F609" s="38">
        <v>2</v>
      </c>
      <c r="G609" s="38" t="s">
        <v>51</v>
      </c>
      <c r="H609" s="38">
        <v>4</v>
      </c>
      <c r="I609" s="38" t="s">
        <v>51</v>
      </c>
      <c r="J609" s="38" t="s">
        <v>41</v>
      </c>
      <c r="K609" s="38"/>
      <c r="L609" s="38">
        <v>5</v>
      </c>
      <c r="M609" s="40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 t="s">
        <v>39</v>
      </c>
      <c r="BD609" s="36">
        <f>15/16</f>
        <v>0.9375</v>
      </c>
      <c r="BE609" s="38"/>
      <c r="BF609" s="38"/>
      <c r="BG609" s="43"/>
      <c r="BI609" s="41">
        <v>1</v>
      </c>
      <c r="BO609" s="37">
        <f t="shared" si="49"/>
        <v>1</v>
      </c>
      <c r="BP609" s="56">
        <f t="shared" si="50"/>
        <v>0</v>
      </c>
      <c r="BQ609" s="56">
        <f t="shared" si="51"/>
        <v>0</v>
      </c>
      <c r="BR609" s="57">
        <f t="shared" si="52"/>
        <v>0</v>
      </c>
      <c r="BS609" s="38"/>
      <c r="BT609" s="38"/>
      <c r="BU609" s="26"/>
      <c r="BV609" s="26"/>
      <c r="BW609" s="39">
        <f t="shared" si="53"/>
        <v>1</v>
      </c>
      <c r="BX609" s="78">
        <v>1</v>
      </c>
      <c r="BY609" s="63">
        <v>10</v>
      </c>
      <c r="BZ609" s="7"/>
      <c r="CA609" s="19"/>
      <c r="CB609" s="7"/>
      <c r="CC609" s="7"/>
    </row>
    <row r="610" spans="1:81" ht="16" x14ac:dyDescent="0.2">
      <c r="A610" s="109" t="s">
        <v>328</v>
      </c>
      <c r="B610" s="26">
        <v>40</v>
      </c>
      <c r="C610" s="109" t="s">
        <v>193</v>
      </c>
      <c r="D610" s="38">
        <v>21</v>
      </c>
      <c r="E610" s="38">
        <v>2</v>
      </c>
      <c r="F610" s="38">
        <v>3</v>
      </c>
      <c r="G610" s="38" t="s">
        <v>56</v>
      </c>
      <c r="H610" s="38"/>
      <c r="I610" s="38"/>
      <c r="J610" s="38"/>
      <c r="K610" s="26" t="s">
        <v>47</v>
      </c>
      <c r="L610" s="38">
        <v>6</v>
      </c>
      <c r="M610" s="40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 t="s">
        <v>40</v>
      </c>
      <c r="AB610" s="36">
        <f>12.5/16</f>
        <v>0.78125</v>
      </c>
      <c r="AC610" s="36"/>
      <c r="AD610" s="36"/>
      <c r="AE610" s="36" t="s">
        <v>39</v>
      </c>
      <c r="AF610" s="36">
        <f>8.5/16</f>
        <v>0.53125</v>
      </c>
      <c r="AG610" s="36"/>
      <c r="AH610" s="36"/>
      <c r="AI610" s="36"/>
      <c r="AJ610" s="36"/>
      <c r="AK610" s="36" t="s">
        <v>40</v>
      </c>
      <c r="AL610" s="36">
        <f>10/16</f>
        <v>0.625</v>
      </c>
      <c r="AM610" s="36"/>
      <c r="AN610" s="36"/>
      <c r="AO610" s="36"/>
      <c r="AP610" s="36"/>
      <c r="AQ610" s="36" t="s">
        <v>38</v>
      </c>
      <c r="AR610" s="36">
        <f>12/16</f>
        <v>0.75</v>
      </c>
      <c r="AS610" s="36"/>
      <c r="AT610" s="36"/>
      <c r="AU610" s="36"/>
      <c r="AV610" s="36"/>
      <c r="AW610" s="36"/>
      <c r="AX610" s="36"/>
      <c r="AY610" s="36"/>
      <c r="AZ610" s="36"/>
      <c r="BA610" s="36" t="s">
        <v>39</v>
      </c>
      <c r="BB610" s="36">
        <f>5.5/16</f>
        <v>0.34375</v>
      </c>
      <c r="BC610" s="36"/>
      <c r="BD610" s="36"/>
      <c r="BE610" s="38"/>
      <c r="BF610" s="38"/>
      <c r="BG610" s="43">
        <v>1</v>
      </c>
      <c r="BJ610" s="41">
        <v>2</v>
      </c>
      <c r="BM610" s="41">
        <v>1</v>
      </c>
      <c r="BN610" s="41">
        <v>1</v>
      </c>
      <c r="BO610" s="37">
        <f t="shared" si="49"/>
        <v>1</v>
      </c>
      <c r="BP610" s="56">
        <f t="shared" si="50"/>
        <v>2</v>
      </c>
      <c r="BQ610" s="56">
        <f t="shared" si="51"/>
        <v>1</v>
      </c>
      <c r="BR610" s="57">
        <f t="shared" si="52"/>
        <v>1</v>
      </c>
      <c r="BS610" s="38"/>
      <c r="BT610" s="38"/>
      <c r="BU610" s="26"/>
      <c r="BV610" s="26"/>
      <c r="BW610" s="39">
        <f t="shared" si="53"/>
        <v>5</v>
      </c>
      <c r="BX610" s="78">
        <v>2</v>
      </c>
      <c r="BY610" s="63">
        <v>3</v>
      </c>
      <c r="BZ610" s="7"/>
      <c r="CA610" s="19"/>
      <c r="CB610" s="7"/>
      <c r="CC610" s="7"/>
    </row>
    <row r="611" spans="1:81" x14ac:dyDescent="0.2">
      <c r="A611" s="109" t="s">
        <v>328</v>
      </c>
      <c r="B611" s="26">
        <v>40</v>
      </c>
      <c r="C611" s="109" t="s">
        <v>193</v>
      </c>
      <c r="D611" s="38">
        <v>22</v>
      </c>
      <c r="E611" s="38">
        <v>2</v>
      </c>
      <c r="F611" s="38">
        <v>2</v>
      </c>
      <c r="G611" s="38" t="s">
        <v>51</v>
      </c>
      <c r="H611" s="38">
        <v>4</v>
      </c>
      <c r="I611" s="38" t="s">
        <v>51</v>
      </c>
      <c r="J611" s="38" t="s">
        <v>41</v>
      </c>
      <c r="K611" s="38"/>
      <c r="L611" s="38">
        <v>5</v>
      </c>
      <c r="M611" s="40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8"/>
      <c r="BF611" s="38"/>
      <c r="BG611" s="43"/>
      <c r="BO611" s="37">
        <f t="shared" si="49"/>
        <v>0</v>
      </c>
      <c r="BP611" s="56">
        <f t="shared" si="50"/>
        <v>0</v>
      </c>
      <c r="BQ611" s="56">
        <f t="shared" si="51"/>
        <v>0</v>
      </c>
      <c r="BR611" s="57">
        <f t="shared" si="52"/>
        <v>0</v>
      </c>
      <c r="BS611" s="38"/>
      <c r="BT611" s="38"/>
      <c r="BU611" s="26"/>
      <c r="BV611" s="26"/>
      <c r="BW611" s="39">
        <f t="shared" si="53"/>
        <v>0</v>
      </c>
      <c r="BX611" s="78">
        <v>0</v>
      </c>
      <c r="BY611" s="63">
        <v>10</v>
      </c>
      <c r="BZ611" s="7"/>
      <c r="CA611" s="19"/>
      <c r="CB611" s="7"/>
      <c r="CC611" s="7"/>
    </row>
    <row r="612" spans="1:81" ht="16" x14ac:dyDescent="0.2">
      <c r="A612" s="109" t="s">
        <v>328</v>
      </c>
      <c r="B612" s="26">
        <v>40</v>
      </c>
      <c r="C612" s="109" t="s">
        <v>193</v>
      </c>
      <c r="D612" s="38">
        <v>23</v>
      </c>
      <c r="E612" s="38">
        <v>2</v>
      </c>
      <c r="F612" s="38">
        <v>2</v>
      </c>
      <c r="G612" s="38" t="s">
        <v>51</v>
      </c>
      <c r="H612" s="38">
        <v>4</v>
      </c>
      <c r="I612" s="38" t="s">
        <v>51</v>
      </c>
      <c r="J612" s="38" t="s">
        <v>60</v>
      </c>
      <c r="K612" s="38"/>
      <c r="L612" s="38">
        <v>6</v>
      </c>
      <c r="M612" s="40"/>
      <c r="N612" s="36"/>
      <c r="O612" s="36" t="s">
        <v>38</v>
      </c>
      <c r="P612" s="36">
        <f>4.5/16</f>
        <v>0.28125</v>
      </c>
      <c r="Q612" s="36"/>
      <c r="R612" s="36"/>
      <c r="S612" s="36"/>
      <c r="T612" s="36"/>
      <c r="U612" s="36" t="s">
        <v>38</v>
      </c>
      <c r="V612" s="36">
        <f>5/16</f>
        <v>0.3125</v>
      </c>
      <c r="W612" s="36" t="s">
        <v>38</v>
      </c>
      <c r="X612" s="36">
        <f>9/16</f>
        <v>0.5625</v>
      </c>
      <c r="Y612" s="36" t="s">
        <v>38</v>
      </c>
      <c r="Z612" s="36">
        <f>9/16</f>
        <v>0.5625</v>
      </c>
      <c r="AA612" s="36"/>
      <c r="AB612" s="36"/>
      <c r="AC612" s="36"/>
      <c r="AD612" s="36"/>
      <c r="AE612" s="36" t="s">
        <v>39</v>
      </c>
      <c r="AF612" s="36">
        <f>14/16</f>
        <v>0.875</v>
      </c>
      <c r="AG612" s="36" t="s">
        <v>38</v>
      </c>
      <c r="AH612" s="36">
        <f>5.5/16</f>
        <v>0.34375</v>
      </c>
      <c r="AI612" s="36"/>
      <c r="AJ612" s="36"/>
      <c r="AK612" s="36"/>
      <c r="AL612" s="36"/>
      <c r="AM612" s="36"/>
      <c r="AN612" s="36"/>
      <c r="AO612" s="36" t="s">
        <v>39</v>
      </c>
      <c r="AP612" s="36">
        <f>18/16</f>
        <v>1.125</v>
      </c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8"/>
      <c r="BF612" s="38"/>
      <c r="BG612" s="43"/>
      <c r="BH612" s="41">
        <v>4</v>
      </c>
      <c r="BI612" s="41">
        <v>2</v>
      </c>
      <c r="BO612" s="37">
        <f t="shared" si="49"/>
        <v>2</v>
      </c>
      <c r="BP612" s="56">
        <f t="shared" si="50"/>
        <v>4</v>
      </c>
      <c r="BQ612" s="56">
        <f t="shared" si="51"/>
        <v>0</v>
      </c>
      <c r="BR612" s="57">
        <f t="shared" si="52"/>
        <v>0</v>
      </c>
      <c r="BS612" s="38"/>
      <c r="BT612" s="38"/>
      <c r="BU612" s="26"/>
      <c r="BV612" s="26"/>
      <c r="BW612" s="39">
        <f t="shared" si="53"/>
        <v>6</v>
      </c>
      <c r="BX612" s="78">
        <v>2</v>
      </c>
      <c r="BY612" s="63">
        <v>7</v>
      </c>
      <c r="BZ612" s="7"/>
      <c r="CA612" s="19"/>
      <c r="CB612" s="7"/>
      <c r="CC612" s="7"/>
    </row>
    <row r="613" spans="1:81" ht="16" x14ac:dyDescent="0.2">
      <c r="A613" s="109" t="s">
        <v>329</v>
      </c>
      <c r="B613" s="26">
        <v>33</v>
      </c>
      <c r="C613" s="109" t="s">
        <v>194</v>
      </c>
      <c r="D613" s="38">
        <v>1</v>
      </c>
      <c r="E613" s="38">
        <v>2</v>
      </c>
      <c r="F613" s="38">
        <v>2</v>
      </c>
      <c r="G613" s="38" t="s">
        <v>51</v>
      </c>
      <c r="H613" s="38">
        <v>4</v>
      </c>
      <c r="I613" s="38" t="s">
        <v>51</v>
      </c>
      <c r="J613" s="38" t="s">
        <v>65</v>
      </c>
      <c r="K613" s="38"/>
      <c r="L613" s="38">
        <v>5</v>
      </c>
      <c r="M613" s="40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 t="s">
        <v>39</v>
      </c>
      <c r="AV613" s="36">
        <f>6.5/7</f>
        <v>0.9285714285714286</v>
      </c>
      <c r="AW613" s="36"/>
      <c r="AX613" s="36"/>
      <c r="AY613" s="36"/>
      <c r="AZ613" s="36"/>
      <c r="BA613" s="36"/>
      <c r="BB613" s="36"/>
      <c r="BC613" s="36"/>
      <c r="BD613" s="36"/>
      <c r="BE613" s="38"/>
      <c r="BF613" s="38"/>
      <c r="BG613" s="37"/>
      <c r="BH613" s="26"/>
      <c r="BI613" s="26">
        <v>1</v>
      </c>
      <c r="BJ613" s="26"/>
      <c r="BK613" s="26"/>
      <c r="BL613" s="26"/>
      <c r="BM613" s="26"/>
      <c r="BN613" s="26"/>
      <c r="BO613" s="37">
        <f t="shared" si="49"/>
        <v>1</v>
      </c>
      <c r="BP613" s="56">
        <f t="shared" si="50"/>
        <v>0</v>
      </c>
      <c r="BQ613" s="56">
        <f t="shared" si="51"/>
        <v>0</v>
      </c>
      <c r="BR613" s="57">
        <f t="shared" si="52"/>
        <v>0</v>
      </c>
      <c r="BS613" s="38"/>
      <c r="BT613" s="38"/>
      <c r="BU613" s="26"/>
      <c r="BV613" s="26"/>
      <c r="BW613" s="39">
        <f t="shared" si="53"/>
        <v>1</v>
      </c>
      <c r="BX613" s="78">
        <v>1</v>
      </c>
      <c r="BY613" s="63">
        <v>11</v>
      </c>
      <c r="BZ613" s="7"/>
      <c r="CA613" s="8"/>
      <c r="CB613" s="7"/>
      <c r="CC613" s="7"/>
    </row>
    <row r="614" spans="1:81" x14ac:dyDescent="0.2">
      <c r="A614" s="109" t="s">
        <v>329</v>
      </c>
      <c r="B614" s="26">
        <v>33</v>
      </c>
      <c r="C614" s="109" t="s">
        <v>194</v>
      </c>
      <c r="D614" s="38">
        <v>3</v>
      </c>
      <c r="E614" s="38">
        <v>2</v>
      </c>
      <c r="F614" s="38">
        <v>2</v>
      </c>
      <c r="G614" s="38" t="s">
        <v>51</v>
      </c>
      <c r="H614" s="38">
        <v>4</v>
      </c>
      <c r="I614" s="38" t="s">
        <v>51</v>
      </c>
      <c r="J614" s="38" t="s">
        <v>69</v>
      </c>
      <c r="K614" s="38"/>
      <c r="L614" s="38">
        <v>5</v>
      </c>
      <c r="M614" s="40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8"/>
      <c r="BF614" s="38"/>
      <c r="BG614" s="37"/>
      <c r="BH614" s="26"/>
      <c r="BI614" s="26"/>
      <c r="BJ614" s="26"/>
      <c r="BK614" s="26"/>
      <c r="BL614" s="26"/>
      <c r="BM614" s="26"/>
      <c r="BN614" s="26"/>
      <c r="BO614" s="37">
        <f t="shared" si="49"/>
        <v>0</v>
      </c>
      <c r="BP614" s="56">
        <f t="shared" si="50"/>
        <v>0</v>
      </c>
      <c r="BQ614" s="56">
        <f t="shared" si="51"/>
        <v>0</v>
      </c>
      <c r="BR614" s="57">
        <f t="shared" si="52"/>
        <v>0</v>
      </c>
      <c r="BS614" s="38"/>
      <c r="BT614" s="38"/>
      <c r="BU614" s="26"/>
      <c r="BV614" s="26"/>
      <c r="BW614" s="39">
        <f t="shared" si="53"/>
        <v>0</v>
      </c>
      <c r="BX614" s="78">
        <v>0</v>
      </c>
      <c r="BY614" s="63">
        <v>12</v>
      </c>
      <c r="BZ614" s="7"/>
      <c r="CA614" s="8"/>
      <c r="CB614" s="7"/>
      <c r="CC614" s="7"/>
    </row>
    <row r="615" spans="1:81" x14ac:dyDescent="0.2">
      <c r="A615" s="109" t="s">
        <v>329</v>
      </c>
      <c r="B615" s="26">
        <v>33</v>
      </c>
      <c r="C615" s="109" t="s">
        <v>194</v>
      </c>
      <c r="D615" s="38">
        <v>4</v>
      </c>
      <c r="E615" s="38">
        <v>2</v>
      </c>
      <c r="F615" s="38">
        <v>4</v>
      </c>
      <c r="G615" s="38" t="s">
        <v>50</v>
      </c>
      <c r="H615" s="38">
        <v>7</v>
      </c>
      <c r="I615" s="38" t="s">
        <v>51</v>
      </c>
      <c r="J615" s="38" t="s">
        <v>42</v>
      </c>
      <c r="K615" s="38"/>
      <c r="L615" s="38">
        <v>5</v>
      </c>
      <c r="M615" s="40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8"/>
      <c r="BF615" s="38"/>
      <c r="BG615" s="37"/>
      <c r="BH615" s="26"/>
      <c r="BI615" s="26"/>
      <c r="BJ615" s="26"/>
      <c r="BK615" s="26"/>
      <c r="BL615" s="26"/>
      <c r="BM615" s="26"/>
      <c r="BN615" s="26"/>
      <c r="BO615" s="37">
        <f t="shared" si="49"/>
        <v>0</v>
      </c>
      <c r="BP615" s="56">
        <f t="shared" si="50"/>
        <v>0</v>
      </c>
      <c r="BQ615" s="56">
        <f t="shared" si="51"/>
        <v>0</v>
      </c>
      <c r="BR615" s="57">
        <f t="shared" si="52"/>
        <v>0</v>
      </c>
      <c r="BS615" s="38"/>
      <c r="BT615" s="38"/>
      <c r="BU615" s="26"/>
      <c r="BV615" s="26"/>
      <c r="BW615" s="39">
        <f t="shared" si="53"/>
        <v>0</v>
      </c>
      <c r="BX615" s="78">
        <v>0</v>
      </c>
      <c r="BY615" s="63">
        <v>8</v>
      </c>
      <c r="BZ615" s="7"/>
      <c r="CA615" s="8"/>
      <c r="CB615" s="7"/>
      <c r="CC615" s="7"/>
    </row>
    <row r="616" spans="1:81" ht="16" x14ac:dyDescent="0.2">
      <c r="A616" s="109" t="s">
        <v>329</v>
      </c>
      <c r="B616" s="26">
        <v>33</v>
      </c>
      <c r="C616" s="109" t="s">
        <v>195</v>
      </c>
      <c r="D616" s="38">
        <v>1</v>
      </c>
      <c r="E616" s="38">
        <v>2</v>
      </c>
      <c r="F616" s="38">
        <v>2</v>
      </c>
      <c r="G616" s="38" t="s">
        <v>51</v>
      </c>
      <c r="H616" s="38">
        <v>3</v>
      </c>
      <c r="I616" s="38" t="s">
        <v>54</v>
      </c>
      <c r="J616" s="38" t="s">
        <v>41</v>
      </c>
      <c r="K616" s="38"/>
      <c r="L616" s="38">
        <v>5</v>
      </c>
      <c r="M616" s="40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 t="s">
        <v>48</v>
      </c>
      <c r="AZ616" s="36">
        <f>7.5/16</f>
        <v>0.46875</v>
      </c>
      <c r="BA616" s="36"/>
      <c r="BB616" s="36"/>
      <c r="BC616" s="36"/>
      <c r="BD616" s="36"/>
      <c r="BE616" s="38"/>
      <c r="BF616" s="38"/>
      <c r="BG616" s="39"/>
      <c r="BH616" s="38"/>
      <c r="BI616" s="38"/>
      <c r="BJ616" s="38"/>
      <c r="BK616" s="38"/>
      <c r="BL616" s="38">
        <v>1</v>
      </c>
      <c r="BM616" s="38"/>
      <c r="BN616" s="38"/>
      <c r="BO616" s="37">
        <f t="shared" si="49"/>
        <v>0</v>
      </c>
      <c r="BP616" s="56">
        <f t="shared" si="50"/>
        <v>0</v>
      </c>
      <c r="BQ616" s="56">
        <f t="shared" si="51"/>
        <v>0</v>
      </c>
      <c r="BR616" s="57">
        <f t="shared" si="52"/>
        <v>1</v>
      </c>
      <c r="BS616" s="38"/>
      <c r="BT616" s="38"/>
      <c r="BU616" s="26"/>
      <c r="BV616" s="26"/>
      <c r="BW616" s="39">
        <f t="shared" si="53"/>
        <v>1</v>
      </c>
      <c r="BX616" s="78">
        <v>4</v>
      </c>
      <c r="BY616" s="63">
        <v>10</v>
      </c>
      <c r="BZ616" s="7"/>
      <c r="CA616" s="8"/>
      <c r="CB616" s="7"/>
      <c r="CC616" s="7"/>
    </row>
    <row r="617" spans="1:81" x14ac:dyDescent="0.2">
      <c r="A617" s="109" t="s">
        <v>329</v>
      </c>
      <c r="B617" s="26">
        <v>33</v>
      </c>
      <c r="C617" s="109" t="s">
        <v>195</v>
      </c>
      <c r="D617" s="38">
        <v>2</v>
      </c>
      <c r="E617" s="38">
        <v>2</v>
      </c>
      <c r="F617" s="38">
        <v>2</v>
      </c>
      <c r="G617" s="38" t="s">
        <v>51</v>
      </c>
      <c r="H617" s="38">
        <v>4</v>
      </c>
      <c r="I617" s="38" t="s">
        <v>51</v>
      </c>
      <c r="J617" s="38" t="s">
        <v>41</v>
      </c>
      <c r="K617" s="38"/>
      <c r="L617" s="38">
        <v>5</v>
      </c>
      <c r="M617" s="40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8"/>
      <c r="BF617" s="38"/>
      <c r="BG617" s="39"/>
      <c r="BH617" s="38"/>
      <c r="BI617" s="38"/>
      <c r="BJ617" s="38"/>
      <c r="BK617" s="38"/>
      <c r="BL617" s="38"/>
      <c r="BM617" s="38"/>
      <c r="BN617" s="38"/>
      <c r="BO617" s="37">
        <f t="shared" si="49"/>
        <v>0</v>
      </c>
      <c r="BP617" s="56">
        <f t="shared" si="50"/>
        <v>0</v>
      </c>
      <c r="BQ617" s="56">
        <f t="shared" si="51"/>
        <v>0</v>
      </c>
      <c r="BR617" s="57">
        <f t="shared" si="52"/>
        <v>0</v>
      </c>
      <c r="BS617" s="38"/>
      <c r="BT617" s="38"/>
      <c r="BU617" s="26"/>
      <c r="BV617" s="26"/>
      <c r="BW617" s="39">
        <f t="shared" si="53"/>
        <v>0</v>
      </c>
      <c r="BX617" s="78">
        <v>0</v>
      </c>
      <c r="BY617" s="63">
        <v>10</v>
      </c>
      <c r="BZ617" s="7"/>
      <c r="CA617" s="8"/>
      <c r="CB617" s="7"/>
      <c r="CC617" s="7"/>
    </row>
    <row r="618" spans="1:81" ht="16" x14ac:dyDescent="0.2">
      <c r="A618" s="109" t="s">
        <v>330</v>
      </c>
      <c r="B618" s="26">
        <v>42</v>
      </c>
      <c r="C618" s="109" t="s">
        <v>196</v>
      </c>
      <c r="D618" s="38">
        <v>1</v>
      </c>
      <c r="E618" s="38">
        <v>2</v>
      </c>
      <c r="F618" s="38">
        <v>2</v>
      </c>
      <c r="G618" s="38" t="s">
        <v>51</v>
      </c>
      <c r="H618" s="38">
        <v>4</v>
      </c>
      <c r="I618" s="38" t="s">
        <v>51</v>
      </c>
      <c r="J618" s="38" t="s">
        <v>65</v>
      </c>
      <c r="K618" s="38"/>
      <c r="L618" s="38">
        <v>5</v>
      </c>
      <c r="M618" s="40"/>
      <c r="N618" s="36"/>
      <c r="O618" s="36"/>
      <c r="P618" s="36"/>
      <c r="Q618" s="36" t="s">
        <v>43</v>
      </c>
      <c r="R618" s="36">
        <v>0.47</v>
      </c>
      <c r="S618" s="36" t="s">
        <v>48</v>
      </c>
      <c r="T618" s="36">
        <v>0.44</v>
      </c>
      <c r="U618" s="36" t="s">
        <v>43</v>
      </c>
      <c r="V618" s="36">
        <v>0.5</v>
      </c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 t="s">
        <v>48</v>
      </c>
      <c r="AL618" s="36">
        <v>0.44</v>
      </c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8"/>
      <c r="BF618" s="38"/>
      <c r="BG618" s="37"/>
      <c r="BH618" s="26"/>
      <c r="BI618" s="26"/>
      <c r="BJ618" s="26"/>
      <c r="BK618" s="26"/>
      <c r="BL618" s="26">
        <v>2</v>
      </c>
      <c r="BM618" s="26"/>
      <c r="BN618" s="26"/>
      <c r="BO618" s="37">
        <f t="shared" si="49"/>
        <v>0</v>
      </c>
      <c r="BP618" s="56">
        <f t="shared" si="50"/>
        <v>0</v>
      </c>
      <c r="BQ618" s="56">
        <f t="shared" si="51"/>
        <v>2</v>
      </c>
      <c r="BR618" s="57">
        <f t="shared" si="52"/>
        <v>2</v>
      </c>
      <c r="BS618" s="38">
        <v>2</v>
      </c>
      <c r="BT618" s="38"/>
      <c r="BU618" s="26"/>
      <c r="BV618" s="26"/>
      <c r="BW618" s="39">
        <f t="shared" si="53"/>
        <v>4</v>
      </c>
      <c r="BX618" s="78">
        <v>4</v>
      </c>
      <c r="BY618" s="63">
        <v>11</v>
      </c>
      <c r="BZ618" s="7"/>
      <c r="CA618" s="8"/>
      <c r="CB618" s="7"/>
      <c r="CC618" s="7"/>
    </row>
    <row r="619" spans="1:81" ht="16" x14ac:dyDescent="0.2">
      <c r="A619" s="109" t="s">
        <v>330</v>
      </c>
      <c r="B619" s="26">
        <v>42</v>
      </c>
      <c r="C619" s="109" t="s">
        <v>196</v>
      </c>
      <c r="D619" s="38">
        <v>2</v>
      </c>
      <c r="E619" s="38">
        <v>2</v>
      </c>
      <c r="F619" s="38">
        <v>2</v>
      </c>
      <c r="G619" s="38" t="s">
        <v>51</v>
      </c>
      <c r="H619" s="38">
        <v>4</v>
      </c>
      <c r="I619" s="38" t="s">
        <v>51</v>
      </c>
      <c r="J619" s="38" t="s">
        <v>42</v>
      </c>
      <c r="K619" s="38"/>
      <c r="L619" s="38">
        <v>5</v>
      </c>
      <c r="M619" s="40"/>
      <c r="N619" s="36"/>
      <c r="O619" s="36"/>
      <c r="P619" s="36"/>
      <c r="Q619" s="36"/>
      <c r="R619" s="36"/>
      <c r="S619" s="36"/>
      <c r="T619" s="36"/>
      <c r="U619" s="36" t="s">
        <v>40</v>
      </c>
      <c r="V619" s="36">
        <f>16/16</f>
        <v>1</v>
      </c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 t="s">
        <v>39</v>
      </c>
      <c r="BD619" s="36">
        <f>14/16</f>
        <v>0.875</v>
      </c>
      <c r="BE619" s="38"/>
      <c r="BF619" s="38"/>
      <c r="BG619" s="37"/>
      <c r="BH619" s="26"/>
      <c r="BI619" s="26">
        <v>1</v>
      </c>
      <c r="BJ619" s="26"/>
      <c r="BK619" s="26"/>
      <c r="BL619" s="26"/>
      <c r="BM619" s="26">
        <v>1</v>
      </c>
      <c r="BN619" s="26"/>
      <c r="BO619" s="37">
        <f t="shared" si="49"/>
        <v>1</v>
      </c>
      <c r="BP619" s="56">
        <f t="shared" si="50"/>
        <v>0</v>
      </c>
      <c r="BQ619" s="56">
        <f t="shared" si="51"/>
        <v>1</v>
      </c>
      <c r="BR619" s="57">
        <f t="shared" si="52"/>
        <v>0</v>
      </c>
      <c r="BS619" s="38"/>
      <c r="BT619" s="38"/>
      <c r="BU619" s="26"/>
      <c r="BV619" s="26"/>
      <c r="BW619" s="39">
        <f t="shared" si="53"/>
        <v>2</v>
      </c>
      <c r="BX619" s="78">
        <v>2</v>
      </c>
      <c r="BY619" s="63">
        <v>8</v>
      </c>
      <c r="BZ619" s="7"/>
      <c r="CA619" s="8"/>
      <c r="CB619" s="7"/>
      <c r="CC619" s="7"/>
    </row>
    <row r="620" spans="1:81" ht="16" x14ac:dyDescent="0.2">
      <c r="A620" s="109" t="s">
        <v>330</v>
      </c>
      <c r="B620" s="26">
        <v>42</v>
      </c>
      <c r="C620" s="109" t="s">
        <v>196</v>
      </c>
      <c r="D620" s="38">
        <v>3</v>
      </c>
      <c r="E620" s="38">
        <v>2</v>
      </c>
      <c r="F620" s="38">
        <v>2</v>
      </c>
      <c r="G620" s="38" t="s">
        <v>51</v>
      </c>
      <c r="H620" s="38">
        <v>4</v>
      </c>
      <c r="I620" s="38" t="s">
        <v>51</v>
      </c>
      <c r="J620" s="38" t="s">
        <v>41</v>
      </c>
      <c r="K620" s="38"/>
      <c r="L620" s="38">
        <v>5</v>
      </c>
      <c r="M620" s="40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 t="s">
        <v>48</v>
      </c>
      <c r="AH620" s="36">
        <f>19/16</f>
        <v>1.1875</v>
      </c>
      <c r="AI620" s="36"/>
      <c r="AJ620" s="36"/>
      <c r="AK620" s="36"/>
      <c r="AL620" s="36"/>
      <c r="AM620" s="36"/>
      <c r="AN620" s="36"/>
      <c r="AO620" s="36"/>
      <c r="AP620" s="36"/>
      <c r="AQ620" s="36" t="s">
        <v>40</v>
      </c>
      <c r="AR620" s="36">
        <f>6/16</f>
        <v>0.375</v>
      </c>
      <c r="AS620" s="36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8"/>
      <c r="BF620" s="38"/>
      <c r="BG620" s="37"/>
      <c r="BH620" s="26"/>
      <c r="BI620" s="26"/>
      <c r="BJ620" s="26"/>
      <c r="BK620" s="26">
        <v>1</v>
      </c>
      <c r="BL620" s="26"/>
      <c r="BM620" s="26"/>
      <c r="BN620" s="26">
        <v>1</v>
      </c>
      <c r="BO620" s="37">
        <f t="shared" si="49"/>
        <v>0</v>
      </c>
      <c r="BP620" s="56">
        <f t="shared" si="50"/>
        <v>0</v>
      </c>
      <c r="BQ620" s="56">
        <f t="shared" si="51"/>
        <v>1</v>
      </c>
      <c r="BR620" s="57">
        <f t="shared" si="52"/>
        <v>1</v>
      </c>
      <c r="BS620" s="38"/>
      <c r="BT620" s="38"/>
      <c r="BU620" s="26"/>
      <c r="BV620" s="26"/>
      <c r="BW620" s="39">
        <f t="shared" si="53"/>
        <v>2</v>
      </c>
      <c r="BX620" s="78">
        <v>4</v>
      </c>
      <c r="BY620" s="63">
        <v>10</v>
      </c>
      <c r="BZ620" s="7"/>
      <c r="CA620" s="8"/>
      <c r="CB620" s="7"/>
      <c r="CC620" s="7"/>
    </row>
    <row r="621" spans="1:81" ht="16" x14ac:dyDescent="0.2">
      <c r="A621" s="109" t="s">
        <v>330</v>
      </c>
      <c r="B621" s="26">
        <v>42</v>
      </c>
      <c r="C621" s="109" t="s">
        <v>196</v>
      </c>
      <c r="D621" s="38">
        <v>5</v>
      </c>
      <c r="E621" s="38">
        <v>2</v>
      </c>
      <c r="F621" s="38">
        <v>2</v>
      </c>
      <c r="G621" s="38" t="s">
        <v>51</v>
      </c>
      <c r="H621" s="38">
        <v>4</v>
      </c>
      <c r="I621" s="38" t="s">
        <v>51</v>
      </c>
      <c r="J621" s="38" t="s">
        <v>65</v>
      </c>
      <c r="K621" s="38"/>
      <c r="L621" s="38">
        <v>5</v>
      </c>
      <c r="M621" s="40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 t="s">
        <v>39</v>
      </c>
      <c r="AT621" s="36">
        <f>16/16</f>
        <v>1</v>
      </c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8"/>
      <c r="BF621" s="38"/>
      <c r="BG621" s="39"/>
      <c r="BH621" s="38"/>
      <c r="BI621" s="38">
        <v>1</v>
      </c>
      <c r="BJ621" s="38"/>
      <c r="BK621" s="38"/>
      <c r="BL621" s="38"/>
      <c r="BM621" s="38"/>
      <c r="BN621" s="38"/>
      <c r="BO621" s="37">
        <f t="shared" si="49"/>
        <v>1</v>
      </c>
      <c r="BP621" s="56">
        <f t="shared" si="50"/>
        <v>0</v>
      </c>
      <c r="BQ621" s="56">
        <f t="shared" si="51"/>
        <v>0</v>
      </c>
      <c r="BR621" s="57">
        <f t="shared" si="52"/>
        <v>0</v>
      </c>
      <c r="BS621" s="38"/>
      <c r="BT621" s="38"/>
      <c r="BU621" s="26"/>
      <c r="BV621" s="26"/>
      <c r="BW621" s="39">
        <f t="shared" si="53"/>
        <v>1</v>
      </c>
      <c r="BX621" s="78">
        <v>1</v>
      </c>
      <c r="BY621" s="63">
        <v>11</v>
      </c>
      <c r="BZ621" s="7"/>
      <c r="CA621" s="8"/>
      <c r="CB621" s="7"/>
      <c r="CC621" s="7"/>
    </row>
    <row r="622" spans="1:81" ht="16" x14ac:dyDescent="0.2">
      <c r="A622" s="109" t="s">
        <v>330</v>
      </c>
      <c r="B622" s="26">
        <v>42</v>
      </c>
      <c r="C622" s="109" t="s">
        <v>196</v>
      </c>
      <c r="D622" s="38">
        <v>6</v>
      </c>
      <c r="E622" s="38">
        <v>2</v>
      </c>
      <c r="F622" s="38">
        <v>2</v>
      </c>
      <c r="G622" s="38" t="s">
        <v>51</v>
      </c>
      <c r="H622" s="38">
        <v>4</v>
      </c>
      <c r="I622" s="38" t="s">
        <v>51</v>
      </c>
      <c r="J622" s="38"/>
      <c r="K622" s="38" t="s">
        <v>63</v>
      </c>
      <c r="L622" s="38">
        <v>6</v>
      </c>
      <c r="M622" s="40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 t="s">
        <v>39</v>
      </c>
      <c r="AR622" s="36">
        <f>7/8</f>
        <v>0.875</v>
      </c>
      <c r="AS622" s="36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 t="s">
        <v>39</v>
      </c>
      <c r="BD622" s="36">
        <f>8/8</f>
        <v>1</v>
      </c>
      <c r="BE622" s="38"/>
      <c r="BF622" s="38"/>
      <c r="BG622" s="39"/>
      <c r="BH622" s="38"/>
      <c r="BI622" s="38">
        <v>2</v>
      </c>
      <c r="BJ622" s="38"/>
      <c r="BK622" s="38"/>
      <c r="BL622" s="38"/>
      <c r="BM622" s="38"/>
      <c r="BO622" s="37">
        <f t="shared" si="49"/>
        <v>2</v>
      </c>
      <c r="BP622" s="56">
        <f t="shared" si="50"/>
        <v>0</v>
      </c>
      <c r="BQ622" s="56">
        <f t="shared" si="51"/>
        <v>0</v>
      </c>
      <c r="BR622" s="57">
        <f t="shared" si="52"/>
        <v>0</v>
      </c>
      <c r="BS622" s="38"/>
      <c r="BT622" s="38"/>
      <c r="BU622" s="26"/>
      <c r="BV622" s="26"/>
      <c r="BW622" s="39">
        <f t="shared" si="53"/>
        <v>2</v>
      </c>
      <c r="BX622" s="78">
        <v>1</v>
      </c>
      <c r="BY622" s="63">
        <v>2</v>
      </c>
    </row>
    <row r="623" spans="1:81" ht="16" x14ac:dyDescent="0.2">
      <c r="A623" s="109" t="s">
        <v>331</v>
      </c>
      <c r="B623" s="38">
        <v>42</v>
      </c>
      <c r="C623" s="111" t="s">
        <v>197</v>
      </c>
      <c r="D623" s="38">
        <v>1</v>
      </c>
      <c r="E623" s="38">
        <v>2</v>
      </c>
      <c r="F623" s="38">
        <v>3</v>
      </c>
      <c r="G623" s="38" t="s">
        <v>50</v>
      </c>
      <c r="H623" s="38">
        <v>4</v>
      </c>
      <c r="I623" s="38" t="s">
        <v>54</v>
      </c>
      <c r="J623" s="38" t="s">
        <v>60</v>
      </c>
      <c r="K623" s="38"/>
      <c r="L623" s="38">
        <v>6</v>
      </c>
      <c r="M623" s="40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 t="s">
        <v>38</v>
      </c>
      <c r="AH623" s="36">
        <f>5/16</f>
        <v>0.3125</v>
      </c>
      <c r="AI623" s="36"/>
      <c r="AJ623" s="36"/>
      <c r="AK623" s="36" t="s">
        <v>38</v>
      </c>
      <c r="AL623" s="36">
        <f>19/16</f>
        <v>1.1875</v>
      </c>
      <c r="AM623" s="36" t="s">
        <v>38</v>
      </c>
      <c r="AN623" s="36">
        <f>18/16</f>
        <v>1.125</v>
      </c>
      <c r="AO623" s="36" t="s">
        <v>39</v>
      </c>
      <c r="AP623" s="36">
        <f>16.5/16</f>
        <v>1.03125</v>
      </c>
      <c r="AQ623" s="36"/>
      <c r="AR623" s="36"/>
      <c r="AS623" s="36" t="s">
        <v>38</v>
      </c>
      <c r="AT623" s="36">
        <f>6/16</f>
        <v>0.375</v>
      </c>
      <c r="AU623" s="36"/>
      <c r="AV623" s="36"/>
      <c r="AW623" s="36" t="s">
        <v>39</v>
      </c>
      <c r="AX623" s="36">
        <f>13/16</f>
        <v>0.8125</v>
      </c>
      <c r="AY623" s="36"/>
      <c r="AZ623" s="36"/>
      <c r="BA623" s="36"/>
      <c r="BB623" s="36"/>
      <c r="BC623" s="36"/>
      <c r="BD623" s="36"/>
      <c r="BE623" s="38"/>
      <c r="BF623" s="38"/>
      <c r="BG623" s="37">
        <v>2</v>
      </c>
      <c r="BH623" s="26">
        <v>2</v>
      </c>
      <c r="BI623" s="26">
        <v>2</v>
      </c>
      <c r="BJ623" s="26"/>
      <c r="BK623" s="26"/>
      <c r="BL623" s="26"/>
      <c r="BM623" s="26"/>
      <c r="BN623" s="26"/>
      <c r="BO623" s="37">
        <f t="shared" si="49"/>
        <v>4</v>
      </c>
      <c r="BP623" s="56">
        <f t="shared" si="50"/>
        <v>2</v>
      </c>
      <c r="BQ623" s="56">
        <f t="shared" si="51"/>
        <v>0</v>
      </c>
      <c r="BR623" s="57">
        <f t="shared" si="52"/>
        <v>0</v>
      </c>
      <c r="BS623" s="38"/>
      <c r="BT623" s="38"/>
      <c r="BU623" s="26"/>
      <c r="BV623" s="26"/>
      <c r="BW623" s="39">
        <f t="shared" si="53"/>
        <v>6</v>
      </c>
      <c r="BX623" s="78">
        <v>2</v>
      </c>
      <c r="BY623" s="63">
        <v>7</v>
      </c>
      <c r="BZ623" s="7"/>
      <c r="CA623" s="8"/>
      <c r="CB623" s="7"/>
      <c r="CC623" s="7"/>
    </row>
    <row r="624" spans="1:81" ht="16" x14ac:dyDescent="0.2">
      <c r="A624" s="109" t="s">
        <v>331</v>
      </c>
      <c r="B624" s="38">
        <v>42</v>
      </c>
      <c r="C624" s="111" t="s">
        <v>197</v>
      </c>
      <c r="D624" s="38">
        <v>2</v>
      </c>
      <c r="E624" s="38">
        <v>2</v>
      </c>
      <c r="F624" s="38">
        <v>2</v>
      </c>
      <c r="G624" s="38" t="s">
        <v>51</v>
      </c>
      <c r="H624" s="38">
        <v>4</v>
      </c>
      <c r="I624" s="38" t="s">
        <v>51</v>
      </c>
      <c r="J624" s="38" t="s">
        <v>60</v>
      </c>
      <c r="K624" s="38"/>
      <c r="L624" s="38">
        <v>5</v>
      </c>
      <c r="M624" s="40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 t="s">
        <v>39</v>
      </c>
      <c r="AJ624" s="36">
        <f>15/16</f>
        <v>0.9375</v>
      </c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/>
      <c r="AZ624" s="36"/>
      <c r="BA624" s="36"/>
      <c r="BB624" s="36"/>
      <c r="BC624" s="36" t="s">
        <v>39</v>
      </c>
      <c r="BD624" s="36">
        <f>12.5/16</f>
        <v>0.78125</v>
      </c>
      <c r="BE624" s="38"/>
      <c r="BF624" s="38"/>
      <c r="BG624" s="37"/>
      <c r="BH624" s="26"/>
      <c r="BI624" s="26">
        <v>2</v>
      </c>
      <c r="BJ624" s="26"/>
      <c r="BK624" s="26"/>
      <c r="BL624" s="26"/>
      <c r="BM624" s="26"/>
      <c r="BN624" s="26"/>
      <c r="BO624" s="37">
        <f t="shared" si="49"/>
        <v>2</v>
      </c>
      <c r="BP624" s="56">
        <f t="shared" si="50"/>
        <v>0</v>
      </c>
      <c r="BQ624" s="56">
        <f t="shared" si="51"/>
        <v>0</v>
      </c>
      <c r="BR624" s="57">
        <f t="shared" si="52"/>
        <v>0</v>
      </c>
      <c r="BS624" s="38"/>
      <c r="BT624" s="38"/>
      <c r="BU624" s="26"/>
      <c r="BV624" s="26"/>
      <c r="BW624" s="39">
        <f t="shared" si="53"/>
        <v>2</v>
      </c>
      <c r="BX624" s="78">
        <v>1</v>
      </c>
      <c r="BY624" s="63">
        <v>7</v>
      </c>
      <c r="BZ624" s="7"/>
      <c r="CA624" s="8"/>
      <c r="CB624" s="7"/>
      <c r="CC624" s="7"/>
    </row>
    <row r="625" spans="1:81" ht="16" x14ac:dyDescent="0.2">
      <c r="A625" s="109" t="s">
        <v>331</v>
      </c>
      <c r="B625" s="38">
        <v>42</v>
      </c>
      <c r="C625" s="111" t="s">
        <v>197</v>
      </c>
      <c r="D625" s="38">
        <v>3</v>
      </c>
      <c r="E625" s="38">
        <v>2</v>
      </c>
      <c r="F625" s="38">
        <v>2</v>
      </c>
      <c r="G625" s="38" t="s">
        <v>51</v>
      </c>
      <c r="H625" s="38">
        <v>4</v>
      </c>
      <c r="I625" s="38" t="s">
        <v>51</v>
      </c>
      <c r="J625" s="38"/>
      <c r="K625" s="38" t="s">
        <v>63</v>
      </c>
      <c r="L625" s="38">
        <v>6</v>
      </c>
      <c r="M625" s="40" t="s">
        <v>39</v>
      </c>
      <c r="N625" s="36">
        <f>14.5/16</f>
        <v>0.90625</v>
      </c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 t="s">
        <v>38</v>
      </c>
      <c r="AB625" s="36">
        <f>16/16</f>
        <v>1</v>
      </c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 t="s">
        <v>38</v>
      </c>
      <c r="AR625" s="36">
        <f>16.5/16</f>
        <v>1.03125</v>
      </c>
      <c r="AS625" s="36" t="s">
        <v>39</v>
      </c>
      <c r="AT625" s="36">
        <f>13/16</f>
        <v>0.8125</v>
      </c>
      <c r="AU625" s="36" t="s">
        <v>39</v>
      </c>
      <c r="AV625" s="36">
        <f>5/16</f>
        <v>0.3125</v>
      </c>
      <c r="AW625" s="36" t="s">
        <v>39</v>
      </c>
      <c r="AX625" s="36">
        <f>10.5/16</f>
        <v>0.65625</v>
      </c>
      <c r="AY625" s="36"/>
      <c r="AZ625" s="36"/>
      <c r="BA625" s="36"/>
      <c r="BB625" s="36"/>
      <c r="BC625" s="36" t="s">
        <v>38</v>
      </c>
      <c r="BD625" s="36">
        <f>17/16</f>
        <v>1.0625</v>
      </c>
      <c r="BE625" s="38"/>
      <c r="BF625" s="38"/>
      <c r="BG625" s="37">
        <v>3</v>
      </c>
      <c r="BH625" s="26"/>
      <c r="BI625" s="26">
        <v>2</v>
      </c>
      <c r="BJ625" s="26">
        <v>2</v>
      </c>
      <c r="BK625" s="26"/>
      <c r="BL625" s="26"/>
      <c r="BM625" s="26"/>
      <c r="BN625" s="26"/>
      <c r="BO625" s="37">
        <f t="shared" si="49"/>
        <v>5</v>
      </c>
      <c r="BP625" s="56">
        <f t="shared" si="50"/>
        <v>2</v>
      </c>
      <c r="BQ625" s="56">
        <f t="shared" si="51"/>
        <v>0</v>
      </c>
      <c r="BR625" s="57">
        <f t="shared" si="52"/>
        <v>0</v>
      </c>
      <c r="BS625" s="38"/>
      <c r="BT625" s="38"/>
      <c r="BU625" s="26"/>
      <c r="BV625" s="26"/>
      <c r="BW625" s="39">
        <f t="shared" si="53"/>
        <v>7</v>
      </c>
      <c r="BX625" s="78">
        <v>2</v>
      </c>
      <c r="BY625" s="63">
        <v>2</v>
      </c>
      <c r="BZ625" s="7"/>
      <c r="CA625" s="8"/>
      <c r="CB625" s="7"/>
      <c r="CC625" s="7"/>
    </row>
    <row r="626" spans="1:81" ht="16" x14ac:dyDescent="0.2">
      <c r="A626" s="109" t="s">
        <v>332</v>
      </c>
      <c r="B626" s="26">
        <v>44</v>
      </c>
      <c r="C626" s="109" t="s">
        <v>198</v>
      </c>
      <c r="D626" s="38">
        <v>1</v>
      </c>
      <c r="E626" s="38">
        <v>2</v>
      </c>
      <c r="F626" s="38">
        <v>3</v>
      </c>
      <c r="G626" s="38" t="s">
        <v>56</v>
      </c>
      <c r="H626" s="38">
        <v>2</v>
      </c>
      <c r="I626" s="38" t="s">
        <v>62</v>
      </c>
      <c r="J626" s="38"/>
      <c r="K626" s="38">
        <v>8</v>
      </c>
      <c r="L626" s="38">
        <v>6</v>
      </c>
      <c r="M626" s="40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 t="s">
        <v>38</v>
      </c>
      <c r="AF626" s="36">
        <f>2.5/8</f>
        <v>0.3125</v>
      </c>
      <c r="AG626" s="36"/>
      <c r="AH626" s="36"/>
      <c r="AI626" s="36"/>
      <c r="AJ626" s="36"/>
      <c r="AK626" s="36"/>
      <c r="AL626" s="36"/>
      <c r="AM626" s="36" t="s">
        <v>39</v>
      </c>
      <c r="AN626" s="36">
        <f>3/8</f>
        <v>0.375</v>
      </c>
      <c r="AO626" s="36" t="s">
        <v>39</v>
      </c>
      <c r="AP626" s="36">
        <f>4/8</f>
        <v>0.5</v>
      </c>
      <c r="AQ626" s="36" t="s">
        <v>39</v>
      </c>
      <c r="AR626" s="36">
        <f>3.5/8</f>
        <v>0.4375</v>
      </c>
      <c r="AS626" s="36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8"/>
      <c r="BF626" s="38"/>
      <c r="BG626" s="39"/>
      <c r="BH626" s="38">
        <v>1</v>
      </c>
      <c r="BI626" s="38"/>
      <c r="BJ626" s="38">
        <v>3</v>
      </c>
      <c r="BK626" s="38"/>
      <c r="BL626" s="38"/>
      <c r="BM626" s="38"/>
      <c r="BN626" s="38"/>
      <c r="BO626" s="37">
        <f t="shared" si="49"/>
        <v>0</v>
      </c>
      <c r="BP626" s="56">
        <f t="shared" si="50"/>
        <v>4</v>
      </c>
      <c r="BQ626" s="56">
        <f t="shared" si="51"/>
        <v>0</v>
      </c>
      <c r="BR626" s="57">
        <f t="shared" si="52"/>
        <v>0</v>
      </c>
      <c r="BS626" s="38"/>
      <c r="BT626" s="38"/>
      <c r="BU626" s="26"/>
      <c r="BV626" s="26"/>
      <c r="BW626" s="39">
        <f t="shared" si="53"/>
        <v>4</v>
      </c>
      <c r="BX626" s="78">
        <v>3</v>
      </c>
      <c r="BY626" s="63">
        <v>1</v>
      </c>
      <c r="BZ626" s="7"/>
      <c r="CA626" s="8"/>
      <c r="CB626" s="7"/>
      <c r="CC626" s="7"/>
    </row>
    <row r="627" spans="1:81" ht="16" x14ac:dyDescent="0.2">
      <c r="A627" s="109" t="s">
        <v>332</v>
      </c>
      <c r="B627" s="26">
        <v>44</v>
      </c>
      <c r="C627" s="109" t="s">
        <v>198</v>
      </c>
      <c r="D627" s="38">
        <v>2</v>
      </c>
      <c r="E627" s="38">
        <v>2</v>
      </c>
      <c r="F627" s="38">
        <v>4</v>
      </c>
      <c r="G627" s="38" t="s">
        <v>50</v>
      </c>
      <c r="H627" s="38"/>
      <c r="I627" s="38"/>
      <c r="J627" s="38"/>
      <c r="K627" s="38">
        <v>10</v>
      </c>
      <c r="L627" s="38">
        <v>6</v>
      </c>
      <c r="M627" s="40" t="s">
        <v>38</v>
      </c>
      <c r="N627" s="36">
        <f>4/10</f>
        <v>0.4</v>
      </c>
      <c r="O627" s="36"/>
      <c r="P627" s="36"/>
      <c r="Q627" s="36"/>
      <c r="R627" s="36"/>
      <c r="S627" s="36" t="s">
        <v>39</v>
      </c>
      <c r="T627" s="36">
        <f>9/10</f>
        <v>0.9</v>
      </c>
      <c r="U627" s="36"/>
      <c r="V627" s="36"/>
      <c r="W627" s="36" t="s">
        <v>39</v>
      </c>
      <c r="X627" s="36">
        <f>8.5/10</f>
        <v>0.85</v>
      </c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 t="s">
        <v>39</v>
      </c>
      <c r="AP627" s="36">
        <f>10/10</f>
        <v>1</v>
      </c>
      <c r="AQ627" s="36" t="s">
        <v>39</v>
      </c>
      <c r="AR627" s="36">
        <f>10/10</f>
        <v>1</v>
      </c>
      <c r="AS627" s="36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 t="s">
        <v>39</v>
      </c>
      <c r="BD627" s="36">
        <f>8.5/10</f>
        <v>0.85</v>
      </c>
      <c r="BE627" s="38"/>
      <c r="BF627" s="38"/>
      <c r="BG627" s="39"/>
      <c r="BH627" s="38">
        <v>1</v>
      </c>
      <c r="BI627" s="38">
        <v>5</v>
      </c>
      <c r="BJ627" s="38"/>
      <c r="BK627" s="38"/>
      <c r="BL627" s="38"/>
      <c r="BM627" s="38"/>
      <c r="BN627" s="38"/>
      <c r="BO627" s="37">
        <f t="shared" si="49"/>
        <v>5</v>
      </c>
      <c r="BP627" s="56">
        <f t="shared" si="50"/>
        <v>1</v>
      </c>
      <c r="BQ627" s="56">
        <f t="shared" si="51"/>
        <v>0</v>
      </c>
      <c r="BR627" s="57">
        <f t="shared" si="52"/>
        <v>0</v>
      </c>
      <c r="BS627" s="38"/>
      <c r="BT627" s="38"/>
      <c r="BU627" s="26"/>
      <c r="BV627" s="26"/>
      <c r="BW627" s="39">
        <f t="shared" si="53"/>
        <v>6</v>
      </c>
      <c r="BX627" s="78">
        <v>2</v>
      </c>
      <c r="BY627" s="63">
        <v>1</v>
      </c>
      <c r="BZ627" s="7"/>
      <c r="CA627" s="8"/>
      <c r="CB627" s="7"/>
      <c r="CC627" s="7"/>
    </row>
    <row r="628" spans="1:81" ht="16" x14ac:dyDescent="0.2">
      <c r="A628" s="109" t="s">
        <v>332</v>
      </c>
      <c r="B628" s="26">
        <v>44</v>
      </c>
      <c r="C628" s="109" t="s">
        <v>198</v>
      </c>
      <c r="D628" s="38">
        <v>3</v>
      </c>
      <c r="E628" s="38">
        <v>2</v>
      </c>
      <c r="F628" s="38">
        <v>2</v>
      </c>
      <c r="G628" s="38" t="s">
        <v>51</v>
      </c>
      <c r="H628" s="38">
        <v>5</v>
      </c>
      <c r="I628" s="38" t="s">
        <v>56</v>
      </c>
      <c r="J628" s="38" t="s">
        <v>41</v>
      </c>
      <c r="K628" s="38"/>
      <c r="L628" s="38">
        <v>6</v>
      </c>
      <c r="M628" s="40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 t="s">
        <v>38</v>
      </c>
      <c r="AR628" s="36">
        <f>14/16</f>
        <v>0.875</v>
      </c>
      <c r="AS628" s="36"/>
      <c r="AT628" s="36"/>
      <c r="AU628" s="36"/>
      <c r="AV628" s="36"/>
      <c r="AW628" s="36" t="s">
        <v>38</v>
      </c>
      <c r="AX628" s="36">
        <f>13/16</f>
        <v>0.8125</v>
      </c>
      <c r="AY628" s="36"/>
      <c r="AZ628" s="36"/>
      <c r="BA628" s="36"/>
      <c r="BB628" s="36"/>
      <c r="BC628" s="36"/>
      <c r="BD628" s="36"/>
      <c r="BE628" s="38"/>
      <c r="BF628" s="38"/>
      <c r="BG628" s="39">
        <v>2</v>
      </c>
      <c r="BH628" s="38"/>
      <c r="BI628" s="38"/>
      <c r="BJ628" s="38"/>
      <c r="BK628" s="38"/>
      <c r="BL628" s="38"/>
      <c r="BM628" s="38"/>
      <c r="BN628" s="38"/>
      <c r="BO628" s="37">
        <f t="shared" si="49"/>
        <v>2</v>
      </c>
      <c r="BP628" s="56">
        <f t="shared" si="50"/>
        <v>0</v>
      </c>
      <c r="BQ628" s="56">
        <f t="shared" si="51"/>
        <v>0</v>
      </c>
      <c r="BR628" s="57">
        <f t="shared" si="52"/>
        <v>0</v>
      </c>
      <c r="BS628" s="38"/>
      <c r="BT628" s="38"/>
      <c r="BU628" s="26"/>
      <c r="BV628" s="26"/>
      <c r="BW628" s="39">
        <f t="shared" si="53"/>
        <v>2</v>
      </c>
      <c r="BX628" s="78">
        <v>1</v>
      </c>
      <c r="BY628" s="63">
        <v>10</v>
      </c>
      <c r="BZ628" s="7"/>
      <c r="CA628" s="8"/>
      <c r="CB628" s="7"/>
      <c r="CC628" s="7"/>
    </row>
    <row r="629" spans="1:81" ht="16" x14ac:dyDescent="0.2">
      <c r="A629" s="109" t="s">
        <v>333</v>
      </c>
      <c r="B629" s="26">
        <v>45</v>
      </c>
      <c r="C629" s="109" t="s">
        <v>199</v>
      </c>
      <c r="D629" s="38">
        <v>1</v>
      </c>
      <c r="E629" s="38">
        <v>2</v>
      </c>
      <c r="F629" s="38" t="s">
        <v>53</v>
      </c>
      <c r="G629" s="38" t="s">
        <v>50</v>
      </c>
      <c r="H629" s="38"/>
      <c r="I629" s="38"/>
      <c r="J629" s="38"/>
      <c r="K629" s="38">
        <v>12</v>
      </c>
      <c r="L629" s="38">
        <v>7</v>
      </c>
      <c r="M629" s="40" t="s">
        <v>39</v>
      </c>
      <c r="N629" s="36">
        <f>15/18</f>
        <v>0.83333333333333337</v>
      </c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 t="s">
        <v>57</v>
      </c>
      <c r="AD629" s="36">
        <f>12.5/18</f>
        <v>0.69444444444444442</v>
      </c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 t="s">
        <v>38</v>
      </c>
      <c r="AT629" s="36">
        <f>15.5/18</f>
        <v>0.86111111111111116</v>
      </c>
      <c r="AU629" s="36"/>
      <c r="AV629" s="36"/>
      <c r="AW629" s="36" t="s">
        <v>39</v>
      </c>
      <c r="AX629" s="36">
        <f>13.5/18</f>
        <v>0.75</v>
      </c>
      <c r="AY629" s="36"/>
      <c r="AZ629" s="36"/>
      <c r="BA629" s="36"/>
      <c r="BB629" s="36"/>
      <c r="BC629" s="36"/>
      <c r="BD629" s="36"/>
      <c r="BE629" s="38" t="s">
        <v>38</v>
      </c>
      <c r="BF629" s="38" t="s">
        <v>67</v>
      </c>
      <c r="BG629" s="43">
        <v>1</v>
      </c>
      <c r="BI629" s="41">
        <v>2</v>
      </c>
      <c r="BN629" s="41">
        <v>1</v>
      </c>
      <c r="BO629" s="37">
        <f t="shared" si="49"/>
        <v>4</v>
      </c>
      <c r="BP629" s="56">
        <f t="shared" si="50"/>
        <v>0</v>
      </c>
      <c r="BQ629" s="56">
        <f t="shared" si="51"/>
        <v>0</v>
      </c>
      <c r="BR629" s="57">
        <f t="shared" si="52"/>
        <v>1</v>
      </c>
      <c r="BS629" s="38"/>
      <c r="BT629" s="38"/>
      <c r="BU629" s="26">
        <v>1</v>
      </c>
      <c r="BV629" s="26"/>
      <c r="BW629" s="39">
        <f t="shared" si="53"/>
        <v>5</v>
      </c>
      <c r="BX629" s="78">
        <v>2</v>
      </c>
      <c r="BY629" s="63">
        <v>2</v>
      </c>
      <c r="BZ629" s="7"/>
      <c r="CA629" s="19"/>
      <c r="CB629" s="7"/>
      <c r="CC629" s="7"/>
    </row>
    <row r="630" spans="1:81" ht="16" x14ac:dyDescent="0.2">
      <c r="A630" s="125" t="s">
        <v>333</v>
      </c>
      <c r="B630" s="26">
        <v>45</v>
      </c>
      <c r="C630" s="109" t="s">
        <v>199</v>
      </c>
      <c r="D630" s="38">
        <v>2</v>
      </c>
      <c r="E630" s="38">
        <v>2</v>
      </c>
      <c r="F630" s="38">
        <v>2</v>
      </c>
      <c r="G630" s="38" t="s">
        <v>51</v>
      </c>
      <c r="H630" s="38">
        <v>5</v>
      </c>
      <c r="I630" s="38" t="s">
        <v>56</v>
      </c>
      <c r="J630" s="38"/>
      <c r="K630" s="26" t="s">
        <v>47</v>
      </c>
      <c r="L630" s="38">
        <v>7</v>
      </c>
      <c r="M630" s="40" t="s">
        <v>38</v>
      </c>
      <c r="N630" s="36">
        <v>0.39</v>
      </c>
      <c r="O630" s="36"/>
      <c r="P630" s="36"/>
      <c r="Q630" s="36" t="s">
        <v>39</v>
      </c>
      <c r="R630" s="36">
        <f>7/18</f>
        <v>0.3888888888888889</v>
      </c>
      <c r="S630" s="36" t="s">
        <v>39</v>
      </c>
      <c r="T630" s="36">
        <f>11.5/18</f>
        <v>0.63888888888888884</v>
      </c>
      <c r="U630" s="36" t="s">
        <v>39</v>
      </c>
      <c r="V630" s="36">
        <f>12.5/18</f>
        <v>0.69444444444444442</v>
      </c>
      <c r="W630" s="36" t="s">
        <v>39</v>
      </c>
      <c r="X630" s="36">
        <f>13/18</f>
        <v>0.72222222222222221</v>
      </c>
      <c r="Y630" s="36" t="s">
        <v>39</v>
      </c>
      <c r="Z630" s="36">
        <f>9.5/18</f>
        <v>0.52777777777777779</v>
      </c>
      <c r="AA630" s="36"/>
      <c r="AB630" s="36"/>
      <c r="AC630" s="36" t="s">
        <v>38</v>
      </c>
      <c r="AD630" s="36">
        <f>10/18</f>
        <v>0.55555555555555558</v>
      </c>
      <c r="AE630" s="36" t="s">
        <v>39</v>
      </c>
      <c r="AF630" s="36">
        <f>16.5/18</f>
        <v>0.91666666666666663</v>
      </c>
      <c r="AG630" s="36" t="s">
        <v>38</v>
      </c>
      <c r="AH630" s="36">
        <f>6.5/18</f>
        <v>0.3611111111111111</v>
      </c>
      <c r="AI630" s="36" t="s">
        <v>38</v>
      </c>
      <c r="AJ630" s="36">
        <f>11/18</f>
        <v>0.61111111111111116</v>
      </c>
      <c r="AK630" s="36" t="s">
        <v>38</v>
      </c>
      <c r="AL630" s="36">
        <f>16/18</f>
        <v>0.88888888888888884</v>
      </c>
      <c r="AM630" s="36" t="s">
        <v>38</v>
      </c>
      <c r="AN630" s="36">
        <f>11.5/18</f>
        <v>0.63888888888888884</v>
      </c>
      <c r="AO630" s="36" t="s">
        <v>39</v>
      </c>
      <c r="AP630" s="36">
        <f>14/18</f>
        <v>0.77777777777777779</v>
      </c>
      <c r="AQ630" s="36"/>
      <c r="AR630" s="36"/>
      <c r="AS630" s="36"/>
      <c r="AT630" s="36"/>
      <c r="AU630" s="36" t="s">
        <v>38</v>
      </c>
      <c r="AV630" s="36">
        <f>12.5/18</f>
        <v>0.69444444444444442</v>
      </c>
      <c r="AW630" s="36" t="s">
        <v>38</v>
      </c>
      <c r="AX630" s="36">
        <f>22.5/18</f>
        <v>1.25</v>
      </c>
      <c r="AY630" s="36" t="s">
        <v>38</v>
      </c>
      <c r="AZ630" s="36">
        <f>21/18</f>
        <v>1.1666666666666667</v>
      </c>
      <c r="BA630" s="36" t="s">
        <v>38</v>
      </c>
      <c r="BB630" s="36">
        <f>15.5/18</f>
        <v>0.86111111111111116</v>
      </c>
      <c r="BC630" s="36" t="s">
        <v>38</v>
      </c>
      <c r="BD630" s="36">
        <f>12.5/18</f>
        <v>0.69444444444444442</v>
      </c>
      <c r="BE630" s="38" t="s">
        <v>38</v>
      </c>
      <c r="BF630" s="38" t="s">
        <v>67</v>
      </c>
      <c r="BG630" s="40">
        <v>4</v>
      </c>
      <c r="BH630" s="36">
        <v>7</v>
      </c>
      <c r="BI630" s="36">
        <v>3</v>
      </c>
      <c r="BJ630" s="36">
        <v>4</v>
      </c>
      <c r="BK630" s="36"/>
      <c r="BL630" s="36"/>
      <c r="BM630" s="36"/>
      <c r="BN630" s="36"/>
      <c r="BO630" s="37">
        <f t="shared" si="49"/>
        <v>8</v>
      </c>
      <c r="BP630" s="56">
        <f t="shared" si="50"/>
        <v>11</v>
      </c>
      <c r="BQ630" s="56">
        <f t="shared" si="51"/>
        <v>0</v>
      </c>
      <c r="BR630" s="57">
        <f t="shared" si="52"/>
        <v>0</v>
      </c>
      <c r="BS630" s="38"/>
      <c r="BT630" s="38"/>
      <c r="BU630" s="26">
        <v>1</v>
      </c>
      <c r="BV630" s="26"/>
      <c r="BW630" s="39">
        <f t="shared" si="53"/>
        <v>19</v>
      </c>
      <c r="BX630" s="78">
        <v>2</v>
      </c>
      <c r="BY630" s="65">
        <v>3</v>
      </c>
      <c r="BZ630" s="16"/>
      <c r="CA630" s="21"/>
      <c r="CB630" s="16"/>
      <c r="CC630" s="16"/>
    </row>
    <row r="631" spans="1:81" ht="16" x14ac:dyDescent="0.2">
      <c r="A631" s="109" t="s">
        <v>333</v>
      </c>
      <c r="B631" s="26">
        <v>45</v>
      </c>
      <c r="C631" s="109" t="s">
        <v>199</v>
      </c>
      <c r="D631" s="38">
        <v>3</v>
      </c>
      <c r="E631" s="38">
        <v>2</v>
      </c>
      <c r="F631" s="38">
        <v>2</v>
      </c>
      <c r="G631" s="38" t="s">
        <v>51</v>
      </c>
      <c r="H631" s="38">
        <v>4</v>
      </c>
      <c r="I631" s="38" t="s">
        <v>51</v>
      </c>
      <c r="J631" s="38" t="s">
        <v>60</v>
      </c>
      <c r="K631" s="38"/>
      <c r="L631" s="38">
        <v>7</v>
      </c>
      <c r="M631" s="40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 t="s">
        <v>39</v>
      </c>
      <c r="AB631" s="36">
        <v>1</v>
      </c>
      <c r="AC631" s="36" t="s">
        <v>39</v>
      </c>
      <c r="AD631" s="36">
        <v>0.25</v>
      </c>
      <c r="AE631" s="36" t="s">
        <v>38</v>
      </c>
      <c r="AF631" s="36">
        <v>0.83</v>
      </c>
      <c r="AG631" s="36"/>
      <c r="AH631" s="36"/>
      <c r="AI631" s="36"/>
      <c r="AJ631" s="36"/>
      <c r="AK631" s="36"/>
      <c r="AL631" s="36"/>
      <c r="AM631" s="36"/>
      <c r="AN631" s="36"/>
      <c r="AO631" s="36" t="s">
        <v>39</v>
      </c>
      <c r="AP631" s="36">
        <v>1</v>
      </c>
      <c r="AQ631" s="36"/>
      <c r="AR631" s="36"/>
      <c r="AS631" s="36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8" t="s">
        <v>38</v>
      </c>
      <c r="BF631" s="38" t="s">
        <v>66</v>
      </c>
      <c r="BG631" s="37">
        <v>1</v>
      </c>
      <c r="BH631" s="26"/>
      <c r="BI631" s="26">
        <v>2</v>
      </c>
      <c r="BJ631" s="26"/>
      <c r="BK631" s="26"/>
      <c r="BL631" s="26"/>
      <c r="BM631" s="26"/>
      <c r="BN631" s="26"/>
      <c r="BO631" s="37">
        <f t="shared" si="49"/>
        <v>4</v>
      </c>
      <c r="BP631" s="56">
        <f t="shared" si="50"/>
        <v>0</v>
      </c>
      <c r="BQ631" s="56">
        <f t="shared" si="51"/>
        <v>0</v>
      </c>
      <c r="BR631" s="57">
        <f t="shared" si="52"/>
        <v>0</v>
      </c>
      <c r="BS631" s="38"/>
      <c r="BT631" s="38"/>
      <c r="BU631" s="26">
        <v>1</v>
      </c>
      <c r="BV631" s="26"/>
      <c r="BW631" s="39">
        <f t="shared" si="53"/>
        <v>4</v>
      </c>
      <c r="BX631" s="78">
        <v>1</v>
      </c>
      <c r="BY631" s="63">
        <v>7</v>
      </c>
      <c r="CB631" s="7"/>
      <c r="CC631" s="7"/>
    </row>
    <row r="632" spans="1:81" x14ac:dyDescent="0.2">
      <c r="A632" s="109" t="s">
        <v>334</v>
      </c>
      <c r="B632" s="45">
        <v>35</v>
      </c>
      <c r="C632" s="111" t="s">
        <v>200</v>
      </c>
      <c r="D632" s="38">
        <v>1</v>
      </c>
      <c r="E632" s="38">
        <v>2</v>
      </c>
      <c r="F632" s="38">
        <v>2</v>
      </c>
      <c r="G632" s="38" t="s">
        <v>51</v>
      </c>
      <c r="H632" s="38">
        <v>4</v>
      </c>
      <c r="I632" s="38" t="s">
        <v>51</v>
      </c>
      <c r="J632" s="38" t="s">
        <v>69</v>
      </c>
      <c r="K632" s="38"/>
      <c r="L632" s="38">
        <v>5</v>
      </c>
      <c r="M632" s="40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8"/>
      <c r="BF632" s="38"/>
      <c r="BG632" s="39"/>
      <c r="BH632" s="38"/>
      <c r="BI632" s="38"/>
      <c r="BJ632" s="38"/>
      <c r="BK632" s="38"/>
      <c r="BL632" s="38"/>
      <c r="BM632" s="38"/>
      <c r="BO632" s="37">
        <f t="shared" si="49"/>
        <v>0</v>
      </c>
      <c r="BP632" s="56">
        <f t="shared" si="50"/>
        <v>0</v>
      </c>
      <c r="BQ632" s="56">
        <f t="shared" si="51"/>
        <v>0</v>
      </c>
      <c r="BR632" s="57">
        <f t="shared" si="52"/>
        <v>0</v>
      </c>
      <c r="BS632" s="38"/>
      <c r="BT632" s="38"/>
      <c r="BU632" s="26"/>
      <c r="BV632" s="26"/>
      <c r="BW632" s="39">
        <f t="shared" si="53"/>
        <v>0</v>
      </c>
      <c r="BX632" s="78">
        <v>0</v>
      </c>
      <c r="BY632" s="63">
        <v>12</v>
      </c>
    </row>
    <row r="633" spans="1:81" ht="16" x14ac:dyDescent="0.2">
      <c r="A633" s="109" t="s">
        <v>334</v>
      </c>
      <c r="B633" s="45">
        <v>35</v>
      </c>
      <c r="C633" s="109" t="s">
        <v>200</v>
      </c>
      <c r="D633" s="38">
        <v>2</v>
      </c>
      <c r="E633" s="38">
        <v>2</v>
      </c>
      <c r="F633" s="38">
        <v>2</v>
      </c>
      <c r="G633" s="38" t="s">
        <v>51</v>
      </c>
      <c r="H633" s="38">
        <v>4</v>
      </c>
      <c r="I633" s="38" t="s">
        <v>51</v>
      </c>
      <c r="J633" s="38" t="s">
        <v>42</v>
      </c>
      <c r="K633" s="38"/>
      <c r="L633" s="38">
        <v>5</v>
      </c>
      <c r="M633" s="40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 t="s">
        <v>38</v>
      </c>
      <c r="AT633" s="36">
        <f>11/16</f>
        <v>0.6875</v>
      </c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8"/>
      <c r="BF633" s="38"/>
      <c r="BG633" s="39"/>
      <c r="BH633" s="38">
        <v>1</v>
      </c>
      <c r="BI633" s="38"/>
      <c r="BJ633" s="38"/>
      <c r="BK633" s="38"/>
      <c r="BL633" s="38"/>
      <c r="BM633" s="38"/>
      <c r="BN633" s="38"/>
      <c r="BO633" s="37">
        <f t="shared" si="49"/>
        <v>0</v>
      </c>
      <c r="BP633" s="56">
        <f t="shared" si="50"/>
        <v>1</v>
      </c>
      <c r="BQ633" s="56">
        <f t="shared" si="51"/>
        <v>0</v>
      </c>
      <c r="BR633" s="57">
        <f t="shared" si="52"/>
        <v>0</v>
      </c>
      <c r="BS633" s="38"/>
      <c r="BT633" s="38"/>
      <c r="BU633" s="26"/>
      <c r="BV633" s="26"/>
      <c r="BW633" s="39">
        <f t="shared" si="53"/>
        <v>1</v>
      </c>
      <c r="BX633" s="78">
        <v>3</v>
      </c>
      <c r="BY633" s="63">
        <v>8</v>
      </c>
      <c r="BZ633" s="7"/>
      <c r="CA633" s="8"/>
      <c r="CB633" s="7"/>
      <c r="CC633" s="7"/>
    </row>
    <row r="634" spans="1:81" x14ac:dyDescent="0.2">
      <c r="A634" s="109" t="s">
        <v>334</v>
      </c>
      <c r="B634" s="45">
        <v>35</v>
      </c>
      <c r="C634" s="109" t="s">
        <v>200</v>
      </c>
      <c r="D634" s="38">
        <v>3</v>
      </c>
      <c r="E634" s="38">
        <v>2</v>
      </c>
      <c r="F634" s="38">
        <v>2</v>
      </c>
      <c r="G634" s="38" t="s">
        <v>51</v>
      </c>
      <c r="H634" s="38">
        <v>4</v>
      </c>
      <c r="I634" s="38" t="s">
        <v>51</v>
      </c>
      <c r="J634" s="38" t="s">
        <v>42</v>
      </c>
      <c r="K634" s="38"/>
      <c r="L634" s="38">
        <v>6</v>
      </c>
      <c r="M634" s="40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8"/>
      <c r="BF634" s="38"/>
      <c r="BG634" s="39"/>
      <c r="BH634" s="38"/>
      <c r="BI634" s="38"/>
      <c r="BJ634" s="38"/>
      <c r="BK634" s="38"/>
      <c r="BL634" s="38"/>
      <c r="BM634" s="38"/>
      <c r="BN634" s="38"/>
      <c r="BO634" s="37">
        <f t="shared" si="49"/>
        <v>0</v>
      </c>
      <c r="BP634" s="56">
        <f t="shared" si="50"/>
        <v>0</v>
      </c>
      <c r="BQ634" s="56">
        <f t="shared" si="51"/>
        <v>0</v>
      </c>
      <c r="BR634" s="57">
        <f t="shared" si="52"/>
        <v>0</v>
      </c>
      <c r="BS634" s="38"/>
      <c r="BT634" s="38"/>
      <c r="BU634" s="26"/>
      <c r="BV634" s="26"/>
      <c r="BW634" s="39">
        <f t="shared" si="53"/>
        <v>0</v>
      </c>
      <c r="BX634" s="78">
        <v>0</v>
      </c>
      <c r="BY634" s="63">
        <v>8</v>
      </c>
      <c r="BZ634" s="7"/>
      <c r="CA634" s="8"/>
      <c r="CB634" s="7"/>
      <c r="CC634" s="7"/>
    </row>
    <row r="635" spans="1:81" ht="16" x14ac:dyDescent="0.2">
      <c r="A635" s="109" t="s">
        <v>334</v>
      </c>
      <c r="B635" s="45">
        <v>35</v>
      </c>
      <c r="C635" s="109" t="s">
        <v>200</v>
      </c>
      <c r="D635" s="38">
        <v>4</v>
      </c>
      <c r="E635" s="38">
        <v>2</v>
      </c>
      <c r="F635" s="38">
        <v>2</v>
      </c>
      <c r="G635" s="38" t="s">
        <v>51</v>
      </c>
      <c r="H635" s="38">
        <v>4</v>
      </c>
      <c r="I635" s="38" t="s">
        <v>51</v>
      </c>
      <c r="J635" s="38" t="s">
        <v>42</v>
      </c>
      <c r="K635" s="38"/>
      <c r="L635" s="38">
        <v>5</v>
      </c>
      <c r="M635" s="40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 t="s">
        <v>43</v>
      </c>
      <c r="Z635" s="36">
        <f>8.5/16</f>
        <v>0.53125</v>
      </c>
      <c r="AA635" s="36"/>
      <c r="AB635" s="36"/>
      <c r="AC635" s="36" t="s">
        <v>57</v>
      </c>
      <c r="AD635" s="36">
        <f>15/16</f>
        <v>0.9375</v>
      </c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 t="s">
        <v>39</v>
      </c>
      <c r="AZ635" s="36">
        <f>9/16</f>
        <v>0.5625</v>
      </c>
      <c r="BA635" s="36" t="s">
        <v>39</v>
      </c>
      <c r="BB635" s="36">
        <f>15/16</f>
        <v>0.9375</v>
      </c>
      <c r="BC635" s="36"/>
      <c r="BD635" s="36"/>
      <c r="BE635" s="38"/>
      <c r="BF635" s="38"/>
      <c r="BG635" s="39"/>
      <c r="BH635" s="38"/>
      <c r="BI635" s="38">
        <v>1</v>
      </c>
      <c r="BJ635" s="38">
        <v>1</v>
      </c>
      <c r="BK635" s="38"/>
      <c r="BL635" s="38"/>
      <c r="BM635" s="38">
        <v>1</v>
      </c>
      <c r="BO635" s="37">
        <f t="shared" si="49"/>
        <v>1</v>
      </c>
      <c r="BP635" s="56">
        <f t="shared" si="50"/>
        <v>1</v>
      </c>
      <c r="BQ635" s="56">
        <f t="shared" si="51"/>
        <v>2</v>
      </c>
      <c r="BR635" s="57">
        <f t="shared" si="52"/>
        <v>0</v>
      </c>
      <c r="BS635" s="38">
        <v>1</v>
      </c>
      <c r="BT635" s="38"/>
      <c r="BU635" s="26"/>
      <c r="BV635" s="26"/>
      <c r="BW635" s="39">
        <f t="shared" si="53"/>
        <v>4</v>
      </c>
      <c r="BX635" s="78">
        <v>2</v>
      </c>
      <c r="BY635" s="63">
        <v>8</v>
      </c>
    </row>
    <row r="636" spans="1:81" ht="16" x14ac:dyDescent="0.2">
      <c r="A636" s="109" t="s">
        <v>334</v>
      </c>
      <c r="B636" s="45">
        <v>35</v>
      </c>
      <c r="C636" s="109" t="s">
        <v>200</v>
      </c>
      <c r="D636" s="38">
        <v>5</v>
      </c>
      <c r="E636" s="38">
        <v>2</v>
      </c>
      <c r="F636" s="38">
        <v>2</v>
      </c>
      <c r="G636" s="38" t="s">
        <v>51</v>
      </c>
      <c r="H636" s="38">
        <v>4</v>
      </c>
      <c r="I636" s="38" t="s">
        <v>51</v>
      </c>
      <c r="J636" s="38" t="s">
        <v>41</v>
      </c>
      <c r="K636" s="38"/>
      <c r="L636" s="38">
        <v>5</v>
      </c>
      <c r="M636" s="40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 t="s">
        <v>38</v>
      </c>
      <c r="AD636" s="36">
        <v>1</v>
      </c>
      <c r="AE636" s="36" t="s">
        <v>38</v>
      </c>
      <c r="AF636" s="36">
        <v>1</v>
      </c>
      <c r="AG636" s="36" t="s">
        <v>38</v>
      </c>
      <c r="AH636" s="36">
        <v>1</v>
      </c>
      <c r="AI636" s="36"/>
      <c r="AJ636" s="36"/>
      <c r="AK636" s="36"/>
      <c r="AL636" s="36"/>
      <c r="AM636" s="36"/>
      <c r="AN636" s="36"/>
      <c r="AO636" s="36" t="s">
        <v>38</v>
      </c>
      <c r="AP636" s="36">
        <v>1</v>
      </c>
      <c r="AQ636" s="36" t="s">
        <v>38</v>
      </c>
      <c r="AR636" s="36">
        <v>2</v>
      </c>
      <c r="AS636" s="36"/>
      <c r="AT636" s="36"/>
      <c r="AU636" s="36"/>
      <c r="AV636" s="36"/>
      <c r="AW636" s="36"/>
      <c r="AX636" s="36"/>
      <c r="AY636" s="36" t="s">
        <v>38</v>
      </c>
      <c r="AZ636" s="36">
        <v>0.81</v>
      </c>
      <c r="BA636" s="36"/>
      <c r="BB636" s="36"/>
      <c r="BC636" s="36"/>
      <c r="BD636" s="36"/>
      <c r="BE636" s="38" t="s">
        <v>38</v>
      </c>
      <c r="BF636" s="38" t="s">
        <v>81</v>
      </c>
      <c r="BG636" s="39">
        <v>6</v>
      </c>
      <c r="BH636" s="38"/>
      <c r="BI636" s="38"/>
      <c r="BJ636" s="38"/>
      <c r="BK636" s="38"/>
      <c r="BL636" s="38"/>
      <c r="BM636" s="38"/>
      <c r="BN636" s="38"/>
      <c r="BO636" s="37">
        <f t="shared" si="49"/>
        <v>7</v>
      </c>
      <c r="BP636" s="56">
        <f t="shared" si="50"/>
        <v>0</v>
      </c>
      <c r="BQ636" s="56">
        <f t="shared" si="51"/>
        <v>0</v>
      </c>
      <c r="BR636" s="57">
        <f t="shared" si="52"/>
        <v>0</v>
      </c>
      <c r="BS636" s="38"/>
      <c r="BT636" s="38"/>
      <c r="BU636" s="26">
        <v>1</v>
      </c>
      <c r="BV636" s="26"/>
      <c r="BW636" s="39">
        <f t="shared" si="53"/>
        <v>7</v>
      </c>
      <c r="BX636" s="78">
        <v>1</v>
      </c>
      <c r="BY636" s="63">
        <v>10</v>
      </c>
      <c r="BZ636" s="7"/>
      <c r="CA636" s="8"/>
      <c r="CB636" s="7"/>
      <c r="CC636" s="7"/>
    </row>
    <row r="637" spans="1:81" x14ac:dyDescent="0.2">
      <c r="A637" s="109" t="s">
        <v>334</v>
      </c>
      <c r="B637" s="45">
        <v>35</v>
      </c>
      <c r="C637" s="109" t="s">
        <v>200</v>
      </c>
      <c r="D637" s="38">
        <v>6</v>
      </c>
      <c r="E637" s="38">
        <v>2</v>
      </c>
      <c r="F637" s="38">
        <v>2</v>
      </c>
      <c r="G637" s="38" t="s">
        <v>51</v>
      </c>
      <c r="H637" s="38">
        <v>4</v>
      </c>
      <c r="I637" s="38" t="s">
        <v>51</v>
      </c>
      <c r="J637" s="38" t="s">
        <v>65</v>
      </c>
      <c r="K637" s="38"/>
      <c r="L637" s="38">
        <v>5</v>
      </c>
      <c r="M637" s="40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8"/>
      <c r="BF637" s="38"/>
      <c r="BG637" s="39"/>
      <c r="BH637" s="38"/>
      <c r="BI637" s="38"/>
      <c r="BJ637" s="38"/>
      <c r="BK637" s="38"/>
      <c r="BL637" s="38"/>
      <c r="BM637" s="38"/>
      <c r="BN637" s="38"/>
      <c r="BO637" s="37">
        <f t="shared" ref="BO637:BO663" si="54">BG637+BI637+BU637</f>
        <v>0</v>
      </c>
      <c r="BP637" s="56">
        <f t="shared" ref="BP637:BP663" si="55">BH637+BJ637</f>
        <v>0</v>
      </c>
      <c r="BQ637" s="56">
        <f t="shared" ref="BQ637:BQ663" si="56">BK637+BM637+BV637+BS637</f>
        <v>0</v>
      </c>
      <c r="BR637" s="57">
        <f t="shared" ref="BR637:BR663" si="57">BL637+BN637+BT637</f>
        <v>0</v>
      </c>
      <c r="BS637" s="38"/>
      <c r="BT637" s="38"/>
      <c r="BU637" s="26"/>
      <c r="BV637" s="26"/>
      <c r="BW637" s="39">
        <f t="shared" ref="BW637:BW664" si="58">SUM(BO637:BR637)</f>
        <v>0</v>
      </c>
      <c r="BX637" s="78">
        <v>0</v>
      </c>
      <c r="BY637" s="63">
        <v>11</v>
      </c>
      <c r="BZ637" s="7"/>
      <c r="CA637" s="8"/>
      <c r="CB637" s="7"/>
      <c r="CC637" s="7"/>
    </row>
    <row r="638" spans="1:81" x14ac:dyDescent="0.2">
      <c r="A638" s="109" t="s">
        <v>334</v>
      </c>
      <c r="B638" s="45">
        <v>35</v>
      </c>
      <c r="C638" s="109" t="s">
        <v>200</v>
      </c>
      <c r="D638" s="38">
        <v>8</v>
      </c>
      <c r="E638" s="38">
        <v>2</v>
      </c>
      <c r="F638" s="38">
        <v>2</v>
      </c>
      <c r="G638" s="38" t="s">
        <v>51</v>
      </c>
      <c r="H638" s="38">
        <v>4</v>
      </c>
      <c r="I638" s="38" t="s">
        <v>51</v>
      </c>
      <c r="J638" s="38" t="s">
        <v>41</v>
      </c>
      <c r="K638" s="38"/>
      <c r="L638" s="38">
        <v>6</v>
      </c>
      <c r="M638" s="40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8"/>
      <c r="BF638" s="38"/>
      <c r="BG638" s="39"/>
      <c r="BH638" s="38"/>
      <c r="BI638" s="38"/>
      <c r="BJ638" s="38"/>
      <c r="BK638" s="38"/>
      <c r="BL638" s="38"/>
      <c r="BM638" s="38"/>
      <c r="BN638" s="38"/>
      <c r="BO638" s="37">
        <f t="shared" si="54"/>
        <v>0</v>
      </c>
      <c r="BP638" s="56">
        <f t="shared" si="55"/>
        <v>0</v>
      </c>
      <c r="BQ638" s="56">
        <f t="shared" si="56"/>
        <v>0</v>
      </c>
      <c r="BR638" s="57">
        <f t="shared" si="57"/>
        <v>0</v>
      </c>
      <c r="BS638" s="38"/>
      <c r="BT638" s="38"/>
      <c r="BU638" s="26"/>
      <c r="BV638" s="26"/>
      <c r="BW638" s="39">
        <f t="shared" si="58"/>
        <v>0</v>
      </c>
      <c r="BX638" s="78">
        <v>0</v>
      </c>
      <c r="BY638" s="63">
        <v>10</v>
      </c>
      <c r="BZ638" s="7"/>
      <c r="CA638" s="8"/>
      <c r="CB638" s="7"/>
      <c r="CC638" s="7"/>
    </row>
    <row r="639" spans="1:81" ht="16" x14ac:dyDescent="0.2">
      <c r="A639" s="109" t="s">
        <v>335</v>
      </c>
      <c r="B639" s="26">
        <v>38</v>
      </c>
      <c r="C639" s="109" t="s">
        <v>201</v>
      </c>
      <c r="D639" s="38">
        <v>2</v>
      </c>
      <c r="E639" s="38">
        <v>2</v>
      </c>
      <c r="F639" s="38">
        <v>2</v>
      </c>
      <c r="G639" s="38" t="s">
        <v>51</v>
      </c>
      <c r="H639" s="38">
        <v>4</v>
      </c>
      <c r="I639" s="38" t="s">
        <v>51</v>
      </c>
      <c r="J639" s="38" t="s">
        <v>37</v>
      </c>
      <c r="K639" s="38"/>
      <c r="L639" s="38">
        <v>5</v>
      </c>
      <c r="M639" s="40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 t="s">
        <v>38</v>
      </c>
      <c r="AR639" s="36">
        <f>18/16</f>
        <v>1.125</v>
      </c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8"/>
      <c r="BF639" s="38"/>
      <c r="BG639" s="39">
        <v>1</v>
      </c>
      <c r="BH639" s="38"/>
      <c r="BI639" s="38"/>
      <c r="BJ639" s="38"/>
      <c r="BK639" s="38"/>
      <c r="BL639" s="38"/>
      <c r="BM639" s="38"/>
      <c r="BN639" s="38"/>
      <c r="BO639" s="37">
        <f t="shared" si="54"/>
        <v>1</v>
      </c>
      <c r="BP639" s="56">
        <f t="shared" si="55"/>
        <v>0</v>
      </c>
      <c r="BQ639" s="56">
        <f t="shared" si="56"/>
        <v>0</v>
      </c>
      <c r="BR639" s="57">
        <f t="shared" si="57"/>
        <v>0</v>
      </c>
      <c r="BS639" s="38"/>
      <c r="BT639" s="38"/>
      <c r="BU639" s="26"/>
      <c r="BV639" s="26"/>
      <c r="BW639" s="39">
        <f t="shared" si="58"/>
        <v>1</v>
      </c>
      <c r="BX639" s="78">
        <v>1</v>
      </c>
      <c r="BY639" s="63">
        <v>9</v>
      </c>
      <c r="BZ639" s="7"/>
      <c r="CA639" s="8"/>
      <c r="CB639" s="7"/>
      <c r="CC639" s="7"/>
    </row>
    <row r="640" spans="1:81" ht="16" x14ac:dyDescent="0.2">
      <c r="A640" s="109" t="s">
        <v>335</v>
      </c>
      <c r="B640" s="26">
        <v>38</v>
      </c>
      <c r="C640" s="109" t="s">
        <v>201</v>
      </c>
      <c r="D640" s="38">
        <v>3</v>
      </c>
      <c r="E640" s="38">
        <v>2</v>
      </c>
      <c r="F640" s="38">
        <v>2</v>
      </c>
      <c r="G640" s="38" t="s">
        <v>51</v>
      </c>
      <c r="H640" s="38">
        <v>4</v>
      </c>
      <c r="I640" s="38" t="s">
        <v>51</v>
      </c>
      <c r="J640" s="38" t="s">
        <v>65</v>
      </c>
      <c r="K640" s="38"/>
      <c r="L640" s="38">
        <v>5</v>
      </c>
      <c r="M640" s="40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 t="s">
        <v>39</v>
      </c>
      <c r="AX640" s="36">
        <f>12/16</f>
        <v>0.75</v>
      </c>
      <c r="AY640" s="36"/>
      <c r="AZ640" s="36"/>
      <c r="BA640" s="36"/>
      <c r="BB640" s="36"/>
      <c r="BC640" s="36"/>
      <c r="BD640" s="36"/>
      <c r="BE640" s="38"/>
      <c r="BF640" s="38"/>
      <c r="BG640" s="39"/>
      <c r="BH640" s="38"/>
      <c r="BI640" s="38">
        <v>1</v>
      </c>
      <c r="BJ640" s="38"/>
      <c r="BK640" s="38"/>
      <c r="BL640" s="38"/>
      <c r="BM640" s="38"/>
      <c r="BN640" s="38"/>
      <c r="BO640" s="37">
        <f t="shared" si="54"/>
        <v>1</v>
      </c>
      <c r="BP640" s="56">
        <f t="shared" si="55"/>
        <v>0</v>
      </c>
      <c r="BQ640" s="56">
        <f t="shared" si="56"/>
        <v>0</v>
      </c>
      <c r="BR640" s="57">
        <f t="shared" si="57"/>
        <v>0</v>
      </c>
      <c r="BS640" s="38"/>
      <c r="BT640" s="38"/>
      <c r="BU640" s="26"/>
      <c r="BV640" s="26"/>
      <c r="BW640" s="39">
        <f t="shared" si="58"/>
        <v>1</v>
      </c>
      <c r="BX640" s="78">
        <v>1</v>
      </c>
      <c r="BY640" s="63">
        <v>11</v>
      </c>
      <c r="BZ640" s="7"/>
      <c r="CA640" s="8"/>
      <c r="CB640" s="7"/>
      <c r="CC640" s="7"/>
    </row>
    <row r="641" spans="1:81" ht="16" x14ac:dyDescent="0.2">
      <c r="A641" s="109" t="s">
        <v>335</v>
      </c>
      <c r="B641" s="26">
        <v>38</v>
      </c>
      <c r="C641" s="109" t="s">
        <v>201</v>
      </c>
      <c r="D641" s="38">
        <v>4</v>
      </c>
      <c r="E641" s="38">
        <v>2</v>
      </c>
      <c r="F641" s="38">
        <v>2</v>
      </c>
      <c r="G641" s="38" t="s">
        <v>51</v>
      </c>
      <c r="H641" s="38">
        <v>4</v>
      </c>
      <c r="I641" s="38" t="s">
        <v>51</v>
      </c>
      <c r="J641" s="38" t="s">
        <v>65</v>
      </c>
      <c r="K641" s="38"/>
      <c r="L641" s="38">
        <v>5</v>
      </c>
      <c r="M641" s="40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 t="s">
        <v>38</v>
      </c>
      <c r="Z641" s="36">
        <f>5/16</f>
        <v>0.3125</v>
      </c>
      <c r="AA641" s="36"/>
      <c r="AB641" s="36"/>
      <c r="AC641" s="36"/>
      <c r="AD641" s="36"/>
      <c r="AE641" s="36"/>
      <c r="AF641" s="36"/>
      <c r="AG641" s="36" t="s">
        <v>48</v>
      </c>
      <c r="AH641" s="36">
        <f>6/16</f>
        <v>0.375</v>
      </c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8"/>
      <c r="BF641" s="38"/>
      <c r="BG641" s="39"/>
      <c r="BH641" s="38">
        <v>1</v>
      </c>
      <c r="BI641" s="38"/>
      <c r="BJ641" s="38"/>
      <c r="BK641" s="38"/>
      <c r="BL641" s="38">
        <v>1</v>
      </c>
      <c r="BM641" s="38"/>
      <c r="BN641" s="38"/>
      <c r="BO641" s="37">
        <f t="shared" si="54"/>
        <v>0</v>
      </c>
      <c r="BP641" s="56">
        <f t="shared" si="55"/>
        <v>1</v>
      </c>
      <c r="BQ641" s="56">
        <f t="shared" si="56"/>
        <v>0</v>
      </c>
      <c r="BR641" s="57">
        <f t="shared" si="57"/>
        <v>1</v>
      </c>
      <c r="BS641" s="38"/>
      <c r="BT641" s="38"/>
      <c r="BU641" s="26"/>
      <c r="BV641" s="26"/>
      <c r="BW641" s="39">
        <f t="shared" si="58"/>
        <v>2</v>
      </c>
      <c r="BX641" s="78">
        <v>4</v>
      </c>
      <c r="BY641" s="63">
        <v>11</v>
      </c>
      <c r="BZ641" s="7"/>
      <c r="CA641" s="8"/>
      <c r="CB641" s="7"/>
      <c r="CC641" s="7"/>
    </row>
    <row r="642" spans="1:81" x14ac:dyDescent="0.2">
      <c r="A642" s="109" t="s">
        <v>335</v>
      </c>
      <c r="B642" s="26">
        <v>38</v>
      </c>
      <c r="C642" s="109" t="s">
        <v>201</v>
      </c>
      <c r="D642" s="38">
        <v>5</v>
      </c>
      <c r="E642" s="38">
        <v>2</v>
      </c>
      <c r="F642" s="38">
        <v>2</v>
      </c>
      <c r="G642" s="38" t="s">
        <v>51</v>
      </c>
      <c r="H642" s="38">
        <v>4</v>
      </c>
      <c r="I642" s="38" t="s">
        <v>51</v>
      </c>
      <c r="J642" s="38" t="s">
        <v>78</v>
      </c>
      <c r="K642" s="38"/>
      <c r="L642" s="38">
        <v>5</v>
      </c>
      <c r="M642" s="40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8"/>
      <c r="BF642" s="38"/>
      <c r="BG642" s="39"/>
      <c r="BH642" s="38"/>
      <c r="BI642" s="38"/>
      <c r="BJ642" s="38"/>
      <c r="BK642" s="38"/>
      <c r="BL642" s="38"/>
      <c r="BM642" s="38"/>
      <c r="BN642" s="38"/>
      <c r="BO642" s="37">
        <f t="shared" si="54"/>
        <v>0</v>
      </c>
      <c r="BP642" s="56">
        <f t="shared" si="55"/>
        <v>0</v>
      </c>
      <c r="BQ642" s="56">
        <f t="shared" si="56"/>
        <v>0</v>
      </c>
      <c r="BR642" s="57">
        <f t="shared" si="57"/>
        <v>0</v>
      </c>
      <c r="BS642" s="38"/>
      <c r="BT642" s="38"/>
      <c r="BU642" s="26"/>
      <c r="BV642" s="26"/>
      <c r="BW642" s="39">
        <f t="shared" si="58"/>
        <v>0</v>
      </c>
      <c r="BX642" s="78">
        <v>0</v>
      </c>
      <c r="BY642" s="63">
        <v>13</v>
      </c>
      <c r="BZ642" s="7"/>
      <c r="CA642" s="8"/>
      <c r="CB642" s="7"/>
      <c r="CC642" s="7"/>
    </row>
    <row r="643" spans="1:81" x14ac:dyDescent="0.2">
      <c r="A643" s="109" t="s">
        <v>335</v>
      </c>
      <c r="B643" s="26">
        <v>38</v>
      </c>
      <c r="C643" s="109" t="s">
        <v>201</v>
      </c>
      <c r="D643" s="38">
        <v>6</v>
      </c>
      <c r="E643" s="38">
        <v>2</v>
      </c>
      <c r="F643" s="38">
        <v>2</v>
      </c>
      <c r="G643" s="38" t="s">
        <v>51</v>
      </c>
      <c r="H643" s="38">
        <v>4</v>
      </c>
      <c r="I643" s="38" t="s">
        <v>51</v>
      </c>
      <c r="J643" s="38" t="s">
        <v>65</v>
      </c>
      <c r="K643" s="38"/>
      <c r="L643" s="38">
        <v>5</v>
      </c>
      <c r="M643" s="40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8"/>
      <c r="BF643" s="38"/>
      <c r="BG643" s="39"/>
      <c r="BH643" s="38"/>
      <c r="BI643" s="38"/>
      <c r="BJ643" s="38"/>
      <c r="BK643" s="38"/>
      <c r="BL643" s="38"/>
      <c r="BM643" s="38"/>
      <c r="BN643" s="38"/>
      <c r="BO643" s="37">
        <f t="shared" si="54"/>
        <v>0</v>
      </c>
      <c r="BP643" s="56">
        <f t="shared" si="55"/>
        <v>0</v>
      </c>
      <c r="BQ643" s="56">
        <f t="shared" si="56"/>
        <v>0</v>
      </c>
      <c r="BR643" s="57">
        <f t="shared" si="57"/>
        <v>0</v>
      </c>
      <c r="BS643" s="38"/>
      <c r="BT643" s="38"/>
      <c r="BU643" s="26"/>
      <c r="BV643" s="26"/>
      <c r="BW643" s="39">
        <f t="shared" si="58"/>
        <v>0</v>
      </c>
      <c r="BX643" s="78">
        <v>0</v>
      </c>
      <c r="BY643" s="63">
        <v>11</v>
      </c>
      <c r="BZ643" s="7"/>
      <c r="CA643" s="8"/>
      <c r="CB643" s="7"/>
      <c r="CC643" s="7"/>
    </row>
    <row r="644" spans="1:81" x14ac:dyDescent="0.2">
      <c r="A644" s="109" t="s">
        <v>335</v>
      </c>
      <c r="B644" s="26">
        <v>38</v>
      </c>
      <c r="C644" s="109" t="s">
        <v>201</v>
      </c>
      <c r="D644" s="38">
        <v>7</v>
      </c>
      <c r="E644" s="38">
        <v>2</v>
      </c>
      <c r="F644" s="38">
        <v>2</v>
      </c>
      <c r="G644" s="38" t="s">
        <v>51</v>
      </c>
      <c r="H644" s="38">
        <v>4</v>
      </c>
      <c r="I644" s="38" t="s">
        <v>51</v>
      </c>
      <c r="J644" s="38" t="s">
        <v>65</v>
      </c>
      <c r="K644" s="38"/>
      <c r="L644" s="38">
        <v>5</v>
      </c>
      <c r="M644" s="40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8"/>
      <c r="BF644" s="38"/>
      <c r="BG644" s="39"/>
      <c r="BH644" s="38"/>
      <c r="BI644" s="38"/>
      <c r="BJ644" s="38"/>
      <c r="BK644" s="38"/>
      <c r="BL644" s="38"/>
      <c r="BM644" s="38"/>
      <c r="BN644" s="38"/>
      <c r="BO644" s="37">
        <f t="shared" si="54"/>
        <v>0</v>
      </c>
      <c r="BP644" s="56">
        <f t="shared" si="55"/>
        <v>0</v>
      </c>
      <c r="BQ644" s="56">
        <f t="shared" si="56"/>
        <v>0</v>
      </c>
      <c r="BR644" s="57">
        <f t="shared" si="57"/>
        <v>0</v>
      </c>
      <c r="BS644" s="38"/>
      <c r="BT644" s="38"/>
      <c r="BU644" s="26"/>
      <c r="BV644" s="26"/>
      <c r="BW644" s="39">
        <f t="shared" si="58"/>
        <v>0</v>
      </c>
      <c r="BX644" s="78">
        <v>0</v>
      </c>
      <c r="BY644" s="63">
        <v>11</v>
      </c>
      <c r="BZ644" s="7"/>
      <c r="CA644" s="8"/>
      <c r="CB644" s="7"/>
      <c r="CC644" s="7"/>
    </row>
    <row r="645" spans="1:81" ht="16" x14ac:dyDescent="0.2">
      <c r="A645" s="109" t="s">
        <v>335</v>
      </c>
      <c r="B645" s="26">
        <v>38</v>
      </c>
      <c r="C645" s="109" t="s">
        <v>201</v>
      </c>
      <c r="D645" s="38">
        <v>8</v>
      </c>
      <c r="E645" s="38">
        <v>2</v>
      </c>
      <c r="F645" s="38">
        <v>2</v>
      </c>
      <c r="G645" s="38" t="s">
        <v>51</v>
      </c>
      <c r="H645" s="38">
        <v>4</v>
      </c>
      <c r="I645" s="38" t="s">
        <v>51</v>
      </c>
      <c r="J645" s="38" t="s">
        <v>41</v>
      </c>
      <c r="K645" s="38"/>
      <c r="L645" s="38">
        <v>5</v>
      </c>
      <c r="M645" s="40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 t="s">
        <v>39</v>
      </c>
      <c r="AX645" s="36">
        <f>13/16</f>
        <v>0.8125</v>
      </c>
      <c r="AY645" s="36"/>
      <c r="AZ645" s="36"/>
      <c r="BA645" s="36"/>
      <c r="BB645" s="36"/>
      <c r="BC645" s="36"/>
      <c r="BD645" s="36"/>
      <c r="BE645" s="38"/>
      <c r="BF645" s="38"/>
      <c r="BG645" s="39"/>
      <c r="BH645" s="38"/>
      <c r="BI645" s="38">
        <v>1</v>
      </c>
      <c r="BJ645" s="38"/>
      <c r="BK645" s="38"/>
      <c r="BL645" s="38"/>
      <c r="BM645" s="38"/>
      <c r="BN645" s="38"/>
      <c r="BO645" s="37">
        <f t="shared" si="54"/>
        <v>1</v>
      </c>
      <c r="BP645" s="56">
        <f t="shared" si="55"/>
        <v>0</v>
      </c>
      <c r="BQ645" s="56">
        <f t="shared" si="56"/>
        <v>0</v>
      </c>
      <c r="BR645" s="57">
        <f t="shared" si="57"/>
        <v>0</v>
      </c>
      <c r="BS645" s="38"/>
      <c r="BT645" s="38"/>
      <c r="BU645" s="26"/>
      <c r="BV645" s="26"/>
      <c r="BW645" s="39">
        <f t="shared" si="58"/>
        <v>1</v>
      </c>
      <c r="BX645" s="78">
        <v>1</v>
      </c>
      <c r="BY645" s="63">
        <v>10</v>
      </c>
      <c r="BZ645" s="7"/>
      <c r="CA645" s="8"/>
      <c r="CB645" s="7"/>
      <c r="CC645" s="7"/>
    </row>
    <row r="646" spans="1:81" ht="16" x14ac:dyDescent="0.2">
      <c r="A646" s="109" t="s">
        <v>335</v>
      </c>
      <c r="B646" s="26">
        <v>38</v>
      </c>
      <c r="C646" s="109" t="s">
        <v>201</v>
      </c>
      <c r="D646" s="38">
        <v>9</v>
      </c>
      <c r="E646" s="38">
        <v>2</v>
      </c>
      <c r="F646" s="38">
        <v>2</v>
      </c>
      <c r="G646" s="38" t="s">
        <v>51</v>
      </c>
      <c r="H646" s="38">
        <v>4</v>
      </c>
      <c r="I646" s="38" t="s">
        <v>51</v>
      </c>
      <c r="J646" s="38" t="s">
        <v>65</v>
      </c>
      <c r="K646" s="38"/>
      <c r="L646" s="38">
        <v>6</v>
      </c>
      <c r="M646" s="40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 t="s">
        <v>39</v>
      </c>
      <c r="AR646" s="36">
        <f>14/16</f>
        <v>0.875</v>
      </c>
      <c r="AS646" s="36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8"/>
      <c r="BF646" s="38"/>
      <c r="BG646" s="39"/>
      <c r="BH646" s="38"/>
      <c r="BI646" s="38">
        <v>1</v>
      </c>
      <c r="BJ646" s="38"/>
      <c r="BK646" s="38"/>
      <c r="BL646" s="38"/>
      <c r="BM646" s="38"/>
      <c r="BN646" s="38"/>
      <c r="BO646" s="37">
        <f t="shared" si="54"/>
        <v>1</v>
      </c>
      <c r="BP646" s="56">
        <f t="shared" si="55"/>
        <v>0</v>
      </c>
      <c r="BQ646" s="56">
        <f t="shared" si="56"/>
        <v>0</v>
      </c>
      <c r="BR646" s="57">
        <f t="shared" si="57"/>
        <v>0</v>
      </c>
      <c r="BS646" s="38"/>
      <c r="BT646" s="38"/>
      <c r="BU646" s="26"/>
      <c r="BV646" s="26"/>
      <c r="BW646" s="39">
        <f t="shared" si="58"/>
        <v>1</v>
      </c>
      <c r="BX646" s="78">
        <v>1</v>
      </c>
      <c r="BY646" s="63">
        <v>11</v>
      </c>
      <c r="BZ646" s="7"/>
      <c r="CA646" s="8"/>
      <c r="CB646" s="7"/>
      <c r="CC646" s="7"/>
    </row>
    <row r="647" spans="1:81" ht="16" x14ac:dyDescent="0.2">
      <c r="A647" s="109" t="s">
        <v>335</v>
      </c>
      <c r="B647" s="26">
        <v>38</v>
      </c>
      <c r="C647" s="109" t="s">
        <v>201</v>
      </c>
      <c r="D647" s="38">
        <v>11</v>
      </c>
      <c r="E647" s="38">
        <v>2</v>
      </c>
      <c r="F647" s="38">
        <v>2</v>
      </c>
      <c r="G647" s="38" t="s">
        <v>51</v>
      </c>
      <c r="H647" s="38">
        <v>4</v>
      </c>
      <c r="I647" s="38" t="s">
        <v>51</v>
      </c>
      <c r="J647" s="38" t="s">
        <v>41</v>
      </c>
      <c r="K647" s="38"/>
      <c r="L647" s="38">
        <v>5</v>
      </c>
      <c r="M647" s="40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/>
      <c r="AZ647" s="36"/>
      <c r="BA647" s="36"/>
      <c r="BB647" s="36"/>
      <c r="BC647" s="36" t="s">
        <v>38</v>
      </c>
      <c r="BD647" s="36">
        <f>14.5/16</f>
        <v>0.90625</v>
      </c>
      <c r="BE647" s="38"/>
      <c r="BF647" s="38"/>
      <c r="BG647" s="39">
        <v>1</v>
      </c>
      <c r="BH647" s="38"/>
      <c r="BI647" s="38"/>
      <c r="BJ647" s="38"/>
      <c r="BK647" s="38"/>
      <c r="BL647" s="38"/>
      <c r="BM647" s="38"/>
      <c r="BN647" s="38"/>
      <c r="BO647" s="37">
        <f t="shared" si="54"/>
        <v>1</v>
      </c>
      <c r="BP647" s="56">
        <f t="shared" si="55"/>
        <v>0</v>
      </c>
      <c r="BQ647" s="56">
        <f t="shared" si="56"/>
        <v>0</v>
      </c>
      <c r="BR647" s="57">
        <f t="shared" si="57"/>
        <v>0</v>
      </c>
      <c r="BS647" s="38"/>
      <c r="BT647" s="38"/>
      <c r="BU647" s="26"/>
      <c r="BV647" s="26"/>
      <c r="BW647" s="39">
        <f t="shared" si="58"/>
        <v>1</v>
      </c>
      <c r="BX647" s="78">
        <v>1</v>
      </c>
      <c r="BY647" s="63">
        <v>10</v>
      </c>
      <c r="BZ647" s="7"/>
      <c r="CA647" s="8"/>
      <c r="CB647" s="7"/>
      <c r="CC647" s="7"/>
    </row>
    <row r="648" spans="1:81" x14ac:dyDescent="0.2">
      <c r="A648" s="109" t="s">
        <v>335</v>
      </c>
      <c r="B648" s="26">
        <v>38</v>
      </c>
      <c r="C648" s="109" t="s">
        <v>201</v>
      </c>
      <c r="D648" s="38">
        <v>13</v>
      </c>
      <c r="E648" s="38">
        <v>2</v>
      </c>
      <c r="F648" s="38">
        <v>2</v>
      </c>
      <c r="G648" s="38" t="s">
        <v>51</v>
      </c>
      <c r="H648" s="38">
        <v>4</v>
      </c>
      <c r="I648" s="38" t="s">
        <v>51</v>
      </c>
      <c r="J648" s="38" t="s">
        <v>69</v>
      </c>
      <c r="K648" s="38"/>
      <c r="L648" s="38">
        <v>5</v>
      </c>
      <c r="M648" s="40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8"/>
      <c r="BF648" s="38"/>
      <c r="BG648" s="39"/>
      <c r="BH648" s="38"/>
      <c r="BI648" s="38"/>
      <c r="BJ648" s="38"/>
      <c r="BK648" s="38"/>
      <c r="BL648" s="38"/>
      <c r="BM648" s="38"/>
      <c r="BN648" s="38"/>
      <c r="BO648" s="37">
        <f t="shared" si="54"/>
        <v>0</v>
      </c>
      <c r="BP648" s="56">
        <f t="shared" si="55"/>
        <v>0</v>
      </c>
      <c r="BQ648" s="56">
        <f t="shared" si="56"/>
        <v>0</v>
      </c>
      <c r="BR648" s="57">
        <f t="shared" si="57"/>
        <v>0</v>
      </c>
      <c r="BS648" s="38"/>
      <c r="BT648" s="38"/>
      <c r="BU648" s="26"/>
      <c r="BV648" s="26"/>
      <c r="BW648" s="39">
        <f t="shared" si="58"/>
        <v>0</v>
      </c>
      <c r="BX648" s="78">
        <v>0</v>
      </c>
      <c r="BY648" s="63">
        <v>12</v>
      </c>
      <c r="BZ648" s="7"/>
      <c r="CA648" s="8"/>
      <c r="CB648" s="7"/>
      <c r="CC648" s="7"/>
    </row>
    <row r="649" spans="1:81" ht="16" x14ac:dyDescent="0.2">
      <c r="A649" s="109" t="s">
        <v>335</v>
      </c>
      <c r="B649" s="26">
        <v>38</v>
      </c>
      <c r="C649" s="109" t="s">
        <v>201</v>
      </c>
      <c r="D649" s="38">
        <v>15</v>
      </c>
      <c r="E649" s="38">
        <v>2</v>
      </c>
      <c r="F649" s="38">
        <v>2</v>
      </c>
      <c r="G649" s="38" t="s">
        <v>51</v>
      </c>
      <c r="H649" s="38">
        <v>4</v>
      </c>
      <c r="I649" s="38" t="s">
        <v>51</v>
      </c>
      <c r="J649" s="38" t="s">
        <v>37</v>
      </c>
      <c r="K649" s="38"/>
      <c r="L649" s="38">
        <v>6</v>
      </c>
      <c r="M649" s="40"/>
      <c r="N649" s="36"/>
      <c r="O649" s="36"/>
      <c r="P649" s="36"/>
      <c r="Q649" s="36" t="s">
        <v>38</v>
      </c>
      <c r="R649" s="36">
        <f>7/16</f>
        <v>0.4375</v>
      </c>
      <c r="S649" s="36"/>
      <c r="T649" s="36"/>
      <c r="U649" s="36"/>
      <c r="V649" s="36"/>
      <c r="W649" s="36" t="s">
        <v>57</v>
      </c>
      <c r="X649" s="36">
        <f>10.5/16</f>
        <v>0.65625</v>
      </c>
      <c r="Y649" s="36"/>
      <c r="Z649" s="36"/>
      <c r="AA649" s="36"/>
      <c r="AB649" s="36"/>
      <c r="AC649" s="36" t="s">
        <v>48</v>
      </c>
      <c r="AD649" s="36">
        <f>9/16</f>
        <v>0.5625</v>
      </c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 t="s">
        <v>39</v>
      </c>
      <c r="AX649" s="36">
        <f>11.5/16</f>
        <v>0.71875</v>
      </c>
      <c r="AY649" s="36"/>
      <c r="AZ649" s="36"/>
      <c r="BA649" s="36"/>
      <c r="BB649" s="36"/>
      <c r="BC649" s="36"/>
      <c r="BD649" s="36"/>
      <c r="BE649" s="38"/>
      <c r="BF649" s="38"/>
      <c r="BG649" s="39"/>
      <c r="BH649" s="38">
        <v>1</v>
      </c>
      <c r="BI649" s="38">
        <v>1</v>
      </c>
      <c r="BJ649" s="38"/>
      <c r="BK649" s="38"/>
      <c r="BL649" s="38">
        <v>1</v>
      </c>
      <c r="BM649" s="38"/>
      <c r="BN649" s="38">
        <v>1</v>
      </c>
      <c r="BO649" s="37">
        <f t="shared" si="54"/>
        <v>1</v>
      </c>
      <c r="BP649" s="56">
        <f t="shared" si="55"/>
        <v>1</v>
      </c>
      <c r="BQ649" s="56">
        <f t="shared" si="56"/>
        <v>0</v>
      </c>
      <c r="BR649" s="57">
        <f t="shared" si="57"/>
        <v>2</v>
      </c>
      <c r="BS649" s="38"/>
      <c r="BT649" s="38"/>
      <c r="BU649" s="26"/>
      <c r="BV649" s="26"/>
      <c r="BW649" s="39">
        <f t="shared" si="58"/>
        <v>4</v>
      </c>
      <c r="BX649" s="78">
        <v>2</v>
      </c>
      <c r="BY649" s="63">
        <v>9</v>
      </c>
      <c r="BZ649" s="7"/>
      <c r="CA649" s="8"/>
      <c r="CB649" s="7"/>
      <c r="CC649" s="7"/>
    </row>
    <row r="650" spans="1:81" ht="16" x14ac:dyDescent="0.2">
      <c r="A650" s="109" t="s">
        <v>335</v>
      </c>
      <c r="B650" s="26">
        <v>38</v>
      </c>
      <c r="C650" s="109" t="s">
        <v>201</v>
      </c>
      <c r="D650" s="38">
        <v>16</v>
      </c>
      <c r="E650" s="38">
        <v>2</v>
      </c>
      <c r="F650" s="38">
        <v>1</v>
      </c>
      <c r="G650" s="38" t="s">
        <v>54</v>
      </c>
      <c r="H650" s="38">
        <v>2</v>
      </c>
      <c r="I650" s="38" t="s">
        <v>51</v>
      </c>
      <c r="J650" s="38" t="s">
        <v>65</v>
      </c>
      <c r="K650" s="38"/>
      <c r="L650" s="38">
        <v>5</v>
      </c>
      <c r="M650" s="40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 t="s">
        <v>39</v>
      </c>
      <c r="BD650" s="36">
        <f>14/16</f>
        <v>0.875</v>
      </c>
      <c r="BE650" s="38"/>
      <c r="BF650" s="38"/>
      <c r="BG650" s="39"/>
      <c r="BH650" s="38"/>
      <c r="BI650" s="38">
        <v>1</v>
      </c>
      <c r="BJ650" s="38"/>
      <c r="BK650" s="38"/>
      <c r="BL650" s="38"/>
      <c r="BM650" s="38"/>
      <c r="BN650" s="38"/>
      <c r="BO650" s="37">
        <f t="shared" si="54"/>
        <v>1</v>
      </c>
      <c r="BP650" s="56">
        <f t="shared" si="55"/>
        <v>0</v>
      </c>
      <c r="BQ650" s="56">
        <f t="shared" si="56"/>
        <v>0</v>
      </c>
      <c r="BR650" s="57">
        <f t="shared" si="57"/>
        <v>0</v>
      </c>
      <c r="BS650" s="38"/>
      <c r="BT650" s="38"/>
      <c r="BU650" s="26"/>
      <c r="BV650" s="26"/>
      <c r="BW650" s="39">
        <f t="shared" si="58"/>
        <v>1</v>
      </c>
      <c r="BX650" s="78">
        <v>1</v>
      </c>
      <c r="BY650" s="63">
        <v>11</v>
      </c>
      <c r="BZ650" s="7"/>
      <c r="CA650" s="8"/>
      <c r="CB650" s="7"/>
      <c r="CC650" s="7"/>
    </row>
    <row r="651" spans="1:81" ht="16" x14ac:dyDescent="0.2">
      <c r="A651" s="109" t="s">
        <v>336</v>
      </c>
      <c r="B651" s="26">
        <v>35</v>
      </c>
      <c r="C651" s="109" t="s">
        <v>202</v>
      </c>
      <c r="D651" s="38">
        <v>1</v>
      </c>
      <c r="E651" s="38">
        <v>2</v>
      </c>
      <c r="F651" s="38">
        <v>4</v>
      </c>
      <c r="G651" s="38" t="s">
        <v>50</v>
      </c>
      <c r="H651" s="38"/>
      <c r="I651" s="38"/>
      <c r="J651" s="38"/>
      <c r="K651" s="38">
        <v>6</v>
      </c>
      <c r="L651" s="38">
        <v>6</v>
      </c>
      <c r="M651" s="40"/>
      <c r="N651" s="36"/>
      <c r="O651" s="36"/>
      <c r="P651" s="36"/>
      <c r="Q651" s="36"/>
      <c r="R651" s="36"/>
      <c r="S651" s="36" t="s">
        <v>40</v>
      </c>
      <c r="T651" s="36">
        <f>14/15</f>
        <v>0.93333333333333335</v>
      </c>
      <c r="U651" s="36" t="s">
        <v>38</v>
      </c>
      <c r="V651" s="36">
        <f>7.5/15</f>
        <v>0.5</v>
      </c>
      <c r="W651" s="36" t="s">
        <v>38</v>
      </c>
      <c r="X651" s="36">
        <f>7.5/15</f>
        <v>0.5</v>
      </c>
      <c r="Y651" s="36" t="s">
        <v>39</v>
      </c>
      <c r="Z651" s="36">
        <f>8/15</f>
        <v>0.53333333333333333</v>
      </c>
      <c r="AA651" s="36"/>
      <c r="AB651" s="36"/>
      <c r="AC651" s="36" t="s">
        <v>48</v>
      </c>
      <c r="AD651" s="36">
        <f>7.5/15</f>
        <v>0.5</v>
      </c>
      <c r="AE651" s="36" t="s">
        <v>39</v>
      </c>
      <c r="AF651" s="36">
        <f>9.5/15</f>
        <v>0.6333333333333333</v>
      </c>
      <c r="AG651" s="36" t="s">
        <v>39</v>
      </c>
      <c r="AH651" s="36">
        <f>8/15</f>
        <v>0.53333333333333333</v>
      </c>
      <c r="AI651" s="36" t="s">
        <v>48</v>
      </c>
      <c r="AJ651" s="36">
        <f>8.5/15</f>
        <v>0.56666666666666665</v>
      </c>
      <c r="AK651" s="36"/>
      <c r="AL651" s="36"/>
      <c r="AM651" s="36" t="s">
        <v>48</v>
      </c>
      <c r="AN651" s="36">
        <f>11/15</f>
        <v>0.73333333333333328</v>
      </c>
      <c r="AO651" s="36" t="s">
        <v>39</v>
      </c>
      <c r="AP651" s="36">
        <f>6.5/15</f>
        <v>0.43333333333333335</v>
      </c>
      <c r="AQ651" s="36" t="s">
        <v>39</v>
      </c>
      <c r="AR651" s="36">
        <f>13.5/15</f>
        <v>0.9</v>
      </c>
      <c r="AS651" s="36" t="s">
        <v>40</v>
      </c>
      <c r="AT651" s="36">
        <f>8/15</f>
        <v>0.53333333333333333</v>
      </c>
      <c r="AU651" s="36" t="s">
        <v>38</v>
      </c>
      <c r="AV651" s="36">
        <f>8/15</f>
        <v>0.53333333333333333</v>
      </c>
      <c r="AW651" s="36"/>
      <c r="AX651" s="36"/>
      <c r="AY651" s="36"/>
      <c r="AZ651" s="36"/>
      <c r="BA651" s="36"/>
      <c r="BB651" s="36"/>
      <c r="BC651" s="36"/>
      <c r="BD651" s="36"/>
      <c r="BE651" s="38" t="s">
        <v>38</v>
      </c>
      <c r="BF651" s="38" t="s">
        <v>66</v>
      </c>
      <c r="BG651" s="39"/>
      <c r="BH651" s="38">
        <v>3</v>
      </c>
      <c r="BI651" s="38">
        <v>1</v>
      </c>
      <c r="BJ651" s="38">
        <v>4</v>
      </c>
      <c r="BK651" s="38">
        <v>1</v>
      </c>
      <c r="BL651" s="38">
        <v>2</v>
      </c>
      <c r="BM651" s="38">
        <v>1</v>
      </c>
      <c r="BN651" s="38">
        <v>1</v>
      </c>
      <c r="BO651" s="37">
        <f t="shared" si="54"/>
        <v>2</v>
      </c>
      <c r="BP651" s="56">
        <f t="shared" si="55"/>
        <v>7</v>
      </c>
      <c r="BQ651" s="56">
        <f t="shared" si="56"/>
        <v>2</v>
      </c>
      <c r="BR651" s="57">
        <f t="shared" si="57"/>
        <v>3</v>
      </c>
      <c r="BS651" s="38"/>
      <c r="BT651" s="38"/>
      <c r="BU651" s="26">
        <v>1</v>
      </c>
      <c r="BV651" s="26"/>
      <c r="BW651" s="39">
        <f t="shared" si="58"/>
        <v>14</v>
      </c>
      <c r="BX651" s="78">
        <v>2</v>
      </c>
      <c r="BY651" s="63">
        <v>1</v>
      </c>
      <c r="BZ651" s="7"/>
      <c r="CA651" s="8"/>
      <c r="CB651" s="7"/>
      <c r="CC651" s="7"/>
    </row>
    <row r="652" spans="1:81" ht="16" x14ac:dyDescent="0.2">
      <c r="A652" s="109" t="s">
        <v>336</v>
      </c>
      <c r="B652" s="26">
        <v>35</v>
      </c>
      <c r="C652" s="109" t="s">
        <v>202</v>
      </c>
      <c r="D652" s="38">
        <v>2</v>
      </c>
      <c r="E652" s="38">
        <v>2</v>
      </c>
      <c r="F652" s="38">
        <v>2</v>
      </c>
      <c r="G652" s="38" t="s">
        <v>51</v>
      </c>
      <c r="H652" s="38">
        <v>4</v>
      </c>
      <c r="I652" s="38" t="s">
        <v>51</v>
      </c>
      <c r="J652" s="38"/>
      <c r="K652" s="38" t="s">
        <v>63</v>
      </c>
      <c r="L652" s="38">
        <v>6</v>
      </c>
      <c r="M652" s="40"/>
      <c r="N652" s="36"/>
      <c r="O652" s="36"/>
      <c r="P652" s="36"/>
      <c r="Q652" s="36"/>
      <c r="R652" s="36"/>
      <c r="S652" s="36" t="s">
        <v>39</v>
      </c>
      <c r="T652" s="36">
        <f>10/15</f>
        <v>0.66666666666666663</v>
      </c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 t="s">
        <v>57</v>
      </c>
      <c r="AH652" s="36">
        <f>14/15</f>
        <v>0.93333333333333335</v>
      </c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8"/>
      <c r="BF652" s="38"/>
      <c r="BG652" s="39"/>
      <c r="BH652" s="38"/>
      <c r="BI652" s="38"/>
      <c r="BJ652" s="38">
        <v>1</v>
      </c>
      <c r="BK652" s="38"/>
      <c r="BL652" s="38"/>
      <c r="BM652" s="38">
        <v>1</v>
      </c>
      <c r="BN652" s="38"/>
      <c r="BO652" s="37">
        <f t="shared" si="54"/>
        <v>0</v>
      </c>
      <c r="BP652" s="56">
        <f t="shared" si="55"/>
        <v>1</v>
      </c>
      <c r="BQ652" s="56">
        <f t="shared" si="56"/>
        <v>1</v>
      </c>
      <c r="BR652" s="57">
        <f t="shared" si="57"/>
        <v>0</v>
      </c>
      <c r="BS652" s="38"/>
      <c r="BT652" s="38"/>
      <c r="BU652" s="26"/>
      <c r="BV652" s="26"/>
      <c r="BW652" s="39">
        <f t="shared" si="58"/>
        <v>2</v>
      </c>
      <c r="BX652" s="78">
        <v>4</v>
      </c>
      <c r="BY652" s="63">
        <v>2</v>
      </c>
      <c r="BZ652" s="7"/>
      <c r="CA652" s="8"/>
      <c r="CB652" s="7"/>
      <c r="CC652" s="7"/>
    </row>
    <row r="653" spans="1:81" ht="16" x14ac:dyDescent="0.2">
      <c r="A653" s="109" t="s">
        <v>336</v>
      </c>
      <c r="B653" s="26">
        <v>35</v>
      </c>
      <c r="C653" s="109" t="s">
        <v>202</v>
      </c>
      <c r="D653" s="38">
        <v>4</v>
      </c>
      <c r="E653" s="38">
        <v>2</v>
      </c>
      <c r="F653" s="38">
        <v>2</v>
      </c>
      <c r="G653" s="38" t="s">
        <v>51</v>
      </c>
      <c r="H653" s="38">
        <v>4</v>
      </c>
      <c r="I653" s="38" t="s">
        <v>51</v>
      </c>
      <c r="J653" s="38"/>
      <c r="K653" s="38" t="s">
        <v>63</v>
      </c>
      <c r="L653" s="38">
        <v>7</v>
      </c>
      <c r="M653" s="40" t="s">
        <v>39</v>
      </c>
      <c r="N653" s="36">
        <f>13.5/15</f>
        <v>0.9</v>
      </c>
      <c r="O653" s="36"/>
      <c r="P653" s="36"/>
      <c r="Q653" s="36"/>
      <c r="R653" s="36"/>
      <c r="S653" s="36"/>
      <c r="T653" s="36"/>
      <c r="U653" s="36"/>
      <c r="V653" s="36"/>
      <c r="W653" s="36" t="s">
        <v>57</v>
      </c>
      <c r="X653" s="36">
        <f>13.5/15</f>
        <v>0.9</v>
      </c>
      <c r="Y653" s="36"/>
      <c r="Z653" s="36"/>
      <c r="AA653" s="36"/>
      <c r="AB653" s="36"/>
      <c r="AC653" s="36" t="s">
        <v>38</v>
      </c>
      <c r="AD653" s="36">
        <f>15.5/15</f>
        <v>1.0333333333333334</v>
      </c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8"/>
      <c r="BF653" s="38"/>
      <c r="BG653" s="39">
        <v>1</v>
      </c>
      <c r="BH653" s="38"/>
      <c r="BI653" s="38">
        <v>1</v>
      </c>
      <c r="BJ653" s="38"/>
      <c r="BK653" s="38"/>
      <c r="BL653" s="38"/>
      <c r="BM653" s="38">
        <v>1</v>
      </c>
      <c r="BN653" s="38"/>
      <c r="BO653" s="37">
        <f t="shared" si="54"/>
        <v>2</v>
      </c>
      <c r="BP653" s="56">
        <f t="shared" si="55"/>
        <v>0</v>
      </c>
      <c r="BQ653" s="56">
        <f t="shared" si="56"/>
        <v>1</v>
      </c>
      <c r="BR653" s="57">
        <f t="shared" si="57"/>
        <v>0</v>
      </c>
      <c r="BS653" s="38"/>
      <c r="BT653" s="38"/>
      <c r="BU653" s="26"/>
      <c r="BV653" s="26"/>
      <c r="BW653" s="39">
        <f t="shared" si="58"/>
        <v>3</v>
      </c>
      <c r="BX653" s="78">
        <v>2</v>
      </c>
      <c r="BY653" s="63">
        <v>2</v>
      </c>
      <c r="BZ653" s="7"/>
      <c r="CA653" s="8"/>
      <c r="CB653" s="7"/>
      <c r="CC653" s="7"/>
    </row>
    <row r="654" spans="1:81" ht="16" x14ac:dyDescent="0.2">
      <c r="A654" s="109" t="s">
        <v>336</v>
      </c>
      <c r="B654" s="26">
        <v>35</v>
      </c>
      <c r="C654" s="109" t="s">
        <v>202</v>
      </c>
      <c r="D654" s="38">
        <v>5</v>
      </c>
      <c r="E654" s="38">
        <v>2</v>
      </c>
      <c r="F654" s="38">
        <v>2</v>
      </c>
      <c r="G654" s="38" t="s">
        <v>51</v>
      </c>
      <c r="H654" s="38">
        <v>4</v>
      </c>
      <c r="I654" s="38" t="s">
        <v>51</v>
      </c>
      <c r="J654" s="38"/>
      <c r="K654" s="38">
        <v>9</v>
      </c>
      <c r="L654" s="38">
        <v>6</v>
      </c>
      <c r="M654" s="40" t="s">
        <v>55</v>
      </c>
      <c r="N654" s="36">
        <f>12/15</f>
        <v>0.8</v>
      </c>
      <c r="O654" s="36"/>
      <c r="P654" s="36"/>
      <c r="Q654" s="36"/>
      <c r="R654" s="36"/>
      <c r="S654" s="36"/>
      <c r="T654" s="36"/>
      <c r="U654" s="36"/>
      <c r="V654" s="36"/>
      <c r="W654" s="36" t="s">
        <v>39</v>
      </c>
      <c r="X654" s="36">
        <f>10/15</f>
        <v>0.66666666666666663</v>
      </c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 t="s">
        <v>38</v>
      </c>
      <c r="AR654" s="36">
        <f>8/15</f>
        <v>0.53333333333333333</v>
      </c>
      <c r="AS654" s="36"/>
      <c r="AT654" s="36"/>
      <c r="AU654" s="36" t="s">
        <v>39</v>
      </c>
      <c r="AV654" s="36">
        <f>14/15</f>
        <v>0.93333333333333335</v>
      </c>
      <c r="AW654" s="36"/>
      <c r="AX654" s="36"/>
      <c r="AY654" s="36" t="s">
        <v>39</v>
      </c>
      <c r="AZ654" s="36">
        <f>11/15</f>
        <v>0.73333333333333328</v>
      </c>
      <c r="BA654" s="36" t="s">
        <v>39</v>
      </c>
      <c r="BB654" s="36">
        <f>5/15</f>
        <v>0.33333333333333331</v>
      </c>
      <c r="BC654" s="36" t="s">
        <v>39</v>
      </c>
      <c r="BD654" s="36">
        <f>9.5/15</f>
        <v>0.6333333333333333</v>
      </c>
      <c r="BE654" s="38"/>
      <c r="BF654" s="38"/>
      <c r="BG654" s="39"/>
      <c r="BH654" s="38">
        <v>1</v>
      </c>
      <c r="BI654" s="38">
        <v>2</v>
      </c>
      <c r="BJ654" s="38">
        <v>3</v>
      </c>
      <c r="BK654" s="38">
        <v>1</v>
      </c>
      <c r="BL654" s="38"/>
      <c r="BM654" s="38"/>
      <c r="BN654" s="38"/>
      <c r="BO654" s="37">
        <f t="shared" si="54"/>
        <v>2</v>
      </c>
      <c r="BP654" s="56">
        <f t="shared" si="55"/>
        <v>4</v>
      </c>
      <c r="BQ654" s="56">
        <f t="shared" si="56"/>
        <v>1</v>
      </c>
      <c r="BR654" s="57">
        <f t="shared" si="57"/>
        <v>0</v>
      </c>
      <c r="BS654" s="38"/>
      <c r="BT654" s="38"/>
      <c r="BU654" s="26"/>
      <c r="BV654" s="26"/>
      <c r="BW654" s="39">
        <f t="shared" si="58"/>
        <v>7</v>
      </c>
      <c r="BX654" s="78">
        <v>2</v>
      </c>
      <c r="BY654" s="63">
        <v>1</v>
      </c>
      <c r="BZ654" s="7"/>
      <c r="CA654" s="8"/>
      <c r="CB654" s="7"/>
      <c r="CC654" s="7"/>
    </row>
    <row r="655" spans="1:81" ht="16" x14ac:dyDescent="0.2">
      <c r="A655" s="109" t="s">
        <v>336</v>
      </c>
      <c r="B655" s="26">
        <v>35</v>
      </c>
      <c r="C655" s="109" t="s">
        <v>202</v>
      </c>
      <c r="D655" s="38">
        <v>6</v>
      </c>
      <c r="E655" s="38">
        <v>2</v>
      </c>
      <c r="F655" s="38">
        <v>2</v>
      </c>
      <c r="G655" s="38" t="s">
        <v>51</v>
      </c>
      <c r="H655" s="38">
        <v>4</v>
      </c>
      <c r="I655" s="38" t="s">
        <v>51</v>
      </c>
      <c r="J655" s="38"/>
      <c r="K655" s="38" t="s">
        <v>63</v>
      </c>
      <c r="L655" s="38">
        <v>7</v>
      </c>
      <c r="M655" s="40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 t="s">
        <v>40</v>
      </c>
      <c r="AN655" s="36">
        <f>15.5/15</f>
        <v>1.0333333333333334</v>
      </c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8"/>
      <c r="BF655" s="38"/>
      <c r="BG655" s="39"/>
      <c r="BH655" s="38"/>
      <c r="BI655" s="38"/>
      <c r="BJ655" s="38"/>
      <c r="BK655" s="38"/>
      <c r="BL655" s="38"/>
      <c r="BM655" s="38">
        <v>1</v>
      </c>
      <c r="BN655" s="38"/>
      <c r="BO655" s="37">
        <f t="shared" si="54"/>
        <v>0</v>
      </c>
      <c r="BP655" s="56">
        <f t="shared" si="55"/>
        <v>0</v>
      </c>
      <c r="BQ655" s="56">
        <f t="shared" si="56"/>
        <v>1</v>
      </c>
      <c r="BR655" s="57">
        <f t="shared" si="57"/>
        <v>0</v>
      </c>
      <c r="BS655" s="38"/>
      <c r="BT655" s="38"/>
      <c r="BU655" s="26"/>
      <c r="BV655" s="26"/>
      <c r="BW655" s="39">
        <f t="shared" si="58"/>
        <v>1</v>
      </c>
      <c r="BX655" s="78">
        <v>4</v>
      </c>
      <c r="BY655" s="63">
        <v>2</v>
      </c>
      <c r="BZ655" s="7"/>
      <c r="CA655" s="8"/>
      <c r="CB655" s="7"/>
      <c r="CC655" s="7"/>
    </row>
    <row r="656" spans="1:81" ht="16" x14ac:dyDescent="0.2">
      <c r="A656" s="109" t="s">
        <v>336</v>
      </c>
      <c r="B656" s="26">
        <v>35</v>
      </c>
      <c r="C656" s="109" t="s">
        <v>202</v>
      </c>
      <c r="D656" s="38">
        <v>7</v>
      </c>
      <c r="E656" s="38">
        <v>2</v>
      </c>
      <c r="F656" s="38">
        <v>4</v>
      </c>
      <c r="G656" s="38" t="s">
        <v>50</v>
      </c>
      <c r="H656" s="38"/>
      <c r="I656" s="38"/>
      <c r="J656" s="38"/>
      <c r="K656" s="38">
        <v>5</v>
      </c>
      <c r="L656" s="38">
        <v>6</v>
      </c>
      <c r="M656" s="40" t="s">
        <v>61</v>
      </c>
      <c r="N656" s="36">
        <v>0.5</v>
      </c>
      <c r="O656" s="36" t="s">
        <v>57</v>
      </c>
      <c r="P656" s="36">
        <f>7/15</f>
        <v>0.46666666666666667</v>
      </c>
      <c r="Q656" s="36" t="s">
        <v>38</v>
      </c>
      <c r="R656" s="36">
        <f>8.5/15</f>
        <v>0.56666666666666665</v>
      </c>
      <c r="S656" s="36"/>
      <c r="T656" s="36"/>
      <c r="U656" s="36" t="s">
        <v>61</v>
      </c>
      <c r="V656" s="36">
        <v>0.5</v>
      </c>
      <c r="W656" s="36"/>
      <c r="X656" s="36"/>
      <c r="Y656" s="36"/>
      <c r="Z656" s="36"/>
      <c r="AA656" s="36" t="s">
        <v>39</v>
      </c>
      <c r="AB656" s="36">
        <f>11.5/15</f>
        <v>0.76666666666666672</v>
      </c>
      <c r="AC656" s="36" t="s">
        <v>61</v>
      </c>
      <c r="AD656" s="36">
        <v>0.5</v>
      </c>
      <c r="AE656" s="36" t="s">
        <v>57</v>
      </c>
      <c r="AF656" s="36">
        <f>9/15</f>
        <v>0.6</v>
      </c>
      <c r="AG656" s="36" t="s">
        <v>38</v>
      </c>
      <c r="AH656" s="36">
        <f>9/15</f>
        <v>0.6</v>
      </c>
      <c r="AI656" s="36"/>
      <c r="AJ656" s="36"/>
      <c r="AK656" s="36"/>
      <c r="AL656" s="36"/>
      <c r="AM656" s="36"/>
      <c r="AN656" s="36"/>
      <c r="AO656" s="36" t="s">
        <v>39</v>
      </c>
      <c r="AP656" s="36">
        <f>10.5/15</f>
        <v>0.7</v>
      </c>
      <c r="AQ656" s="36" t="s">
        <v>61</v>
      </c>
      <c r="AR656" s="36">
        <v>0.7</v>
      </c>
      <c r="AS656" s="36"/>
      <c r="AT656" s="36"/>
      <c r="AU656" s="36" t="s">
        <v>48</v>
      </c>
      <c r="AV656" s="36">
        <f>9.5/15</f>
        <v>0.6333333333333333</v>
      </c>
      <c r="AW656" s="36" t="s">
        <v>38</v>
      </c>
      <c r="AX656" s="36">
        <f>9.5/15</f>
        <v>0.6333333333333333</v>
      </c>
      <c r="AY656" s="36"/>
      <c r="AZ656" s="36"/>
      <c r="BA656" s="36" t="s">
        <v>39</v>
      </c>
      <c r="BB656" s="36">
        <f>8/15</f>
        <v>0.53333333333333333</v>
      </c>
      <c r="BC656" s="36" t="s">
        <v>39</v>
      </c>
      <c r="BD656" s="36">
        <f>9.5/15</f>
        <v>0.6333333333333333</v>
      </c>
      <c r="BE656" s="38"/>
      <c r="BF656" s="38"/>
      <c r="BG656" s="39"/>
      <c r="BH656" s="38">
        <v>3</v>
      </c>
      <c r="BI656" s="38">
        <v>2</v>
      </c>
      <c r="BJ656" s="38">
        <v>2</v>
      </c>
      <c r="BK656" s="38"/>
      <c r="BL656" s="38">
        <v>1</v>
      </c>
      <c r="BM656" s="38"/>
      <c r="BN656" s="41">
        <v>2</v>
      </c>
      <c r="BO656" s="37">
        <f t="shared" si="54"/>
        <v>2</v>
      </c>
      <c r="BP656" s="56">
        <f t="shared" si="55"/>
        <v>5</v>
      </c>
      <c r="BQ656" s="56">
        <f t="shared" si="56"/>
        <v>2</v>
      </c>
      <c r="BR656" s="57">
        <f t="shared" si="57"/>
        <v>3</v>
      </c>
      <c r="BS656" s="38">
        <v>2</v>
      </c>
      <c r="BT656" s="38"/>
      <c r="BU656" s="26"/>
      <c r="BV656" s="26"/>
      <c r="BW656" s="39">
        <f t="shared" si="58"/>
        <v>12</v>
      </c>
      <c r="BX656" s="78">
        <v>2</v>
      </c>
      <c r="BY656" s="63">
        <v>1</v>
      </c>
    </row>
    <row r="657" spans="1:81" ht="16" x14ac:dyDescent="0.2">
      <c r="A657" s="109" t="s">
        <v>336</v>
      </c>
      <c r="B657" s="26">
        <v>35</v>
      </c>
      <c r="C657" s="109" t="s">
        <v>202</v>
      </c>
      <c r="D657" s="38">
        <v>9</v>
      </c>
      <c r="E657" s="38">
        <v>2</v>
      </c>
      <c r="F657" s="38">
        <v>2</v>
      </c>
      <c r="G657" s="38" t="s">
        <v>51</v>
      </c>
      <c r="H657" s="38">
        <v>4</v>
      </c>
      <c r="I657" s="38" t="s">
        <v>51</v>
      </c>
      <c r="J657" s="38" t="s">
        <v>60</v>
      </c>
      <c r="K657" s="38"/>
      <c r="L657" s="38">
        <v>6</v>
      </c>
      <c r="M657" s="40"/>
      <c r="N657" s="36"/>
      <c r="O657" s="36" t="s">
        <v>40</v>
      </c>
      <c r="P657" s="36">
        <f>8/15</f>
        <v>0.53333333333333333</v>
      </c>
      <c r="Q657" s="36"/>
      <c r="R657" s="36"/>
      <c r="S657" s="36" t="s">
        <v>43</v>
      </c>
      <c r="T657" s="36">
        <f>10/15</f>
        <v>0.66666666666666663</v>
      </c>
      <c r="U657" s="36"/>
      <c r="V657" s="36"/>
      <c r="W657" s="36"/>
      <c r="X657" s="36"/>
      <c r="Y657" s="36"/>
      <c r="Z657" s="36"/>
      <c r="AA657" s="36" t="s">
        <v>40</v>
      </c>
      <c r="AB657" s="36">
        <f>13/15</f>
        <v>0.8666666666666667</v>
      </c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 t="s">
        <v>43</v>
      </c>
      <c r="AT657" s="36">
        <f>8.5/15</f>
        <v>0.56666666666666665</v>
      </c>
      <c r="AU657" s="36"/>
      <c r="AV657" s="36"/>
      <c r="AW657" s="36"/>
      <c r="AX657" s="36"/>
      <c r="AY657" s="36"/>
      <c r="AZ657" s="36"/>
      <c r="BA657" s="36"/>
      <c r="BB657" s="36"/>
      <c r="BC657" s="36" t="s">
        <v>38</v>
      </c>
      <c r="BD657" s="36">
        <f>7/15</f>
        <v>0.46666666666666667</v>
      </c>
      <c r="BE657" s="38"/>
      <c r="BF657" s="38"/>
      <c r="BG657" s="39"/>
      <c r="BH657" s="38">
        <v>1</v>
      </c>
      <c r="BI657" s="38"/>
      <c r="BJ657" s="38"/>
      <c r="BK657" s="38"/>
      <c r="BL657" s="38"/>
      <c r="BM657" s="38">
        <v>1</v>
      </c>
      <c r="BN657" s="38">
        <v>1</v>
      </c>
      <c r="BO657" s="37">
        <f t="shared" si="54"/>
        <v>0</v>
      </c>
      <c r="BP657" s="56">
        <f t="shared" si="55"/>
        <v>1</v>
      </c>
      <c r="BQ657" s="56">
        <f t="shared" si="56"/>
        <v>3</v>
      </c>
      <c r="BR657" s="57">
        <f t="shared" si="57"/>
        <v>1</v>
      </c>
      <c r="BS657" s="38">
        <v>2</v>
      </c>
      <c r="BT657" s="38"/>
      <c r="BU657" s="26"/>
      <c r="BV657" s="26"/>
      <c r="BW657" s="39">
        <f t="shared" si="58"/>
        <v>5</v>
      </c>
      <c r="BX657" s="78">
        <v>4</v>
      </c>
      <c r="BY657" s="64">
        <v>7</v>
      </c>
      <c r="BZ657" s="7"/>
      <c r="CA657" s="8"/>
      <c r="CB657" s="7"/>
      <c r="CC657" s="7"/>
    </row>
    <row r="658" spans="1:81" x14ac:dyDescent="0.2">
      <c r="A658" s="109" t="s">
        <v>336</v>
      </c>
      <c r="B658" s="26">
        <v>35</v>
      </c>
      <c r="C658" s="109" t="s">
        <v>202</v>
      </c>
      <c r="D658" s="38">
        <v>10</v>
      </c>
      <c r="E658" s="38">
        <v>2</v>
      </c>
      <c r="F658" s="38">
        <v>2</v>
      </c>
      <c r="G658" s="38" t="s">
        <v>51</v>
      </c>
      <c r="H658" s="38">
        <v>4</v>
      </c>
      <c r="I658" s="38" t="s">
        <v>51</v>
      </c>
      <c r="J658" s="38" t="s">
        <v>41</v>
      </c>
      <c r="K658" s="38"/>
      <c r="L658" s="38">
        <v>5</v>
      </c>
      <c r="M658" s="40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8"/>
      <c r="BF658" s="38"/>
      <c r="BG658" s="39"/>
      <c r="BH658" s="38"/>
      <c r="BI658" s="38"/>
      <c r="BJ658" s="38"/>
      <c r="BK658" s="38"/>
      <c r="BL658" s="38"/>
      <c r="BM658" s="38"/>
      <c r="BN658" s="38"/>
      <c r="BO658" s="37">
        <f t="shared" si="54"/>
        <v>0</v>
      </c>
      <c r="BP658" s="56">
        <f t="shared" si="55"/>
        <v>0</v>
      </c>
      <c r="BQ658" s="56">
        <f t="shared" si="56"/>
        <v>0</v>
      </c>
      <c r="BR658" s="57">
        <f t="shared" si="57"/>
        <v>0</v>
      </c>
      <c r="BS658" s="38"/>
      <c r="BT658" s="38"/>
      <c r="BU658" s="26"/>
      <c r="BV658" s="26"/>
      <c r="BW658" s="39">
        <f t="shared" si="58"/>
        <v>0</v>
      </c>
      <c r="BX658" s="78">
        <v>0</v>
      </c>
      <c r="BY658" s="63">
        <v>10</v>
      </c>
      <c r="BZ658" s="7"/>
      <c r="CA658" s="8"/>
      <c r="CB658" s="7"/>
      <c r="CC658" s="7"/>
    </row>
    <row r="659" spans="1:81" x14ac:dyDescent="0.2">
      <c r="A659" s="109" t="s">
        <v>336</v>
      </c>
      <c r="B659" s="26">
        <v>35</v>
      </c>
      <c r="C659" s="109" t="s">
        <v>202</v>
      </c>
      <c r="D659" s="38">
        <v>11</v>
      </c>
      <c r="E659" s="38">
        <v>2</v>
      </c>
      <c r="F659" s="38">
        <v>2</v>
      </c>
      <c r="G659" s="38" t="s">
        <v>51</v>
      </c>
      <c r="H659" s="38">
        <v>4</v>
      </c>
      <c r="I659" s="38" t="s">
        <v>51</v>
      </c>
      <c r="J659" s="38" t="s">
        <v>41</v>
      </c>
      <c r="K659" s="38"/>
      <c r="L659" s="38">
        <v>5</v>
      </c>
      <c r="M659" s="40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8"/>
      <c r="BF659" s="38"/>
      <c r="BG659" s="39"/>
      <c r="BH659" s="38"/>
      <c r="BI659" s="38"/>
      <c r="BJ659" s="38"/>
      <c r="BK659" s="38"/>
      <c r="BL659" s="38"/>
      <c r="BM659" s="38"/>
      <c r="BN659" s="38"/>
      <c r="BO659" s="37">
        <f t="shared" si="54"/>
        <v>0</v>
      </c>
      <c r="BP659" s="56">
        <f t="shared" si="55"/>
        <v>0</v>
      </c>
      <c r="BQ659" s="56">
        <f t="shared" si="56"/>
        <v>0</v>
      </c>
      <c r="BR659" s="57">
        <f t="shared" si="57"/>
        <v>0</v>
      </c>
      <c r="BS659" s="38"/>
      <c r="BT659" s="38"/>
      <c r="BU659" s="26"/>
      <c r="BV659" s="26"/>
      <c r="BW659" s="39">
        <f t="shared" si="58"/>
        <v>0</v>
      </c>
      <c r="BX659" s="78">
        <v>0</v>
      </c>
      <c r="BY659" s="63">
        <v>10</v>
      </c>
      <c r="BZ659" s="7"/>
      <c r="CA659" s="8"/>
      <c r="CB659" s="7"/>
      <c r="CC659" s="7"/>
    </row>
    <row r="660" spans="1:81" x14ac:dyDescent="0.2">
      <c r="A660" s="109" t="s">
        <v>336</v>
      </c>
      <c r="B660" s="26">
        <v>35</v>
      </c>
      <c r="C660" s="109" t="s">
        <v>202</v>
      </c>
      <c r="D660" s="38">
        <v>12</v>
      </c>
      <c r="E660" s="38">
        <v>2</v>
      </c>
      <c r="F660" s="38">
        <v>2</v>
      </c>
      <c r="G660" s="38" t="s">
        <v>51</v>
      </c>
      <c r="H660" s="38">
        <v>4</v>
      </c>
      <c r="I660" s="38" t="s">
        <v>51</v>
      </c>
      <c r="J660" s="38" t="s">
        <v>41</v>
      </c>
      <c r="K660" s="38"/>
      <c r="L660" s="38">
        <v>5</v>
      </c>
      <c r="M660" s="40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8"/>
      <c r="BF660" s="38"/>
      <c r="BG660" s="39"/>
      <c r="BH660" s="38"/>
      <c r="BI660" s="38"/>
      <c r="BJ660" s="38"/>
      <c r="BK660" s="38"/>
      <c r="BL660" s="38"/>
      <c r="BM660" s="38"/>
      <c r="BN660" s="38"/>
      <c r="BO660" s="37">
        <f t="shared" si="54"/>
        <v>0</v>
      </c>
      <c r="BP660" s="56">
        <f t="shared" si="55"/>
        <v>0</v>
      </c>
      <c r="BQ660" s="56">
        <f t="shared" si="56"/>
        <v>0</v>
      </c>
      <c r="BR660" s="57">
        <f t="shared" si="57"/>
        <v>0</v>
      </c>
      <c r="BS660" s="38"/>
      <c r="BT660" s="38"/>
      <c r="BU660" s="26"/>
      <c r="BV660" s="26"/>
      <c r="BW660" s="39">
        <f t="shared" si="58"/>
        <v>0</v>
      </c>
      <c r="BX660" s="78">
        <v>0</v>
      </c>
      <c r="BY660" s="63">
        <v>10</v>
      </c>
      <c r="BZ660" s="7"/>
      <c r="CA660" s="8"/>
      <c r="CB660" s="7"/>
      <c r="CC660" s="7"/>
    </row>
    <row r="661" spans="1:81" x14ac:dyDescent="0.2">
      <c r="A661" s="109" t="s">
        <v>337</v>
      </c>
      <c r="B661" s="26">
        <v>30</v>
      </c>
      <c r="C661" s="109" t="s">
        <v>203</v>
      </c>
      <c r="D661" s="38">
        <v>1</v>
      </c>
      <c r="E661" s="38">
        <v>2</v>
      </c>
      <c r="F661" s="38">
        <v>2</v>
      </c>
      <c r="G661" s="38" t="s">
        <v>51</v>
      </c>
      <c r="H661" s="38">
        <v>5</v>
      </c>
      <c r="I661" s="38" t="s">
        <v>56</v>
      </c>
      <c r="J661" s="38" t="s">
        <v>37</v>
      </c>
      <c r="K661" s="38"/>
      <c r="L661" s="38">
        <v>6</v>
      </c>
      <c r="M661" s="40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8"/>
      <c r="BF661" s="38"/>
      <c r="BG661" s="39"/>
      <c r="BH661" s="38"/>
      <c r="BI661" s="38"/>
      <c r="BJ661" s="38"/>
      <c r="BK661" s="38"/>
      <c r="BL661" s="38"/>
      <c r="BM661" s="38"/>
      <c r="BN661" s="38"/>
      <c r="BO661" s="37">
        <f t="shared" si="54"/>
        <v>0</v>
      </c>
      <c r="BP661" s="56">
        <f t="shared" si="55"/>
        <v>0</v>
      </c>
      <c r="BQ661" s="56">
        <f t="shared" si="56"/>
        <v>0</v>
      </c>
      <c r="BR661" s="57">
        <f t="shared" si="57"/>
        <v>0</v>
      </c>
      <c r="BS661" s="38"/>
      <c r="BT661" s="38"/>
      <c r="BU661" s="26"/>
      <c r="BV661" s="26"/>
      <c r="BW661" s="39">
        <f t="shared" si="58"/>
        <v>0</v>
      </c>
      <c r="BX661" s="78">
        <v>0</v>
      </c>
      <c r="BY661" s="63">
        <v>9</v>
      </c>
      <c r="BZ661" s="7"/>
      <c r="CA661" s="8"/>
      <c r="CB661" s="7"/>
      <c r="CC661" s="7"/>
    </row>
    <row r="662" spans="1:81" x14ac:dyDescent="0.2">
      <c r="A662" s="109" t="s">
        <v>337</v>
      </c>
      <c r="B662" s="26">
        <v>30</v>
      </c>
      <c r="C662" s="109" t="s">
        <v>203</v>
      </c>
      <c r="D662" s="38">
        <v>2</v>
      </c>
      <c r="E662" s="38">
        <v>2</v>
      </c>
      <c r="F662" s="38">
        <v>2</v>
      </c>
      <c r="G662" s="38" t="s">
        <v>51</v>
      </c>
      <c r="H662" s="38">
        <v>4</v>
      </c>
      <c r="I662" s="38" t="s">
        <v>51</v>
      </c>
      <c r="J662" s="38" t="s">
        <v>41</v>
      </c>
      <c r="K662" s="38"/>
      <c r="L662" s="38">
        <v>6</v>
      </c>
      <c r="M662" s="40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8"/>
      <c r="BF662" s="38"/>
      <c r="BG662" s="39"/>
      <c r="BH662" s="38"/>
      <c r="BI662" s="38"/>
      <c r="BJ662" s="38"/>
      <c r="BK662" s="38"/>
      <c r="BL662" s="38"/>
      <c r="BM662" s="38"/>
      <c r="BN662" s="38"/>
      <c r="BO662" s="37">
        <f t="shared" si="54"/>
        <v>0</v>
      </c>
      <c r="BP662" s="56">
        <f t="shared" si="55"/>
        <v>0</v>
      </c>
      <c r="BQ662" s="56">
        <f t="shared" si="56"/>
        <v>0</v>
      </c>
      <c r="BR662" s="57">
        <f t="shared" si="57"/>
        <v>0</v>
      </c>
      <c r="BS662" s="38"/>
      <c r="BT662" s="38"/>
      <c r="BU662" s="26"/>
      <c r="BV662" s="26"/>
      <c r="BW662" s="39">
        <f t="shared" si="58"/>
        <v>0</v>
      </c>
      <c r="BX662" s="78">
        <v>0</v>
      </c>
      <c r="BY662" s="63">
        <v>10</v>
      </c>
      <c r="BZ662" s="7"/>
      <c r="CA662" s="8"/>
      <c r="CB662" s="7"/>
      <c r="CC662" s="7"/>
    </row>
    <row r="663" spans="1:81" ht="16" x14ac:dyDescent="0.2">
      <c r="A663" s="109" t="s">
        <v>337</v>
      </c>
      <c r="B663" s="26">
        <v>30</v>
      </c>
      <c r="C663" s="109" t="s">
        <v>203</v>
      </c>
      <c r="D663" s="38">
        <v>3</v>
      </c>
      <c r="E663" s="38">
        <v>2</v>
      </c>
      <c r="F663" s="38">
        <v>2</v>
      </c>
      <c r="G663" s="38" t="s">
        <v>51</v>
      </c>
      <c r="H663" s="38">
        <v>4</v>
      </c>
      <c r="I663" s="38" t="s">
        <v>51</v>
      </c>
      <c r="J663" s="38" t="s">
        <v>45</v>
      </c>
      <c r="K663" s="38"/>
      <c r="L663" s="38">
        <v>7</v>
      </c>
      <c r="M663" s="40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 t="s">
        <v>38</v>
      </c>
      <c r="AD663" s="36">
        <f>15.5/16</f>
        <v>0.96875</v>
      </c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 t="s">
        <v>38</v>
      </c>
      <c r="AP663" s="36">
        <f>10/16</f>
        <v>0.625</v>
      </c>
      <c r="AQ663" s="36"/>
      <c r="AR663" s="36"/>
      <c r="AS663" s="36"/>
      <c r="AT663" s="36"/>
      <c r="AU663" s="36"/>
      <c r="AV663" s="36"/>
      <c r="AW663" s="36" t="s">
        <v>38</v>
      </c>
      <c r="AX663" s="36">
        <f>17/16</f>
        <v>1.0625</v>
      </c>
      <c r="AY663" s="36"/>
      <c r="AZ663" s="36"/>
      <c r="BA663" s="36" t="s">
        <v>38</v>
      </c>
      <c r="BB663" s="36">
        <f>17/16</f>
        <v>1.0625</v>
      </c>
      <c r="BC663" s="36"/>
      <c r="BD663" s="36"/>
      <c r="BE663" s="38"/>
      <c r="BF663" s="38"/>
      <c r="BG663" s="39">
        <v>3</v>
      </c>
      <c r="BH663" s="38">
        <v>1</v>
      </c>
      <c r="BI663" s="38"/>
      <c r="BJ663" s="38"/>
      <c r="BK663" s="38"/>
      <c r="BL663" s="38"/>
      <c r="BM663" s="38"/>
      <c r="BN663" s="38"/>
      <c r="BO663" s="37">
        <f t="shared" si="54"/>
        <v>3</v>
      </c>
      <c r="BP663" s="56">
        <f t="shared" si="55"/>
        <v>1</v>
      </c>
      <c r="BQ663" s="56">
        <f t="shared" si="56"/>
        <v>0</v>
      </c>
      <c r="BR663" s="57">
        <f t="shared" si="57"/>
        <v>0</v>
      </c>
      <c r="BS663" s="38"/>
      <c r="BT663" s="38"/>
      <c r="BU663" s="26"/>
      <c r="BV663" s="26"/>
      <c r="BW663" s="39">
        <f t="shared" si="58"/>
        <v>4</v>
      </c>
      <c r="BX663" s="78">
        <v>2</v>
      </c>
      <c r="BY663" s="63">
        <v>5</v>
      </c>
      <c r="BZ663" s="7"/>
      <c r="CA663" s="8"/>
      <c r="CB663" s="7"/>
      <c r="CC663" s="7"/>
    </row>
    <row r="664" spans="1:81" x14ac:dyDescent="0.2">
      <c r="A664" s="109" t="s">
        <v>337</v>
      </c>
      <c r="B664" s="26">
        <v>30</v>
      </c>
      <c r="C664" s="109" t="s">
        <v>203</v>
      </c>
      <c r="D664" s="38">
        <v>4</v>
      </c>
      <c r="E664" s="38">
        <v>2</v>
      </c>
      <c r="F664" s="38" t="s">
        <v>53</v>
      </c>
      <c r="G664" s="38" t="s">
        <v>50</v>
      </c>
      <c r="H664" s="38"/>
      <c r="I664" s="38"/>
      <c r="J664" s="38"/>
      <c r="K664" s="38" t="s">
        <v>63</v>
      </c>
      <c r="L664" s="38"/>
      <c r="M664" s="40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8" t="s">
        <v>38</v>
      </c>
      <c r="BF664" s="38" t="s">
        <v>66</v>
      </c>
      <c r="BG664" s="39"/>
      <c r="BH664" s="38"/>
      <c r="BI664" s="38"/>
      <c r="BJ664" s="38"/>
      <c r="BK664" s="38"/>
      <c r="BL664" s="38"/>
      <c r="BM664" s="38"/>
      <c r="BN664" s="38"/>
      <c r="BO664" s="37">
        <f t="shared" ref="BO664" si="59">BG664+BI664+BU664</f>
        <v>1</v>
      </c>
      <c r="BP664" s="56">
        <f t="shared" ref="BP664" si="60">BH664+BJ664</f>
        <v>0</v>
      </c>
      <c r="BQ664" s="56">
        <f t="shared" ref="BQ664" si="61">BK664+BM664+BV664+BS664</f>
        <v>0</v>
      </c>
      <c r="BR664" s="57">
        <f t="shared" ref="BR664" si="62">BL664+BN664+BT664</f>
        <v>0</v>
      </c>
      <c r="BS664" s="38"/>
      <c r="BT664" s="38"/>
      <c r="BU664" s="26">
        <v>1</v>
      </c>
      <c r="BV664" s="26"/>
      <c r="BW664" s="39">
        <f t="shared" si="58"/>
        <v>1</v>
      </c>
      <c r="BX664" s="78">
        <v>1</v>
      </c>
      <c r="BY664" s="63">
        <v>2</v>
      </c>
      <c r="BZ664" s="7"/>
      <c r="CA664" s="8"/>
      <c r="CB664" s="7"/>
      <c r="CC664" s="7"/>
    </row>
    <row r="665" spans="1:81" ht="16" x14ac:dyDescent="0.2">
      <c r="A665" s="109" t="s">
        <v>337</v>
      </c>
      <c r="B665" s="26">
        <v>30</v>
      </c>
      <c r="C665" s="109" t="s">
        <v>203</v>
      </c>
      <c r="D665" s="38">
        <v>5</v>
      </c>
      <c r="E665" s="38">
        <v>2</v>
      </c>
      <c r="F665" s="38">
        <v>5</v>
      </c>
      <c r="G665" s="38" t="s">
        <v>50</v>
      </c>
      <c r="H665" s="38"/>
      <c r="I665" s="38"/>
      <c r="J665" s="38"/>
      <c r="K665" s="38" t="s">
        <v>63</v>
      </c>
      <c r="L665" s="38">
        <v>7</v>
      </c>
      <c r="M665" s="40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 t="s">
        <v>40</v>
      </c>
      <c r="AN665" s="36">
        <f>16/16</f>
        <v>1</v>
      </c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  <c r="AZ665" s="36"/>
      <c r="BA665" s="36"/>
      <c r="BB665" s="36"/>
      <c r="BC665" s="36" t="s">
        <v>38</v>
      </c>
      <c r="BD665" s="36">
        <f>16/16</f>
        <v>1</v>
      </c>
      <c r="BE665" s="38"/>
      <c r="BF665" s="38"/>
      <c r="BG665" s="39">
        <v>1</v>
      </c>
      <c r="BH665" s="38"/>
      <c r="BI665" s="38"/>
      <c r="BJ665" s="38"/>
      <c r="BK665" s="38"/>
      <c r="BL665" s="38"/>
      <c r="BM665" s="38">
        <v>1</v>
      </c>
      <c r="BN665" s="38"/>
      <c r="BO665" s="37">
        <f t="shared" ref="BO665:BO703" si="63">BG665+BI665+BU665</f>
        <v>1</v>
      </c>
      <c r="BP665" s="56">
        <f t="shared" ref="BP665:BP703" si="64">BH665+BJ665</f>
        <v>0</v>
      </c>
      <c r="BQ665" s="56">
        <f t="shared" ref="BQ665:BQ703" si="65">BK665+BM665+BV665+BS665</f>
        <v>1</v>
      </c>
      <c r="BR665" s="57">
        <f t="shared" ref="BR665:BR703" si="66">BL665+BN665+BT665</f>
        <v>0</v>
      </c>
      <c r="BS665" s="38"/>
      <c r="BT665" s="38"/>
      <c r="BU665" s="26"/>
      <c r="BV665" s="26"/>
      <c r="BW665" s="39">
        <f t="shared" ref="BW665:BW703" si="67">SUM(BO665:BR665)</f>
        <v>2</v>
      </c>
      <c r="BX665" s="78">
        <v>2</v>
      </c>
      <c r="BY665" s="63">
        <v>2</v>
      </c>
      <c r="BZ665" s="7"/>
      <c r="CA665" s="8"/>
      <c r="CB665" s="7"/>
      <c r="CC665" s="7"/>
    </row>
    <row r="666" spans="1:81" x14ac:dyDescent="0.2">
      <c r="A666" s="109" t="s">
        <v>338</v>
      </c>
      <c r="B666" s="26">
        <v>36</v>
      </c>
      <c r="C666" s="109" t="s">
        <v>204</v>
      </c>
      <c r="D666" s="38">
        <v>2</v>
      </c>
      <c r="E666" s="38">
        <v>2</v>
      </c>
      <c r="F666" s="38">
        <v>2</v>
      </c>
      <c r="G666" s="38" t="s">
        <v>51</v>
      </c>
      <c r="H666" s="38">
        <v>4</v>
      </c>
      <c r="I666" s="38" t="s">
        <v>51</v>
      </c>
      <c r="J666" s="38" t="s">
        <v>41</v>
      </c>
      <c r="K666" s="38"/>
      <c r="L666" s="38">
        <v>6</v>
      </c>
      <c r="M666" s="40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8"/>
      <c r="BF666" s="38"/>
      <c r="BG666" s="39"/>
      <c r="BH666" s="38"/>
      <c r="BI666" s="38"/>
      <c r="BJ666" s="38"/>
      <c r="BK666" s="38"/>
      <c r="BL666" s="38"/>
      <c r="BM666" s="38"/>
      <c r="BO666" s="37">
        <f t="shared" si="63"/>
        <v>0</v>
      </c>
      <c r="BP666" s="56">
        <f t="shared" si="64"/>
        <v>0</v>
      </c>
      <c r="BQ666" s="56">
        <f t="shared" si="65"/>
        <v>0</v>
      </c>
      <c r="BR666" s="57">
        <f t="shared" si="66"/>
        <v>0</v>
      </c>
      <c r="BS666" s="38"/>
      <c r="BT666" s="38"/>
      <c r="BU666" s="26"/>
      <c r="BV666" s="26"/>
      <c r="BW666" s="39">
        <f t="shared" si="67"/>
        <v>0</v>
      </c>
      <c r="BX666" s="78">
        <v>0</v>
      </c>
      <c r="BY666" s="63">
        <v>10</v>
      </c>
    </row>
    <row r="667" spans="1:81" ht="16" x14ac:dyDescent="0.2">
      <c r="A667" s="109" t="s">
        <v>338</v>
      </c>
      <c r="B667" s="26">
        <v>36</v>
      </c>
      <c r="C667" s="109" t="s">
        <v>204</v>
      </c>
      <c r="D667" s="38">
        <v>3</v>
      </c>
      <c r="E667" s="38">
        <v>2</v>
      </c>
      <c r="F667" s="38">
        <v>2</v>
      </c>
      <c r="G667" s="38" t="s">
        <v>51</v>
      </c>
      <c r="H667" s="38">
        <v>4</v>
      </c>
      <c r="I667" s="38" t="s">
        <v>51</v>
      </c>
      <c r="J667" s="38" t="s">
        <v>42</v>
      </c>
      <c r="K667" s="38"/>
      <c r="L667" s="38">
        <v>5</v>
      </c>
      <c r="M667" s="40"/>
      <c r="N667" s="36"/>
      <c r="O667" s="36"/>
      <c r="P667" s="36"/>
      <c r="Q667" s="36" t="s">
        <v>38</v>
      </c>
      <c r="R667" s="36">
        <f>3/10</f>
        <v>0.3</v>
      </c>
      <c r="S667" s="36" t="s">
        <v>48</v>
      </c>
      <c r="T667" s="36">
        <f>4/10</f>
        <v>0.4</v>
      </c>
      <c r="U667" s="36" t="s">
        <v>48</v>
      </c>
      <c r="V667" s="36">
        <f>4/10</f>
        <v>0.4</v>
      </c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 t="s">
        <v>43</v>
      </c>
      <c r="AR667" s="36">
        <f>3.5/10</f>
        <v>0.35</v>
      </c>
      <c r="AS667" s="36"/>
      <c r="AT667" s="36"/>
      <c r="AU667" s="36" t="s">
        <v>48</v>
      </c>
      <c r="AV667" s="36">
        <f>4/10</f>
        <v>0.4</v>
      </c>
      <c r="AW667" s="36"/>
      <c r="AX667" s="36"/>
      <c r="AY667" s="36"/>
      <c r="AZ667" s="36"/>
      <c r="BA667" s="36"/>
      <c r="BB667" s="36"/>
      <c r="BC667" s="36"/>
      <c r="BD667" s="36"/>
      <c r="BE667" s="38"/>
      <c r="BF667" s="38"/>
      <c r="BG667" s="39"/>
      <c r="BH667" s="38">
        <v>1</v>
      </c>
      <c r="BI667" s="38"/>
      <c r="BJ667" s="38"/>
      <c r="BK667" s="38"/>
      <c r="BL667" s="38">
        <v>3</v>
      </c>
      <c r="BM667" s="38"/>
      <c r="BN667" s="38"/>
      <c r="BO667" s="37">
        <f t="shared" si="63"/>
        <v>0</v>
      </c>
      <c r="BP667" s="56">
        <f t="shared" si="64"/>
        <v>1</v>
      </c>
      <c r="BQ667" s="56">
        <f t="shared" si="65"/>
        <v>1</v>
      </c>
      <c r="BR667" s="57">
        <f t="shared" si="66"/>
        <v>3</v>
      </c>
      <c r="BS667" s="38">
        <v>1</v>
      </c>
      <c r="BT667" s="38"/>
      <c r="BU667" s="26"/>
      <c r="BV667" s="26"/>
      <c r="BW667" s="39">
        <f t="shared" si="67"/>
        <v>5</v>
      </c>
      <c r="BX667" s="78">
        <v>4</v>
      </c>
      <c r="BY667" s="63">
        <v>8</v>
      </c>
      <c r="BZ667" s="7"/>
      <c r="CA667" s="8"/>
      <c r="CB667" s="7"/>
      <c r="CC667" s="7"/>
    </row>
    <row r="668" spans="1:81" ht="16" x14ac:dyDescent="0.2">
      <c r="A668" s="109" t="s">
        <v>338</v>
      </c>
      <c r="B668" s="26">
        <v>36</v>
      </c>
      <c r="C668" s="109" t="s">
        <v>204</v>
      </c>
      <c r="D668" s="38">
        <v>4</v>
      </c>
      <c r="E668" s="38">
        <v>2</v>
      </c>
      <c r="F668" s="38">
        <v>2</v>
      </c>
      <c r="G668" s="38" t="s">
        <v>51</v>
      </c>
      <c r="H668" s="38">
        <v>4</v>
      </c>
      <c r="I668" s="38" t="s">
        <v>51</v>
      </c>
      <c r="J668" s="38"/>
      <c r="K668" s="38">
        <v>8</v>
      </c>
      <c r="L668" s="38">
        <v>6</v>
      </c>
      <c r="M668" s="40"/>
      <c r="N668" s="36"/>
      <c r="O668" s="36"/>
      <c r="P668" s="36"/>
      <c r="Q668" s="36"/>
      <c r="R668" s="36"/>
      <c r="S668" s="36"/>
      <c r="T668" s="36"/>
      <c r="U668" s="36"/>
      <c r="V668" s="36"/>
      <c r="W668" s="36" t="s">
        <v>55</v>
      </c>
      <c r="X668" s="36">
        <f>6/9</f>
        <v>0.66666666666666663</v>
      </c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 t="s">
        <v>38</v>
      </c>
      <c r="AL668" s="36">
        <f>6/9</f>
        <v>0.66666666666666663</v>
      </c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8"/>
      <c r="BF668" s="38"/>
      <c r="BG668" s="39"/>
      <c r="BH668" s="38">
        <v>1</v>
      </c>
      <c r="BI668" s="38"/>
      <c r="BJ668" s="38"/>
      <c r="BK668" s="38"/>
      <c r="BL668" s="38">
        <v>1</v>
      </c>
      <c r="BM668" s="38"/>
      <c r="BN668" s="38"/>
      <c r="BO668" s="37">
        <f t="shared" si="63"/>
        <v>0</v>
      </c>
      <c r="BP668" s="56">
        <f t="shared" si="64"/>
        <v>1</v>
      </c>
      <c r="BQ668" s="56">
        <f t="shared" si="65"/>
        <v>0</v>
      </c>
      <c r="BR668" s="57">
        <f t="shared" si="66"/>
        <v>1</v>
      </c>
      <c r="BS668" s="38"/>
      <c r="BT668" s="38"/>
      <c r="BU668" s="26"/>
      <c r="BV668" s="26"/>
      <c r="BW668" s="39">
        <f t="shared" si="67"/>
        <v>2</v>
      </c>
      <c r="BX668" s="78">
        <v>4</v>
      </c>
      <c r="BY668" s="63">
        <v>1</v>
      </c>
      <c r="BZ668" s="7"/>
      <c r="CA668" s="8"/>
      <c r="CB668" s="7"/>
      <c r="CC668" s="7"/>
    </row>
    <row r="669" spans="1:81" x14ac:dyDescent="0.2">
      <c r="A669" s="109" t="s">
        <v>338</v>
      </c>
      <c r="B669" s="26">
        <v>36</v>
      </c>
      <c r="C669" s="109" t="s">
        <v>204</v>
      </c>
      <c r="D669" s="38">
        <v>5</v>
      </c>
      <c r="E669" s="38">
        <v>2</v>
      </c>
      <c r="F669" s="38">
        <v>2</v>
      </c>
      <c r="G669" s="38" t="s">
        <v>51</v>
      </c>
      <c r="H669" s="38">
        <v>4</v>
      </c>
      <c r="I669" s="38" t="s">
        <v>51</v>
      </c>
      <c r="J669" s="38" t="s">
        <v>65</v>
      </c>
      <c r="K669" s="38"/>
      <c r="L669" s="38">
        <v>5</v>
      </c>
      <c r="M669" s="40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8"/>
      <c r="BF669" s="38"/>
      <c r="BG669" s="39"/>
      <c r="BH669" s="38"/>
      <c r="BI669" s="38"/>
      <c r="BJ669" s="38"/>
      <c r="BK669" s="38"/>
      <c r="BL669" s="38"/>
      <c r="BM669" s="38"/>
      <c r="BN669" s="38"/>
      <c r="BO669" s="37">
        <f t="shared" si="63"/>
        <v>0</v>
      </c>
      <c r="BP669" s="56">
        <f t="shared" si="64"/>
        <v>0</v>
      </c>
      <c r="BQ669" s="56">
        <f t="shared" si="65"/>
        <v>0</v>
      </c>
      <c r="BR669" s="57">
        <f t="shared" si="66"/>
        <v>0</v>
      </c>
      <c r="BS669" s="38"/>
      <c r="BT669" s="38"/>
      <c r="BU669" s="26"/>
      <c r="BV669" s="26"/>
      <c r="BW669" s="39">
        <f t="shared" si="67"/>
        <v>0</v>
      </c>
      <c r="BX669" s="78">
        <v>0</v>
      </c>
      <c r="BY669" s="63">
        <v>11</v>
      </c>
      <c r="BZ669" s="7"/>
      <c r="CA669" s="8"/>
      <c r="CB669" s="7"/>
      <c r="CC669" s="7"/>
    </row>
    <row r="670" spans="1:81" x14ac:dyDescent="0.2">
      <c r="A670" s="109" t="s">
        <v>338</v>
      </c>
      <c r="B670" s="26">
        <v>36</v>
      </c>
      <c r="C670" s="109" t="s">
        <v>204</v>
      </c>
      <c r="D670" s="38">
        <v>6</v>
      </c>
      <c r="E670" s="38">
        <v>2</v>
      </c>
      <c r="F670" s="38">
        <v>2</v>
      </c>
      <c r="G670" s="38" t="s">
        <v>51</v>
      </c>
      <c r="H670" s="38">
        <v>4</v>
      </c>
      <c r="I670" s="38" t="s">
        <v>51</v>
      </c>
      <c r="J670" s="38" t="s">
        <v>78</v>
      </c>
      <c r="K670" s="38"/>
      <c r="L670" s="38">
        <v>5</v>
      </c>
      <c r="M670" s="40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8"/>
      <c r="BF670" s="38"/>
      <c r="BG670" s="39"/>
      <c r="BH670" s="38"/>
      <c r="BI670" s="38"/>
      <c r="BJ670" s="38"/>
      <c r="BK670" s="38"/>
      <c r="BL670" s="38"/>
      <c r="BM670" s="38"/>
      <c r="BN670" s="38"/>
      <c r="BO670" s="37">
        <f t="shared" si="63"/>
        <v>0</v>
      </c>
      <c r="BP670" s="56">
        <f t="shared" si="64"/>
        <v>0</v>
      </c>
      <c r="BQ670" s="56">
        <f t="shared" si="65"/>
        <v>0</v>
      </c>
      <c r="BR670" s="57">
        <f t="shared" si="66"/>
        <v>0</v>
      </c>
      <c r="BS670" s="38"/>
      <c r="BT670" s="38"/>
      <c r="BU670" s="26"/>
      <c r="BV670" s="26"/>
      <c r="BW670" s="39">
        <f t="shared" si="67"/>
        <v>0</v>
      </c>
      <c r="BX670" s="78">
        <v>0</v>
      </c>
      <c r="BY670" s="63">
        <v>13</v>
      </c>
      <c r="BZ670" s="7"/>
      <c r="CA670" s="8"/>
      <c r="CB670" s="7"/>
      <c r="CC670" s="7"/>
    </row>
    <row r="671" spans="1:81" ht="16" x14ac:dyDescent="0.2">
      <c r="A671" s="109" t="s">
        <v>338</v>
      </c>
      <c r="B671" s="26">
        <v>36</v>
      </c>
      <c r="C671" s="109" t="s">
        <v>204</v>
      </c>
      <c r="D671" s="38">
        <v>7</v>
      </c>
      <c r="E671" s="38">
        <v>2</v>
      </c>
      <c r="F671" s="38">
        <v>2</v>
      </c>
      <c r="G671" s="38" t="s">
        <v>51</v>
      </c>
      <c r="H671" s="38">
        <v>4</v>
      </c>
      <c r="I671" s="38" t="s">
        <v>51</v>
      </c>
      <c r="J671" s="38" t="s">
        <v>65</v>
      </c>
      <c r="K671" s="38"/>
      <c r="L671" s="38">
        <v>5</v>
      </c>
      <c r="M671" s="40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/>
      <c r="AZ671" s="36"/>
      <c r="BA671" s="36"/>
      <c r="BB671" s="36"/>
      <c r="BC671" s="36" t="s">
        <v>38</v>
      </c>
      <c r="BD671" s="36">
        <f>8/8</f>
        <v>1</v>
      </c>
      <c r="BE671" s="38"/>
      <c r="BF671" s="38"/>
      <c r="BG671" s="39">
        <v>1</v>
      </c>
      <c r="BH671" s="38"/>
      <c r="BI671" s="38"/>
      <c r="BJ671" s="38"/>
      <c r="BK671" s="38"/>
      <c r="BL671" s="38"/>
      <c r="BM671" s="38"/>
      <c r="BN671" s="38"/>
      <c r="BO671" s="37">
        <f t="shared" si="63"/>
        <v>1</v>
      </c>
      <c r="BP671" s="56">
        <f t="shared" si="64"/>
        <v>0</v>
      </c>
      <c r="BQ671" s="56">
        <f t="shared" si="65"/>
        <v>0</v>
      </c>
      <c r="BR671" s="57">
        <f t="shared" si="66"/>
        <v>0</v>
      </c>
      <c r="BS671" s="38"/>
      <c r="BT671" s="38"/>
      <c r="BU671" s="26"/>
      <c r="BV671" s="26"/>
      <c r="BW671" s="39">
        <f t="shared" si="67"/>
        <v>1</v>
      </c>
      <c r="BX671" s="78">
        <v>1</v>
      </c>
      <c r="BY671" s="63">
        <v>11</v>
      </c>
      <c r="BZ671" s="7"/>
      <c r="CA671" s="8"/>
      <c r="CB671" s="7"/>
      <c r="CC671" s="7"/>
    </row>
    <row r="672" spans="1:81" ht="16" x14ac:dyDescent="0.2">
      <c r="A672" s="109" t="s">
        <v>338</v>
      </c>
      <c r="B672" s="26">
        <v>36</v>
      </c>
      <c r="C672" s="109" t="s">
        <v>204</v>
      </c>
      <c r="D672" s="38">
        <v>8</v>
      </c>
      <c r="E672" s="38">
        <v>2</v>
      </c>
      <c r="F672" s="38">
        <v>2</v>
      </c>
      <c r="G672" s="38" t="s">
        <v>51</v>
      </c>
      <c r="H672" s="38">
        <v>4</v>
      </c>
      <c r="I672" s="38" t="s">
        <v>51</v>
      </c>
      <c r="J672" s="38" t="s">
        <v>42</v>
      </c>
      <c r="K672" s="38"/>
      <c r="L672" s="38">
        <v>5</v>
      </c>
      <c r="M672" s="40"/>
      <c r="N672" s="36"/>
      <c r="O672" s="36"/>
      <c r="P672" s="36"/>
      <c r="Q672" s="36"/>
      <c r="R672" s="36"/>
      <c r="S672" s="36"/>
      <c r="T672" s="36"/>
      <c r="U672" s="36" t="s">
        <v>40</v>
      </c>
      <c r="V672" s="36">
        <f>3/9</f>
        <v>0.33333333333333331</v>
      </c>
      <c r="W672" s="36"/>
      <c r="X672" s="36"/>
      <c r="Y672" s="36"/>
      <c r="Z672" s="36"/>
      <c r="AA672" s="36"/>
      <c r="AB672" s="36"/>
      <c r="AC672" s="36"/>
      <c r="AD672" s="36"/>
      <c r="AE672" s="36" t="s">
        <v>38</v>
      </c>
      <c r="AF672" s="36">
        <f>4.5/9</f>
        <v>0.5</v>
      </c>
      <c r="AG672" s="36" t="s">
        <v>61</v>
      </c>
      <c r="AH672" s="36">
        <v>0.44400000000000001</v>
      </c>
      <c r="AI672" s="36" t="s">
        <v>48</v>
      </c>
      <c r="AJ672" s="36">
        <f>4.5/9</f>
        <v>0.5</v>
      </c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8"/>
      <c r="BF672" s="38"/>
      <c r="BG672" s="39"/>
      <c r="BH672" s="38">
        <v>1</v>
      </c>
      <c r="BI672" s="38"/>
      <c r="BJ672" s="38"/>
      <c r="BK672" s="38"/>
      <c r="BL672" s="38">
        <v>1</v>
      </c>
      <c r="BM672" s="38"/>
      <c r="BN672" s="38">
        <v>1</v>
      </c>
      <c r="BO672" s="37">
        <f t="shared" si="63"/>
        <v>0</v>
      </c>
      <c r="BP672" s="56">
        <f t="shared" si="64"/>
        <v>1</v>
      </c>
      <c r="BQ672" s="56">
        <f t="shared" si="65"/>
        <v>1</v>
      </c>
      <c r="BR672" s="57">
        <f t="shared" si="66"/>
        <v>2</v>
      </c>
      <c r="BS672" s="38">
        <v>1</v>
      </c>
      <c r="BT672" s="38"/>
      <c r="BU672" s="26"/>
      <c r="BV672" s="26"/>
      <c r="BW672" s="39">
        <f t="shared" si="67"/>
        <v>4</v>
      </c>
      <c r="BX672" s="78">
        <v>4</v>
      </c>
      <c r="BY672" s="63">
        <v>8</v>
      </c>
      <c r="BZ672" s="7"/>
      <c r="CA672" s="8"/>
      <c r="CB672" s="7"/>
      <c r="CC672" s="7"/>
    </row>
    <row r="673" spans="1:81" x14ac:dyDescent="0.2">
      <c r="A673" s="109" t="s">
        <v>338</v>
      </c>
      <c r="B673" s="26">
        <v>36</v>
      </c>
      <c r="C673" s="109" t="s">
        <v>204</v>
      </c>
      <c r="D673" s="38">
        <v>9</v>
      </c>
      <c r="E673" s="38">
        <v>2</v>
      </c>
      <c r="F673" s="38">
        <v>2</v>
      </c>
      <c r="G673" s="38" t="s">
        <v>51</v>
      </c>
      <c r="H673" s="38">
        <v>4</v>
      </c>
      <c r="I673" s="38" t="s">
        <v>51</v>
      </c>
      <c r="J673" s="38" t="s">
        <v>78</v>
      </c>
      <c r="K673" s="38"/>
      <c r="L673" s="38">
        <v>5</v>
      </c>
      <c r="M673" s="40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8"/>
      <c r="BF673" s="38"/>
      <c r="BG673" s="39"/>
      <c r="BH673" s="38"/>
      <c r="BI673" s="38"/>
      <c r="BJ673" s="38"/>
      <c r="BK673" s="38"/>
      <c r="BL673" s="38"/>
      <c r="BM673" s="38"/>
      <c r="BN673" s="38"/>
      <c r="BO673" s="37">
        <f t="shared" si="63"/>
        <v>0</v>
      </c>
      <c r="BP673" s="56">
        <f t="shared" si="64"/>
        <v>0</v>
      </c>
      <c r="BQ673" s="56">
        <f t="shared" si="65"/>
        <v>0</v>
      </c>
      <c r="BR673" s="57">
        <f t="shared" si="66"/>
        <v>0</v>
      </c>
      <c r="BS673" s="38"/>
      <c r="BT673" s="38"/>
      <c r="BU673" s="26"/>
      <c r="BV673" s="26"/>
      <c r="BW673" s="39">
        <f t="shared" si="67"/>
        <v>0</v>
      </c>
      <c r="BX673" s="78">
        <v>0</v>
      </c>
      <c r="BY673" s="63">
        <v>13</v>
      </c>
      <c r="BZ673" s="7"/>
      <c r="CA673" s="8"/>
      <c r="CB673" s="7"/>
      <c r="CC673" s="7"/>
    </row>
    <row r="674" spans="1:81" ht="16" x14ac:dyDescent="0.2">
      <c r="A674" s="111" t="s">
        <v>338</v>
      </c>
      <c r="B674" s="26">
        <v>36</v>
      </c>
      <c r="C674" s="109" t="s">
        <v>204</v>
      </c>
      <c r="D674" s="38">
        <v>10</v>
      </c>
      <c r="E674" s="38">
        <v>2</v>
      </c>
      <c r="F674" s="38">
        <v>2</v>
      </c>
      <c r="G674" s="38" t="s">
        <v>51</v>
      </c>
      <c r="H674" s="38">
        <v>6</v>
      </c>
      <c r="I674" s="38" t="s">
        <v>50</v>
      </c>
      <c r="J674" s="38"/>
      <c r="K674" s="38">
        <v>8</v>
      </c>
      <c r="L674" s="38">
        <v>6</v>
      </c>
      <c r="M674" s="40" t="s">
        <v>40</v>
      </c>
      <c r="N674" s="36">
        <f>3.5/10</f>
        <v>0.35</v>
      </c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 t="s">
        <v>40</v>
      </c>
      <c r="AF674" s="36">
        <f>3.5/10</f>
        <v>0.35</v>
      </c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8"/>
      <c r="BF674" s="38"/>
      <c r="BG674" s="39"/>
      <c r="BH674" s="38"/>
      <c r="BI674" s="38"/>
      <c r="BJ674" s="38"/>
      <c r="BK674" s="38"/>
      <c r="BL674" s="38"/>
      <c r="BM674" s="38"/>
      <c r="BN674" s="38">
        <v>2</v>
      </c>
      <c r="BO674" s="37">
        <f t="shared" si="63"/>
        <v>0</v>
      </c>
      <c r="BP674" s="56">
        <f t="shared" si="64"/>
        <v>0</v>
      </c>
      <c r="BQ674" s="56">
        <f t="shared" si="65"/>
        <v>0</v>
      </c>
      <c r="BR674" s="57">
        <f t="shared" si="66"/>
        <v>2</v>
      </c>
      <c r="BS674" s="38"/>
      <c r="BT674" s="38"/>
      <c r="BU674" s="26"/>
      <c r="BV674" s="26"/>
      <c r="BW674" s="39">
        <f t="shared" si="67"/>
        <v>2</v>
      </c>
      <c r="BX674" s="78">
        <v>4</v>
      </c>
      <c r="BY674" s="63">
        <v>1</v>
      </c>
      <c r="BZ674" s="7"/>
      <c r="CA674" s="8"/>
      <c r="CB674" s="17"/>
      <c r="CC674" s="17"/>
    </row>
    <row r="675" spans="1:81" x14ac:dyDescent="0.2">
      <c r="A675" s="109" t="s">
        <v>338</v>
      </c>
      <c r="B675" s="48">
        <v>36</v>
      </c>
      <c r="C675" s="112" t="s">
        <v>204</v>
      </c>
      <c r="D675" s="48">
        <v>11</v>
      </c>
      <c r="E675" s="38">
        <v>2</v>
      </c>
      <c r="F675" s="38">
        <v>2</v>
      </c>
      <c r="G675" s="38" t="s">
        <v>51</v>
      </c>
      <c r="H675" s="38">
        <v>4</v>
      </c>
      <c r="I675" s="38" t="s">
        <v>51</v>
      </c>
      <c r="J675" s="49" t="s">
        <v>65</v>
      </c>
      <c r="K675" s="49"/>
      <c r="L675" s="49">
        <v>5</v>
      </c>
      <c r="M675" s="40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49"/>
      <c r="BF675" s="49"/>
      <c r="BG675" s="39"/>
      <c r="BH675" s="38"/>
      <c r="BI675" s="38"/>
      <c r="BJ675" s="38"/>
      <c r="BK675" s="38"/>
      <c r="BL675" s="38"/>
      <c r="BM675" s="38"/>
      <c r="BN675" s="38"/>
      <c r="BO675" s="37">
        <f t="shared" si="63"/>
        <v>0</v>
      </c>
      <c r="BP675" s="56">
        <f t="shared" si="64"/>
        <v>0</v>
      </c>
      <c r="BQ675" s="56">
        <f t="shared" si="65"/>
        <v>0</v>
      </c>
      <c r="BR675" s="57">
        <f t="shared" si="66"/>
        <v>0</v>
      </c>
      <c r="BS675" s="38"/>
      <c r="BT675" s="38"/>
      <c r="BU675" s="26"/>
      <c r="BV675" s="26"/>
      <c r="BW675" s="39">
        <f t="shared" si="67"/>
        <v>0</v>
      </c>
      <c r="BX675" s="78">
        <v>0</v>
      </c>
      <c r="BY675" s="63">
        <v>11</v>
      </c>
      <c r="BZ675" s="7"/>
      <c r="CA675" s="8"/>
      <c r="CB675" s="7"/>
      <c r="CC675" s="7"/>
    </row>
    <row r="676" spans="1:81" ht="16" x14ac:dyDescent="0.2">
      <c r="A676" s="109" t="s">
        <v>339</v>
      </c>
      <c r="B676" s="26">
        <v>40</v>
      </c>
      <c r="C676" s="109" t="s">
        <v>205</v>
      </c>
      <c r="D676" s="38">
        <v>1</v>
      </c>
      <c r="E676" s="38">
        <v>2</v>
      </c>
      <c r="F676" s="38">
        <v>2</v>
      </c>
      <c r="G676" s="38" t="s">
        <v>51</v>
      </c>
      <c r="H676" s="38">
        <v>4</v>
      </c>
      <c r="I676" s="38" t="s">
        <v>51</v>
      </c>
      <c r="J676" s="38"/>
      <c r="K676" s="38" t="s">
        <v>63</v>
      </c>
      <c r="L676" s="38">
        <v>6</v>
      </c>
      <c r="M676" s="40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 t="s">
        <v>57</v>
      </c>
      <c r="Z676" s="36">
        <f>12.5/16</f>
        <v>0.78125</v>
      </c>
      <c r="AA676" s="36" t="s">
        <v>38</v>
      </c>
      <c r="AB676" s="36">
        <f>16/16</f>
        <v>1</v>
      </c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 t="s">
        <v>39</v>
      </c>
      <c r="AP676" s="36">
        <f>16/16</f>
        <v>1</v>
      </c>
      <c r="AQ676" s="36"/>
      <c r="AR676" s="36"/>
      <c r="AS676" s="36" t="s">
        <v>38</v>
      </c>
      <c r="AT676" s="36">
        <f>15.5/16</f>
        <v>0.96875</v>
      </c>
      <c r="AU676" s="36"/>
      <c r="AV676" s="36"/>
      <c r="AW676" s="36" t="s">
        <v>38</v>
      </c>
      <c r="AX676" s="36">
        <f>17/16</f>
        <v>1.0625</v>
      </c>
      <c r="AY676" s="36"/>
      <c r="AZ676" s="36"/>
      <c r="BA676" s="36"/>
      <c r="BB676" s="36"/>
      <c r="BC676" s="36" t="s">
        <v>39</v>
      </c>
      <c r="BD676" s="36">
        <f>16.5/16</f>
        <v>1.03125</v>
      </c>
      <c r="BE676" s="38"/>
      <c r="BF676" s="38"/>
      <c r="BG676" s="37">
        <v>3</v>
      </c>
      <c r="BH676" s="26"/>
      <c r="BI676" s="26">
        <v>2</v>
      </c>
      <c r="BJ676" s="26"/>
      <c r="BK676" s="26"/>
      <c r="BL676" s="26"/>
      <c r="BM676" s="26">
        <v>1</v>
      </c>
      <c r="BO676" s="37">
        <f t="shared" si="63"/>
        <v>5</v>
      </c>
      <c r="BP676" s="56">
        <f t="shared" si="64"/>
        <v>0</v>
      </c>
      <c r="BQ676" s="56">
        <f t="shared" si="65"/>
        <v>1</v>
      </c>
      <c r="BR676" s="57">
        <f t="shared" si="66"/>
        <v>0</v>
      </c>
      <c r="BS676" s="38"/>
      <c r="BT676" s="38"/>
      <c r="BU676" s="26"/>
      <c r="BV676" s="26"/>
      <c r="BW676" s="39">
        <f t="shared" si="67"/>
        <v>6</v>
      </c>
      <c r="BX676" s="78">
        <v>2</v>
      </c>
      <c r="BY676" s="63">
        <v>2</v>
      </c>
    </row>
    <row r="677" spans="1:81" ht="16" x14ac:dyDescent="0.2">
      <c r="A677" s="109" t="s">
        <v>339</v>
      </c>
      <c r="B677" s="26">
        <v>40</v>
      </c>
      <c r="C677" s="109" t="s">
        <v>205</v>
      </c>
      <c r="D677" s="38">
        <v>2</v>
      </c>
      <c r="E677" s="38">
        <v>2</v>
      </c>
      <c r="F677" s="38">
        <v>3</v>
      </c>
      <c r="G677" s="38" t="s">
        <v>56</v>
      </c>
      <c r="H677" s="38">
        <v>6</v>
      </c>
      <c r="I677" s="38" t="s">
        <v>51</v>
      </c>
      <c r="J677" s="38"/>
      <c r="K677" s="38">
        <v>9</v>
      </c>
      <c r="L677" s="38">
        <v>6</v>
      </c>
      <c r="M677" s="40"/>
      <c r="N677" s="36"/>
      <c r="O677" s="36"/>
      <c r="P677" s="36"/>
      <c r="Q677" s="36"/>
      <c r="R677" s="36"/>
      <c r="S677" s="36" t="s">
        <v>38</v>
      </c>
      <c r="T677" s="36">
        <f>6.5/16</f>
        <v>0.40625</v>
      </c>
      <c r="U677" s="36"/>
      <c r="V677" s="36"/>
      <c r="W677" s="36"/>
      <c r="X677" s="36"/>
      <c r="Y677" s="36"/>
      <c r="Z677" s="36"/>
      <c r="AA677" s="36"/>
      <c r="AB677" s="36"/>
      <c r="AC677" s="36" t="s">
        <v>39</v>
      </c>
      <c r="AD677" s="36">
        <f>9.5/16</f>
        <v>0.59375</v>
      </c>
      <c r="AE677" s="36"/>
      <c r="AF677" s="36"/>
      <c r="AG677" s="36"/>
      <c r="AH677" s="36"/>
      <c r="AI677" s="36"/>
      <c r="AJ677" s="36"/>
      <c r="AK677" s="36" t="s">
        <v>39</v>
      </c>
      <c r="AL677" s="36">
        <f>11/16</f>
        <v>0.6875</v>
      </c>
      <c r="AM677" s="36" t="s">
        <v>38</v>
      </c>
      <c r="AN677" s="36">
        <f>7.5/16</f>
        <v>0.46875</v>
      </c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8"/>
      <c r="BF677" s="38"/>
      <c r="BG677" s="37"/>
      <c r="BH677" s="26">
        <v>2</v>
      </c>
      <c r="BI677" s="26"/>
      <c r="BJ677" s="26">
        <v>2</v>
      </c>
      <c r="BK677" s="26"/>
      <c r="BL677" s="26"/>
      <c r="BM677" s="26"/>
      <c r="BO677" s="37">
        <f t="shared" si="63"/>
        <v>0</v>
      </c>
      <c r="BP677" s="56">
        <f t="shared" si="64"/>
        <v>4</v>
      </c>
      <c r="BQ677" s="56">
        <f t="shared" si="65"/>
        <v>0</v>
      </c>
      <c r="BR677" s="57">
        <f t="shared" si="66"/>
        <v>0</v>
      </c>
      <c r="BS677" s="38"/>
      <c r="BT677" s="38"/>
      <c r="BU677" s="26"/>
      <c r="BV677" s="26"/>
      <c r="BW677" s="39">
        <f t="shared" si="67"/>
        <v>4</v>
      </c>
      <c r="BX677" s="78">
        <v>3</v>
      </c>
      <c r="BY677" s="63">
        <v>1</v>
      </c>
    </row>
    <row r="678" spans="1:81" x14ac:dyDescent="0.2">
      <c r="A678" s="109" t="s">
        <v>339</v>
      </c>
      <c r="B678" s="26">
        <v>40</v>
      </c>
      <c r="C678" s="109" t="s">
        <v>205</v>
      </c>
      <c r="D678" s="38">
        <v>3</v>
      </c>
      <c r="E678" s="38">
        <v>2</v>
      </c>
      <c r="F678" s="38">
        <v>2</v>
      </c>
      <c r="G678" s="38" t="s">
        <v>51</v>
      </c>
      <c r="H678" s="38">
        <v>4</v>
      </c>
      <c r="I678" s="38" t="s">
        <v>51</v>
      </c>
      <c r="J678" s="38" t="s">
        <v>41</v>
      </c>
      <c r="K678" s="38"/>
      <c r="L678" s="38">
        <v>6</v>
      </c>
      <c r="M678" s="40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8"/>
      <c r="BF678" s="38"/>
      <c r="BG678" s="37"/>
      <c r="BH678" s="26"/>
      <c r="BI678" s="26"/>
      <c r="BJ678" s="26"/>
      <c r="BK678" s="26"/>
      <c r="BL678" s="26"/>
      <c r="BM678" s="26"/>
      <c r="BN678" s="26"/>
      <c r="BO678" s="37">
        <f t="shared" si="63"/>
        <v>0</v>
      </c>
      <c r="BP678" s="56">
        <f t="shared" si="64"/>
        <v>0</v>
      </c>
      <c r="BQ678" s="56">
        <f t="shared" si="65"/>
        <v>0</v>
      </c>
      <c r="BR678" s="57">
        <f t="shared" si="66"/>
        <v>0</v>
      </c>
      <c r="BS678" s="38"/>
      <c r="BT678" s="38"/>
      <c r="BU678" s="26"/>
      <c r="BV678" s="26"/>
      <c r="BW678" s="39">
        <f t="shared" si="67"/>
        <v>0</v>
      </c>
      <c r="BX678" s="78">
        <v>0</v>
      </c>
      <c r="BY678" s="63">
        <v>10</v>
      </c>
      <c r="CB678" s="7"/>
      <c r="CC678" s="7"/>
    </row>
    <row r="679" spans="1:81" ht="16" x14ac:dyDescent="0.2">
      <c r="A679" s="109" t="s">
        <v>339</v>
      </c>
      <c r="B679" s="26">
        <v>40</v>
      </c>
      <c r="C679" s="109" t="s">
        <v>206</v>
      </c>
      <c r="D679" s="38">
        <v>4</v>
      </c>
      <c r="E679" s="38">
        <v>2</v>
      </c>
      <c r="F679" s="38">
        <v>2</v>
      </c>
      <c r="G679" s="38" t="s">
        <v>51</v>
      </c>
      <c r="H679" s="38">
        <v>1</v>
      </c>
      <c r="I679" s="38" t="s">
        <v>62</v>
      </c>
      <c r="J679" s="38" t="s">
        <v>42</v>
      </c>
      <c r="K679" s="38"/>
      <c r="L679" s="38">
        <v>6</v>
      </c>
      <c r="M679" s="40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 t="s">
        <v>39</v>
      </c>
      <c r="AR679" s="36">
        <f>14.5/16</f>
        <v>0.90625</v>
      </c>
      <c r="AS679" s="36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8"/>
      <c r="BF679" s="38"/>
      <c r="BG679" s="39"/>
      <c r="BH679" s="38"/>
      <c r="BI679" s="38">
        <v>1</v>
      </c>
      <c r="BJ679" s="38"/>
      <c r="BK679" s="38"/>
      <c r="BL679" s="38"/>
      <c r="BM679" s="38"/>
      <c r="BN679" s="38"/>
      <c r="BO679" s="37">
        <f t="shared" si="63"/>
        <v>1</v>
      </c>
      <c r="BP679" s="56">
        <f t="shared" si="64"/>
        <v>0</v>
      </c>
      <c r="BQ679" s="56">
        <f t="shared" si="65"/>
        <v>0</v>
      </c>
      <c r="BR679" s="57">
        <f t="shared" si="66"/>
        <v>0</v>
      </c>
      <c r="BS679" s="38"/>
      <c r="BT679" s="38"/>
      <c r="BU679" s="26"/>
      <c r="BV679" s="26"/>
      <c r="BW679" s="39">
        <f t="shared" si="67"/>
        <v>1</v>
      </c>
      <c r="BX679" s="78">
        <v>1</v>
      </c>
      <c r="BY679" s="63">
        <v>8</v>
      </c>
      <c r="BZ679" s="17"/>
      <c r="CA679" s="8"/>
      <c r="CB679" s="7"/>
      <c r="CC679" s="7"/>
    </row>
    <row r="680" spans="1:81" x14ac:dyDescent="0.2">
      <c r="A680" s="109" t="s">
        <v>340</v>
      </c>
      <c r="B680" s="26">
        <v>34</v>
      </c>
      <c r="C680" s="109" t="s">
        <v>207</v>
      </c>
      <c r="D680" s="38">
        <v>1</v>
      </c>
      <c r="E680" s="38">
        <v>2</v>
      </c>
      <c r="F680" s="38">
        <v>2</v>
      </c>
      <c r="G680" s="38" t="s">
        <v>51</v>
      </c>
      <c r="H680" s="38">
        <v>4</v>
      </c>
      <c r="I680" s="38" t="s">
        <v>51</v>
      </c>
      <c r="J680" s="38" t="s">
        <v>41</v>
      </c>
      <c r="K680" s="38"/>
      <c r="L680" s="38">
        <v>5</v>
      </c>
      <c r="M680" s="40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8"/>
      <c r="BF680" s="38"/>
      <c r="BG680" s="43"/>
      <c r="BO680" s="37">
        <f t="shared" si="63"/>
        <v>0</v>
      </c>
      <c r="BP680" s="56">
        <f t="shared" si="64"/>
        <v>0</v>
      </c>
      <c r="BQ680" s="56">
        <f t="shared" si="65"/>
        <v>0</v>
      </c>
      <c r="BR680" s="57">
        <f t="shared" si="66"/>
        <v>0</v>
      </c>
      <c r="BS680" s="38"/>
      <c r="BT680" s="38"/>
      <c r="BU680" s="26"/>
      <c r="BV680" s="26"/>
      <c r="BW680" s="39">
        <f t="shared" si="67"/>
        <v>0</v>
      </c>
      <c r="BX680" s="78">
        <v>0</v>
      </c>
      <c r="BY680" s="63">
        <v>10</v>
      </c>
      <c r="BZ680" s="7"/>
      <c r="CA680" s="19"/>
      <c r="CB680" s="7"/>
      <c r="CC680" s="7"/>
    </row>
    <row r="681" spans="1:81" x14ac:dyDescent="0.2">
      <c r="A681" s="109" t="s">
        <v>340</v>
      </c>
      <c r="B681" s="26">
        <v>34</v>
      </c>
      <c r="C681" s="109" t="s">
        <v>207</v>
      </c>
      <c r="D681" s="38">
        <v>2</v>
      </c>
      <c r="E681" s="38">
        <v>2</v>
      </c>
      <c r="F681" s="38">
        <v>2</v>
      </c>
      <c r="G681" s="38" t="s">
        <v>51</v>
      </c>
      <c r="H681" s="38">
        <v>4</v>
      </c>
      <c r="I681" s="38" t="s">
        <v>51</v>
      </c>
      <c r="J681" s="38" t="s">
        <v>41</v>
      </c>
      <c r="K681" s="38"/>
      <c r="L681" s="38">
        <v>5</v>
      </c>
      <c r="M681" s="40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8"/>
      <c r="BF681" s="38"/>
      <c r="BG681" s="37"/>
      <c r="BH681" s="26"/>
      <c r="BI681" s="26"/>
      <c r="BJ681" s="26"/>
      <c r="BK681" s="26"/>
      <c r="BL681" s="26"/>
      <c r="BM681" s="44"/>
      <c r="BO681" s="37">
        <f t="shared" si="63"/>
        <v>0</v>
      </c>
      <c r="BP681" s="56">
        <f t="shared" si="64"/>
        <v>0</v>
      </c>
      <c r="BQ681" s="56">
        <f t="shared" si="65"/>
        <v>0</v>
      </c>
      <c r="BR681" s="57">
        <f t="shared" si="66"/>
        <v>0</v>
      </c>
      <c r="BS681" s="38"/>
      <c r="BT681" s="38"/>
      <c r="BU681" s="26"/>
      <c r="BV681" s="26"/>
      <c r="BW681" s="39">
        <f t="shared" si="67"/>
        <v>0</v>
      </c>
      <c r="BX681" s="78">
        <v>0</v>
      </c>
      <c r="BY681" s="63">
        <v>10</v>
      </c>
    </row>
    <row r="682" spans="1:81" ht="16" x14ac:dyDescent="0.2">
      <c r="A682" s="109" t="s">
        <v>340</v>
      </c>
      <c r="B682" s="26">
        <v>34</v>
      </c>
      <c r="C682" s="109" t="s">
        <v>207</v>
      </c>
      <c r="D682" s="38">
        <v>3</v>
      </c>
      <c r="E682" s="38">
        <v>2</v>
      </c>
      <c r="F682" s="38">
        <v>2</v>
      </c>
      <c r="G682" s="38" t="s">
        <v>51</v>
      </c>
      <c r="H682" s="38">
        <v>4</v>
      </c>
      <c r="I682" s="38" t="s">
        <v>51</v>
      </c>
      <c r="J682" s="38" t="s">
        <v>65</v>
      </c>
      <c r="K682" s="38"/>
      <c r="L682" s="38">
        <v>5</v>
      </c>
      <c r="M682" s="40"/>
      <c r="N682" s="36"/>
      <c r="O682" s="36" t="s">
        <v>57</v>
      </c>
      <c r="P682" s="36">
        <f>4/10</f>
        <v>0.4</v>
      </c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8"/>
      <c r="BF682" s="38"/>
      <c r="BG682" s="37"/>
      <c r="BH682" s="26"/>
      <c r="BI682" s="26"/>
      <c r="BJ682" s="26"/>
      <c r="BK682" s="26"/>
      <c r="BL682" s="26"/>
      <c r="BM682" s="26"/>
      <c r="BN682" s="41">
        <v>1</v>
      </c>
      <c r="BO682" s="37">
        <f t="shared" si="63"/>
        <v>0</v>
      </c>
      <c r="BP682" s="56">
        <f t="shared" si="64"/>
        <v>0</v>
      </c>
      <c r="BQ682" s="56">
        <f t="shared" si="65"/>
        <v>0</v>
      </c>
      <c r="BR682" s="57">
        <f t="shared" si="66"/>
        <v>1</v>
      </c>
      <c r="BS682" s="38"/>
      <c r="BT682" s="38"/>
      <c r="BU682" s="26"/>
      <c r="BV682" s="26"/>
      <c r="BW682" s="39">
        <f t="shared" si="67"/>
        <v>1</v>
      </c>
      <c r="BX682" s="78">
        <v>4</v>
      </c>
      <c r="BY682" s="63">
        <v>11</v>
      </c>
    </row>
    <row r="683" spans="1:81" x14ac:dyDescent="0.2">
      <c r="A683" s="109" t="s">
        <v>340</v>
      </c>
      <c r="B683" s="26">
        <v>34</v>
      </c>
      <c r="C683" s="109" t="s">
        <v>207</v>
      </c>
      <c r="D683" s="38">
        <v>4</v>
      </c>
      <c r="E683" s="38">
        <v>2</v>
      </c>
      <c r="F683" s="38">
        <v>2</v>
      </c>
      <c r="G683" s="38" t="s">
        <v>51</v>
      </c>
      <c r="H683" s="38">
        <v>4</v>
      </c>
      <c r="I683" s="38" t="s">
        <v>51</v>
      </c>
      <c r="J683" s="38" t="s">
        <v>78</v>
      </c>
      <c r="K683" s="38"/>
      <c r="L683" s="38">
        <v>5</v>
      </c>
      <c r="M683" s="40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8"/>
      <c r="BF683" s="38"/>
      <c r="BG683" s="37"/>
      <c r="BH683" s="26"/>
      <c r="BI683" s="26"/>
      <c r="BJ683" s="26"/>
      <c r="BK683" s="26"/>
      <c r="BL683" s="26"/>
      <c r="BM683" s="26"/>
      <c r="BO683" s="37">
        <f t="shared" si="63"/>
        <v>0</v>
      </c>
      <c r="BP683" s="56">
        <f t="shared" si="64"/>
        <v>0</v>
      </c>
      <c r="BQ683" s="56">
        <f t="shared" si="65"/>
        <v>0</v>
      </c>
      <c r="BR683" s="57">
        <f t="shared" si="66"/>
        <v>0</v>
      </c>
      <c r="BS683" s="38"/>
      <c r="BT683" s="38"/>
      <c r="BU683" s="26"/>
      <c r="BV683" s="26"/>
      <c r="BW683" s="39">
        <f t="shared" si="67"/>
        <v>0</v>
      </c>
      <c r="BX683" s="78">
        <v>0</v>
      </c>
      <c r="BY683" s="63">
        <v>13</v>
      </c>
    </row>
    <row r="684" spans="1:81" ht="16" x14ac:dyDescent="0.2">
      <c r="A684" s="109" t="s">
        <v>340</v>
      </c>
      <c r="B684" s="26">
        <v>34</v>
      </c>
      <c r="C684" s="109" t="s">
        <v>207</v>
      </c>
      <c r="D684" s="38">
        <v>5</v>
      </c>
      <c r="E684" s="38">
        <v>2</v>
      </c>
      <c r="F684" s="38" t="s">
        <v>53</v>
      </c>
      <c r="G684" s="38" t="s">
        <v>50</v>
      </c>
      <c r="H684" s="38"/>
      <c r="I684" s="38"/>
      <c r="J684" s="38"/>
      <c r="K684" s="38" t="s">
        <v>63</v>
      </c>
      <c r="L684" s="38">
        <v>6</v>
      </c>
      <c r="M684" s="40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 t="s">
        <v>39</v>
      </c>
      <c r="AB684" s="36">
        <f>9/9.5</f>
        <v>0.94736842105263153</v>
      </c>
      <c r="AC684" s="36" t="s">
        <v>40</v>
      </c>
      <c r="AD684" s="36">
        <f>5/9.5</f>
        <v>0.52631578947368418</v>
      </c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8"/>
      <c r="BF684" s="38"/>
      <c r="BG684" s="37"/>
      <c r="BH684" s="26"/>
      <c r="BI684" s="26">
        <v>1</v>
      </c>
      <c r="BJ684" s="26"/>
      <c r="BK684" s="26"/>
      <c r="BL684" s="26"/>
      <c r="BM684" s="26"/>
      <c r="BN684" s="41">
        <v>1</v>
      </c>
      <c r="BO684" s="37">
        <f t="shared" si="63"/>
        <v>1</v>
      </c>
      <c r="BP684" s="56">
        <f t="shared" si="64"/>
        <v>0</v>
      </c>
      <c r="BQ684" s="56">
        <f t="shared" si="65"/>
        <v>0</v>
      </c>
      <c r="BR684" s="57">
        <f t="shared" si="66"/>
        <v>1</v>
      </c>
      <c r="BS684" s="38"/>
      <c r="BT684" s="38"/>
      <c r="BU684" s="26"/>
      <c r="BV684" s="26"/>
      <c r="BW684" s="39">
        <f t="shared" si="67"/>
        <v>2</v>
      </c>
      <c r="BX684" s="78">
        <v>2</v>
      </c>
      <c r="BY684" s="63">
        <v>2</v>
      </c>
    </row>
    <row r="685" spans="1:81" ht="16" x14ac:dyDescent="0.2">
      <c r="A685" s="125" t="s">
        <v>340</v>
      </c>
      <c r="B685" s="26">
        <v>34</v>
      </c>
      <c r="C685" s="109" t="s">
        <v>207</v>
      </c>
      <c r="D685" s="38">
        <v>6</v>
      </c>
      <c r="E685" s="38">
        <v>2</v>
      </c>
      <c r="F685" s="38">
        <v>2</v>
      </c>
      <c r="G685" s="38" t="s">
        <v>51</v>
      </c>
      <c r="H685" s="38">
        <v>6</v>
      </c>
      <c r="I685" s="38" t="s">
        <v>56</v>
      </c>
      <c r="J685" s="38"/>
      <c r="K685" s="38" t="s">
        <v>63</v>
      </c>
      <c r="L685" s="38">
        <v>6</v>
      </c>
      <c r="M685" s="40"/>
      <c r="N685" s="36"/>
      <c r="O685" s="36" t="s">
        <v>38</v>
      </c>
      <c r="P685" s="36">
        <f>4/10</f>
        <v>0.4</v>
      </c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 t="s">
        <v>39</v>
      </c>
      <c r="AJ685" s="36">
        <f>4/10</f>
        <v>0.4</v>
      </c>
      <c r="AK685" s="36"/>
      <c r="AL685" s="36"/>
      <c r="AM685" s="36" t="s">
        <v>39</v>
      </c>
      <c r="AN685" s="36">
        <f>5/10</f>
        <v>0.5</v>
      </c>
      <c r="AO685" s="36"/>
      <c r="AP685" s="36"/>
      <c r="AQ685" s="36"/>
      <c r="AR685" s="36"/>
      <c r="AS685" s="36"/>
      <c r="AT685" s="36"/>
      <c r="AU685" s="36"/>
      <c r="AV685" s="36"/>
      <c r="AW685" s="36" t="s">
        <v>39</v>
      </c>
      <c r="AX685" s="36">
        <f>4/10</f>
        <v>0.4</v>
      </c>
      <c r="AY685" s="36"/>
      <c r="AZ685" s="36"/>
      <c r="BA685" s="36" t="s">
        <v>39</v>
      </c>
      <c r="BB685" s="36">
        <f>4/10</f>
        <v>0.4</v>
      </c>
      <c r="BC685" s="36"/>
      <c r="BD685" s="36"/>
      <c r="BE685" s="38"/>
      <c r="BF685" s="38"/>
      <c r="BG685" s="40"/>
      <c r="BH685" s="36">
        <v>1</v>
      </c>
      <c r="BI685" s="36"/>
      <c r="BJ685" s="36">
        <v>4</v>
      </c>
      <c r="BK685" s="36"/>
      <c r="BL685" s="36"/>
      <c r="BM685" s="36"/>
      <c r="BN685" s="36"/>
      <c r="BO685" s="37">
        <f t="shared" si="63"/>
        <v>0</v>
      </c>
      <c r="BP685" s="56">
        <f t="shared" si="64"/>
        <v>5</v>
      </c>
      <c r="BQ685" s="56">
        <f t="shared" si="65"/>
        <v>0</v>
      </c>
      <c r="BR685" s="57">
        <f t="shared" si="66"/>
        <v>0</v>
      </c>
      <c r="BS685" s="38"/>
      <c r="BT685" s="38"/>
      <c r="BU685" s="26"/>
      <c r="BV685" s="26"/>
      <c r="BW685" s="39">
        <f t="shared" si="67"/>
        <v>5</v>
      </c>
      <c r="BX685" s="78">
        <v>3</v>
      </c>
      <c r="BY685" s="65">
        <v>2</v>
      </c>
      <c r="BZ685" s="16"/>
      <c r="CA685" s="21"/>
      <c r="CB685" s="16"/>
      <c r="CC685" s="16"/>
    </row>
    <row r="686" spans="1:81" x14ac:dyDescent="0.2">
      <c r="A686" s="109" t="s">
        <v>340</v>
      </c>
      <c r="B686" s="26">
        <v>34</v>
      </c>
      <c r="C686" s="109" t="s">
        <v>207</v>
      </c>
      <c r="D686" s="38">
        <v>7</v>
      </c>
      <c r="E686" s="38">
        <v>2</v>
      </c>
      <c r="F686" s="38">
        <v>2</v>
      </c>
      <c r="G686" s="38" t="s">
        <v>51</v>
      </c>
      <c r="H686" s="38">
        <v>4</v>
      </c>
      <c r="I686" s="38" t="s">
        <v>51</v>
      </c>
      <c r="J686" s="38" t="s">
        <v>69</v>
      </c>
      <c r="K686" s="38"/>
      <c r="L686" s="38">
        <v>5</v>
      </c>
      <c r="M686" s="40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8"/>
      <c r="BF686" s="38"/>
      <c r="BG686" s="37"/>
      <c r="BH686" s="26"/>
      <c r="BI686" s="26"/>
      <c r="BJ686" s="26"/>
      <c r="BK686" s="26"/>
      <c r="BL686" s="26"/>
      <c r="BM686" s="26"/>
      <c r="BO686" s="37">
        <f t="shared" si="63"/>
        <v>0</v>
      </c>
      <c r="BP686" s="56">
        <f t="shared" si="64"/>
        <v>0</v>
      </c>
      <c r="BQ686" s="56">
        <f t="shared" si="65"/>
        <v>0</v>
      </c>
      <c r="BR686" s="57">
        <f t="shared" si="66"/>
        <v>0</v>
      </c>
      <c r="BS686" s="38"/>
      <c r="BT686" s="38"/>
      <c r="BU686" s="26"/>
      <c r="BV686" s="26"/>
      <c r="BW686" s="39">
        <f t="shared" si="67"/>
        <v>0</v>
      </c>
      <c r="BX686" s="78">
        <v>0</v>
      </c>
      <c r="BY686" s="63">
        <v>12</v>
      </c>
    </row>
    <row r="687" spans="1:81" x14ac:dyDescent="0.2">
      <c r="A687" s="109" t="s">
        <v>340</v>
      </c>
      <c r="B687" s="26">
        <v>34</v>
      </c>
      <c r="C687" s="109" t="s">
        <v>207</v>
      </c>
      <c r="D687" s="38">
        <v>8</v>
      </c>
      <c r="E687" s="38">
        <v>2</v>
      </c>
      <c r="F687" s="38">
        <v>2</v>
      </c>
      <c r="G687" s="38" t="s">
        <v>51</v>
      </c>
      <c r="H687" s="38">
        <v>4</v>
      </c>
      <c r="I687" s="38" t="s">
        <v>51</v>
      </c>
      <c r="J687" s="38" t="s">
        <v>41</v>
      </c>
      <c r="K687" s="38"/>
      <c r="L687" s="38">
        <v>5</v>
      </c>
      <c r="M687" s="40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8"/>
      <c r="BF687" s="38"/>
      <c r="BG687" s="37"/>
      <c r="BH687" s="26"/>
      <c r="BI687" s="26"/>
      <c r="BJ687" s="26"/>
      <c r="BK687" s="26"/>
      <c r="BL687" s="26"/>
      <c r="BM687" s="26"/>
      <c r="BO687" s="37">
        <f t="shared" si="63"/>
        <v>0</v>
      </c>
      <c r="BP687" s="56">
        <f t="shared" si="64"/>
        <v>0</v>
      </c>
      <c r="BQ687" s="56">
        <f t="shared" si="65"/>
        <v>0</v>
      </c>
      <c r="BR687" s="57">
        <f t="shared" si="66"/>
        <v>0</v>
      </c>
      <c r="BS687" s="38"/>
      <c r="BT687" s="38"/>
      <c r="BU687" s="26"/>
      <c r="BV687" s="26"/>
      <c r="BW687" s="39">
        <f t="shared" si="67"/>
        <v>0</v>
      </c>
      <c r="BX687" s="78">
        <v>0</v>
      </c>
      <c r="BY687" s="63">
        <v>10</v>
      </c>
    </row>
    <row r="688" spans="1:81" ht="16" x14ac:dyDescent="0.2">
      <c r="A688" s="109" t="s">
        <v>340</v>
      </c>
      <c r="B688" s="26">
        <v>34</v>
      </c>
      <c r="C688" s="109" t="s">
        <v>207</v>
      </c>
      <c r="D688" s="38">
        <v>9</v>
      </c>
      <c r="E688" s="38">
        <v>2</v>
      </c>
      <c r="F688" s="38">
        <v>2</v>
      </c>
      <c r="G688" s="38" t="s">
        <v>51</v>
      </c>
      <c r="H688" s="38">
        <v>4</v>
      </c>
      <c r="I688" s="38" t="s">
        <v>51</v>
      </c>
      <c r="J688" s="38" t="s">
        <v>42</v>
      </c>
      <c r="K688" s="38"/>
      <c r="L688" s="38">
        <v>5</v>
      </c>
      <c r="M688" s="40" t="s">
        <v>38</v>
      </c>
      <c r="N688" s="36">
        <f>4.5/9</f>
        <v>0.5</v>
      </c>
      <c r="O688" s="36"/>
      <c r="P688" s="36"/>
      <c r="Q688" s="36" t="s">
        <v>38</v>
      </c>
      <c r="R688" s="36">
        <f>3.5/9</f>
        <v>0.3888888888888889</v>
      </c>
      <c r="S688" s="36" t="s">
        <v>39</v>
      </c>
      <c r="T688" s="36">
        <f>3.5/9</f>
        <v>0.3888888888888889</v>
      </c>
      <c r="U688" s="36"/>
      <c r="V688" s="36"/>
      <c r="W688" s="36"/>
      <c r="X688" s="36"/>
      <c r="Y688" s="36" t="s">
        <v>38</v>
      </c>
      <c r="Z688" s="36">
        <f>4/9</f>
        <v>0.44444444444444442</v>
      </c>
      <c r="AA688" s="36"/>
      <c r="AB688" s="36"/>
      <c r="AC688" s="36" t="s">
        <v>39</v>
      </c>
      <c r="AD688" s="36">
        <f>4/9</f>
        <v>0.44444444444444442</v>
      </c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 t="s">
        <v>38</v>
      </c>
      <c r="AP688" s="36">
        <f>3/9</f>
        <v>0.33333333333333331</v>
      </c>
      <c r="AQ688" s="36"/>
      <c r="AR688" s="36"/>
      <c r="AS688" s="36" t="s">
        <v>39</v>
      </c>
      <c r="AT688" s="36">
        <f>3/9</f>
        <v>0.33333333333333331</v>
      </c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8"/>
      <c r="BF688" s="38"/>
      <c r="BG688" s="37"/>
      <c r="BH688" s="26">
        <v>4</v>
      </c>
      <c r="BI688" s="26"/>
      <c r="BJ688" s="26">
        <v>3</v>
      </c>
      <c r="BK688" s="26"/>
      <c r="BL688" s="26"/>
      <c r="BM688" s="26"/>
      <c r="BN688" s="26"/>
      <c r="BO688" s="37">
        <f t="shared" si="63"/>
        <v>0</v>
      </c>
      <c r="BP688" s="56">
        <f t="shared" si="64"/>
        <v>7</v>
      </c>
      <c r="BQ688" s="56">
        <f t="shared" si="65"/>
        <v>0</v>
      </c>
      <c r="BR688" s="57">
        <f t="shared" si="66"/>
        <v>0</v>
      </c>
      <c r="BS688" s="38"/>
      <c r="BT688" s="38"/>
      <c r="BU688" s="26"/>
      <c r="BV688" s="26"/>
      <c r="BW688" s="39">
        <f t="shared" si="67"/>
        <v>7</v>
      </c>
      <c r="BX688" s="78">
        <v>3</v>
      </c>
      <c r="BY688" s="63">
        <v>8</v>
      </c>
      <c r="BZ688" s="7"/>
      <c r="CA688" s="8"/>
      <c r="CB688" s="7"/>
      <c r="CC688" s="7"/>
    </row>
    <row r="689" spans="1:81" x14ac:dyDescent="0.2">
      <c r="A689" s="109" t="s">
        <v>340</v>
      </c>
      <c r="B689" s="26">
        <v>34</v>
      </c>
      <c r="C689" s="109" t="s">
        <v>207</v>
      </c>
      <c r="D689" s="38">
        <v>10</v>
      </c>
      <c r="E689" s="38">
        <v>2</v>
      </c>
      <c r="F689" s="38">
        <v>2</v>
      </c>
      <c r="G689" s="38" t="s">
        <v>51</v>
      </c>
      <c r="H689" s="38">
        <v>4</v>
      </c>
      <c r="I689" s="38" t="s">
        <v>51</v>
      </c>
      <c r="J689" s="38" t="s">
        <v>65</v>
      </c>
      <c r="K689" s="38"/>
      <c r="L689" s="38">
        <v>5</v>
      </c>
      <c r="M689" s="40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8"/>
      <c r="BF689" s="38"/>
      <c r="BG689" s="37"/>
      <c r="BH689" s="26"/>
      <c r="BI689" s="26"/>
      <c r="BJ689" s="26"/>
      <c r="BK689" s="26"/>
      <c r="BL689" s="26"/>
      <c r="BM689" s="26"/>
      <c r="BN689" s="26"/>
      <c r="BO689" s="37">
        <f t="shared" si="63"/>
        <v>0</v>
      </c>
      <c r="BP689" s="56">
        <f t="shared" si="64"/>
        <v>0</v>
      </c>
      <c r="BQ689" s="56">
        <f t="shared" si="65"/>
        <v>0</v>
      </c>
      <c r="BR689" s="57">
        <f t="shared" si="66"/>
        <v>0</v>
      </c>
      <c r="BS689" s="38"/>
      <c r="BT689" s="38"/>
      <c r="BU689" s="26"/>
      <c r="BV689" s="26"/>
      <c r="BW689" s="39">
        <f t="shared" si="67"/>
        <v>0</v>
      </c>
      <c r="BX689" s="78">
        <v>0</v>
      </c>
      <c r="BY689" s="63">
        <v>11</v>
      </c>
      <c r="CB689" s="7"/>
      <c r="CC689" s="7"/>
    </row>
    <row r="690" spans="1:81" ht="16" x14ac:dyDescent="0.2">
      <c r="A690" s="109" t="s">
        <v>340</v>
      </c>
      <c r="B690" s="26">
        <v>34</v>
      </c>
      <c r="C690" s="109" t="s">
        <v>207</v>
      </c>
      <c r="D690" s="38">
        <v>11</v>
      </c>
      <c r="E690" s="38">
        <v>2</v>
      </c>
      <c r="F690" s="38" t="s">
        <v>53</v>
      </c>
      <c r="G690" s="38" t="s">
        <v>50</v>
      </c>
      <c r="H690" s="38"/>
      <c r="I690" s="38"/>
      <c r="J690" s="38"/>
      <c r="K690" s="38">
        <v>10</v>
      </c>
      <c r="L690" s="38">
        <v>6</v>
      </c>
      <c r="M690" s="40"/>
      <c r="N690" s="36"/>
      <c r="O690" s="36"/>
      <c r="P690" s="36"/>
      <c r="Q690" s="36" t="s">
        <v>57</v>
      </c>
      <c r="R690" s="36">
        <f>5.5/10</f>
        <v>0.55000000000000004</v>
      </c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8" t="s">
        <v>58</v>
      </c>
      <c r="BF690" s="38" t="s">
        <v>59</v>
      </c>
      <c r="BG690" s="37"/>
      <c r="BH690" s="26"/>
      <c r="BI690" s="26"/>
      <c r="BJ690" s="26"/>
      <c r="BK690" s="26"/>
      <c r="BL690" s="26"/>
      <c r="BM690" s="26"/>
      <c r="BN690" s="26">
        <v>1</v>
      </c>
      <c r="BO690" s="37">
        <f t="shared" si="63"/>
        <v>0</v>
      </c>
      <c r="BP690" s="56">
        <f t="shared" si="64"/>
        <v>0</v>
      </c>
      <c r="BQ690" s="56">
        <f t="shared" si="65"/>
        <v>1</v>
      </c>
      <c r="BR690" s="57">
        <f t="shared" si="66"/>
        <v>1</v>
      </c>
      <c r="BS690" s="38"/>
      <c r="BT690" s="38"/>
      <c r="BU690" s="26"/>
      <c r="BV690" s="26">
        <v>1</v>
      </c>
      <c r="BW690" s="39">
        <f t="shared" si="67"/>
        <v>2</v>
      </c>
      <c r="BX690" s="78">
        <v>4</v>
      </c>
      <c r="BY690" s="63">
        <v>1</v>
      </c>
      <c r="BZ690" s="7"/>
      <c r="CA690" s="8"/>
      <c r="CB690" s="7"/>
      <c r="CC690" s="7"/>
    </row>
    <row r="691" spans="1:81" ht="16" x14ac:dyDescent="0.2">
      <c r="A691" s="109" t="s">
        <v>341</v>
      </c>
      <c r="B691" s="26">
        <v>41</v>
      </c>
      <c r="C691" s="109" t="s">
        <v>208</v>
      </c>
      <c r="D691" s="26">
        <v>1</v>
      </c>
      <c r="E691" s="26">
        <v>2</v>
      </c>
      <c r="F691" s="26">
        <v>2</v>
      </c>
      <c r="G691" s="26" t="s">
        <v>51</v>
      </c>
      <c r="H691" s="26">
        <v>4</v>
      </c>
      <c r="I691" s="26" t="s">
        <v>51</v>
      </c>
      <c r="J691" s="26" t="s">
        <v>60</v>
      </c>
      <c r="K691" s="26"/>
      <c r="L691" s="26">
        <v>5</v>
      </c>
      <c r="M691" s="40" t="s">
        <v>39</v>
      </c>
      <c r="N691" s="36">
        <v>0.23</v>
      </c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 t="s">
        <v>39</v>
      </c>
      <c r="BB691" s="36">
        <v>0.31</v>
      </c>
      <c r="BC691" s="36"/>
      <c r="BD691" s="36"/>
      <c r="BG691" s="39"/>
      <c r="BH691" s="38"/>
      <c r="BI691" s="38"/>
      <c r="BJ691" s="38">
        <v>1</v>
      </c>
      <c r="BK691" s="38"/>
      <c r="BL691" s="38"/>
      <c r="BM691" s="38"/>
      <c r="BN691" s="38"/>
      <c r="BO691" s="37">
        <f t="shared" si="63"/>
        <v>0</v>
      </c>
      <c r="BP691" s="56">
        <f t="shared" si="64"/>
        <v>1</v>
      </c>
      <c r="BQ691" s="56">
        <f t="shared" si="65"/>
        <v>0</v>
      </c>
      <c r="BR691" s="57">
        <f t="shared" si="66"/>
        <v>0</v>
      </c>
      <c r="BS691" s="38"/>
      <c r="BT691" s="38"/>
      <c r="BU691" s="26"/>
      <c r="BV691" s="26"/>
      <c r="BW691" s="39">
        <f t="shared" si="67"/>
        <v>1</v>
      </c>
      <c r="BX691" s="78">
        <v>3</v>
      </c>
      <c r="BY691" s="63">
        <v>7</v>
      </c>
      <c r="BZ691" s="7"/>
      <c r="CA691" s="8"/>
      <c r="CB691" s="7"/>
      <c r="CC691" s="7"/>
    </row>
    <row r="692" spans="1:81" ht="16" x14ac:dyDescent="0.2">
      <c r="A692" s="109" t="s">
        <v>341</v>
      </c>
      <c r="B692" s="26">
        <v>41</v>
      </c>
      <c r="C692" s="109" t="s">
        <v>208</v>
      </c>
      <c r="D692" s="26">
        <v>2</v>
      </c>
      <c r="E692" s="26">
        <v>2</v>
      </c>
      <c r="F692" s="26">
        <v>2</v>
      </c>
      <c r="G692" s="26" t="s">
        <v>51</v>
      </c>
      <c r="H692" s="26">
        <v>4</v>
      </c>
      <c r="I692" s="26" t="s">
        <v>51</v>
      </c>
      <c r="J692" s="26" t="s">
        <v>45</v>
      </c>
      <c r="K692" s="26"/>
      <c r="L692" s="26">
        <v>7</v>
      </c>
      <c r="M692" s="40"/>
      <c r="N692" s="36"/>
      <c r="O692" s="36" t="s">
        <v>38</v>
      </c>
      <c r="P692" s="36">
        <v>2</v>
      </c>
      <c r="Q692" s="36"/>
      <c r="R692" s="36"/>
      <c r="S692" s="36"/>
      <c r="T692" s="36"/>
      <c r="U692" s="36"/>
      <c r="V692" s="36"/>
      <c r="W692" s="36" t="s">
        <v>40</v>
      </c>
      <c r="X692" s="36">
        <v>1</v>
      </c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 t="s">
        <v>39</v>
      </c>
      <c r="AR692" s="36">
        <v>0.31</v>
      </c>
      <c r="AS692" s="36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G692" s="39">
        <v>1</v>
      </c>
      <c r="BH692" s="38"/>
      <c r="BI692" s="38"/>
      <c r="BJ692" s="38">
        <v>1</v>
      </c>
      <c r="BK692" s="38"/>
      <c r="BL692" s="38"/>
      <c r="BM692" s="38">
        <v>1</v>
      </c>
      <c r="BN692" s="38"/>
      <c r="BO692" s="37">
        <f t="shared" si="63"/>
        <v>1</v>
      </c>
      <c r="BP692" s="56">
        <f t="shared" si="64"/>
        <v>1</v>
      </c>
      <c r="BQ692" s="56">
        <f t="shared" si="65"/>
        <v>1</v>
      </c>
      <c r="BR692" s="57">
        <f t="shared" si="66"/>
        <v>0</v>
      </c>
      <c r="BS692" s="38"/>
      <c r="BT692" s="38"/>
      <c r="BU692" s="26"/>
      <c r="BV692" s="26"/>
      <c r="BW692" s="39">
        <f t="shared" si="67"/>
        <v>3</v>
      </c>
      <c r="BX692" s="78">
        <v>2</v>
      </c>
      <c r="BY692" s="63">
        <v>5</v>
      </c>
      <c r="BZ692" s="7"/>
      <c r="CA692" s="8"/>
      <c r="CB692" s="7"/>
      <c r="CC692" s="7"/>
    </row>
    <row r="693" spans="1:81" ht="16" x14ac:dyDescent="0.2">
      <c r="A693" s="109" t="s">
        <v>341</v>
      </c>
      <c r="B693" s="26">
        <v>41</v>
      </c>
      <c r="C693" s="109" t="s">
        <v>208</v>
      </c>
      <c r="D693" s="26">
        <v>5</v>
      </c>
      <c r="E693" s="26">
        <v>2</v>
      </c>
      <c r="F693" s="26">
        <v>3</v>
      </c>
      <c r="G693" s="26" t="s">
        <v>50</v>
      </c>
      <c r="H693" s="26">
        <v>5</v>
      </c>
      <c r="I693" s="26" t="s">
        <v>50</v>
      </c>
      <c r="J693" s="26" t="s">
        <v>60</v>
      </c>
      <c r="K693" s="26"/>
      <c r="L693" s="26">
        <v>6</v>
      </c>
      <c r="M693" s="40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 t="s">
        <v>39</v>
      </c>
      <c r="AV693" s="36">
        <v>0.83</v>
      </c>
      <c r="AW693" s="36"/>
      <c r="AX693" s="36"/>
      <c r="AY693" s="36"/>
      <c r="AZ693" s="36"/>
      <c r="BA693" s="36"/>
      <c r="BB693" s="36"/>
      <c r="BC693" s="36"/>
      <c r="BD693" s="36"/>
      <c r="BG693" s="39"/>
      <c r="BH693" s="38"/>
      <c r="BI693" s="38">
        <v>1</v>
      </c>
      <c r="BJ693" s="38"/>
      <c r="BK693" s="38"/>
      <c r="BL693" s="38"/>
      <c r="BM693" s="38"/>
      <c r="BN693" s="38"/>
      <c r="BO693" s="37">
        <f t="shared" si="63"/>
        <v>1</v>
      </c>
      <c r="BP693" s="56">
        <f t="shared" si="64"/>
        <v>0</v>
      </c>
      <c r="BQ693" s="56">
        <f t="shared" si="65"/>
        <v>0</v>
      </c>
      <c r="BR693" s="57">
        <f t="shared" si="66"/>
        <v>0</v>
      </c>
      <c r="BS693" s="38"/>
      <c r="BT693" s="38"/>
      <c r="BU693" s="26"/>
      <c r="BV693" s="26"/>
      <c r="BW693" s="39">
        <f t="shared" si="67"/>
        <v>1</v>
      </c>
      <c r="BX693" s="78">
        <v>1</v>
      </c>
      <c r="BY693" s="64">
        <v>7</v>
      </c>
      <c r="BZ693" s="17"/>
      <c r="CA693" s="8"/>
      <c r="CB693" s="7"/>
      <c r="CC693" s="7"/>
    </row>
    <row r="694" spans="1:81" ht="16" x14ac:dyDescent="0.2">
      <c r="A694" s="109" t="s">
        <v>341</v>
      </c>
      <c r="B694" s="26">
        <v>41</v>
      </c>
      <c r="C694" s="109" t="s">
        <v>208</v>
      </c>
      <c r="D694" s="26">
        <v>6</v>
      </c>
      <c r="E694" s="26">
        <v>2</v>
      </c>
      <c r="F694" s="26">
        <v>2</v>
      </c>
      <c r="G694" s="26" t="s">
        <v>51</v>
      </c>
      <c r="H694" s="26">
        <v>4</v>
      </c>
      <c r="I694" s="26" t="s">
        <v>51</v>
      </c>
      <c r="J694" s="26" t="s">
        <v>41</v>
      </c>
      <c r="K694" s="26"/>
      <c r="L694" s="26">
        <v>5</v>
      </c>
      <c r="M694" s="40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 t="s">
        <v>38</v>
      </c>
      <c r="AJ694" s="36">
        <v>1</v>
      </c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G694" s="39">
        <v>1</v>
      </c>
      <c r="BH694" s="38"/>
      <c r="BI694" s="38"/>
      <c r="BJ694" s="38"/>
      <c r="BK694" s="38"/>
      <c r="BL694" s="38"/>
      <c r="BM694" s="38"/>
      <c r="BN694" s="38"/>
      <c r="BO694" s="37">
        <f t="shared" si="63"/>
        <v>1</v>
      </c>
      <c r="BP694" s="56">
        <f t="shared" si="64"/>
        <v>0</v>
      </c>
      <c r="BQ694" s="56">
        <f t="shared" si="65"/>
        <v>0</v>
      </c>
      <c r="BR694" s="57">
        <f t="shared" si="66"/>
        <v>0</v>
      </c>
      <c r="BS694" s="38"/>
      <c r="BT694" s="38"/>
      <c r="BU694" s="26"/>
      <c r="BV694" s="26"/>
      <c r="BW694" s="39">
        <f t="shared" si="67"/>
        <v>1</v>
      </c>
      <c r="BX694" s="78">
        <v>1</v>
      </c>
      <c r="BY694" s="64">
        <v>10</v>
      </c>
      <c r="BZ694" s="17"/>
      <c r="CA694" s="8"/>
      <c r="CB694" s="7"/>
      <c r="CC694" s="7"/>
    </row>
    <row r="695" spans="1:81" ht="16" x14ac:dyDescent="0.2">
      <c r="A695" s="109" t="s">
        <v>341</v>
      </c>
      <c r="B695" s="26">
        <v>41</v>
      </c>
      <c r="C695" s="109" t="s">
        <v>208</v>
      </c>
      <c r="D695" s="26">
        <v>7</v>
      </c>
      <c r="E695" s="26">
        <v>2</v>
      </c>
      <c r="F695" s="26">
        <v>2</v>
      </c>
      <c r="G695" s="26" t="s">
        <v>51</v>
      </c>
      <c r="H695" s="26">
        <v>4</v>
      </c>
      <c r="I695" s="26" t="s">
        <v>51</v>
      </c>
      <c r="J695" s="26" t="s">
        <v>60</v>
      </c>
      <c r="K695" s="26"/>
      <c r="L695" s="26">
        <v>6</v>
      </c>
      <c r="M695" s="40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 t="s">
        <v>39</v>
      </c>
      <c r="AV695" s="36">
        <v>1</v>
      </c>
      <c r="AW695" s="36" t="s">
        <v>39</v>
      </c>
      <c r="AX695" s="36">
        <v>1</v>
      </c>
      <c r="AY695" s="36"/>
      <c r="AZ695" s="36"/>
      <c r="BA695" s="36" t="s">
        <v>39</v>
      </c>
      <c r="BB695" s="36">
        <v>1</v>
      </c>
      <c r="BC695" s="36"/>
      <c r="BD695" s="36"/>
      <c r="BG695" s="37"/>
      <c r="BH695" s="26"/>
      <c r="BI695" s="26">
        <v>3</v>
      </c>
      <c r="BJ695" s="26"/>
      <c r="BK695" s="26"/>
      <c r="BL695" s="26"/>
      <c r="BM695" s="26"/>
      <c r="BN695" s="26"/>
      <c r="BO695" s="37">
        <f t="shared" si="63"/>
        <v>3</v>
      </c>
      <c r="BP695" s="56">
        <f t="shared" si="64"/>
        <v>0</v>
      </c>
      <c r="BQ695" s="56">
        <f t="shared" si="65"/>
        <v>0</v>
      </c>
      <c r="BR695" s="57">
        <f t="shared" si="66"/>
        <v>0</v>
      </c>
      <c r="BS695" s="38"/>
      <c r="BT695" s="38"/>
      <c r="BU695" s="26"/>
      <c r="BV695" s="26"/>
      <c r="BW695" s="39">
        <f t="shared" si="67"/>
        <v>3</v>
      </c>
      <c r="BX695" s="78">
        <v>1</v>
      </c>
      <c r="BY695" s="63">
        <v>7</v>
      </c>
      <c r="BZ695" s="7"/>
      <c r="CA695" s="8"/>
      <c r="CB695" s="7"/>
      <c r="CC695" s="7"/>
    </row>
    <row r="696" spans="1:81" ht="16" x14ac:dyDescent="0.2">
      <c r="A696" s="109" t="s">
        <v>342</v>
      </c>
      <c r="B696" s="26">
        <v>45</v>
      </c>
      <c r="C696" s="109" t="s">
        <v>209</v>
      </c>
      <c r="D696" s="38">
        <v>1</v>
      </c>
      <c r="E696" s="38">
        <v>2</v>
      </c>
      <c r="F696" s="38">
        <v>2</v>
      </c>
      <c r="G696" s="38" t="s">
        <v>51</v>
      </c>
      <c r="H696" s="38">
        <v>4</v>
      </c>
      <c r="I696" s="38" t="s">
        <v>51</v>
      </c>
      <c r="J696" s="38" t="s">
        <v>69</v>
      </c>
      <c r="K696" s="38"/>
      <c r="L696" s="38">
        <v>5</v>
      </c>
      <c r="M696" s="40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  <c r="BA696" s="36" t="s">
        <v>38</v>
      </c>
      <c r="BB696" s="36">
        <f>7/8.5</f>
        <v>0.82352941176470584</v>
      </c>
      <c r="BC696" s="36"/>
      <c r="BD696" s="36"/>
      <c r="BE696" s="38"/>
      <c r="BF696" s="38"/>
      <c r="BG696" s="39">
        <v>1</v>
      </c>
      <c r="BH696" s="38"/>
      <c r="BI696" s="38"/>
      <c r="BJ696" s="38"/>
      <c r="BK696" s="38"/>
      <c r="BL696" s="38"/>
      <c r="BM696" s="38"/>
      <c r="BN696" s="38"/>
      <c r="BO696" s="37">
        <f t="shared" si="63"/>
        <v>1</v>
      </c>
      <c r="BP696" s="56">
        <f t="shared" si="64"/>
        <v>0</v>
      </c>
      <c r="BQ696" s="56">
        <f t="shared" si="65"/>
        <v>0</v>
      </c>
      <c r="BR696" s="57">
        <f t="shared" si="66"/>
        <v>0</v>
      </c>
      <c r="BS696" s="38"/>
      <c r="BT696" s="38"/>
      <c r="BU696" s="26"/>
      <c r="BV696" s="26"/>
      <c r="BW696" s="39">
        <f t="shared" si="67"/>
        <v>1</v>
      </c>
      <c r="BX696" s="78">
        <v>1</v>
      </c>
      <c r="BY696" s="63">
        <v>12</v>
      </c>
      <c r="BZ696" s="17"/>
      <c r="CA696" s="8"/>
      <c r="CB696" s="7"/>
      <c r="CC696" s="7"/>
    </row>
    <row r="697" spans="1:81" ht="16" x14ac:dyDescent="0.2">
      <c r="A697" s="109" t="s">
        <v>342</v>
      </c>
      <c r="B697" s="26">
        <v>45</v>
      </c>
      <c r="C697" s="109" t="s">
        <v>209</v>
      </c>
      <c r="D697" s="38">
        <v>3</v>
      </c>
      <c r="E697" s="38">
        <v>2</v>
      </c>
      <c r="F697" s="38">
        <v>4</v>
      </c>
      <c r="G697" s="38" t="s">
        <v>50</v>
      </c>
      <c r="H697" s="38"/>
      <c r="I697" s="38"/>
      <c r="J697" s="38"/>
      <c r="K697" s="38">
        <v>5</v>
      </c>
      <c r="L697" s="38">
        <v>5</v>
      </c>
      <c r="M697" s="40"/>
      <c r="N697" s="36"/>
      <c r="O697" s="36"/>
      <c r="P697" s="36"/>
      <c r="Q697" s="36"/>
      <c r="R697" s="36"/>
      <c r="S697" s="36" t="s">
        <v>39</v>
      </c>
      <c r="T697" s="36">
        <f>4/7.5</f>
        <v>0.53333333333333333</v>
      </c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 t="s">
        <v>38</v>
      </c>
      <c r="AN697" s="36">
        <f>3/7.5</f>
        <v>0.4</v>
      </c>
      <c r="AO697" s="36" t="s">
        <v>38</v>
      </c>
      <c r="AP697" s="36">
        <f>5.5/7.5</f>
        <v>0.73333333333333328</v>
      </c>
      <c r="AQ697" s="36"/>
      <c r="AR697" s="36"/>
      <c r="AS697" s="36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8"/>
      <c r="BF697" s="38"/>
      <c r="BG697" s="39">
        <v>1</v>
      </c>
      <c r="BH697" s="38">
        <v>1</v>
      </c>
      <c r="BI697" s="38"/>
      <c r="BJ697" s="38">
        <v>1</v>
      </c>
      <c r="BK697" s="38"/>
      <c r="BL697" s="38"/>
      <c r="BM697" s="38"/>
      <c r="BN697" s="38"/>
      <c r="BO697" s="37">
        <f t="shared" si="63"/>
        <v>1</v>
      </c>
      <c r="BP697" s="56">
        <f t="shared" si="64"/>
        <v>2</v>
      </c>
      <c r="BQ697" s="56">
        <f t="shared" si="65"/>
        <v>0</v>
      </c>
      <c r="BR697" s="57">
        <f t="shared" si="66"/>
        <v>0</v>
      </c>
      <c r="BS697" s="38"/>
      <c r="BT697" s="38"/>
      <c r="BU697" s="26"/>
      <c r="BV697" s="26"/>
      <c r="BW697" s="39">
        <f t="shared" si="67"/>
        <v>3</v>
      </c>
      <c r="BX697" s="78">
        <v>2</v>
      </c>
      <c r="BY697" s="63">
        <v>1</v>
      </c>
      <c r="BZ697" s="17"/>
      <c r="CA697" s="8"/>
      <c r="CB697" s="7"/>
      <c r="CC697" s="7"/>
    </row>
    <row r="698" spans="1:81" ht="16" x14ac:dyDescent="0.2">
      <c r="A698" s="109" t="s">
        <v>342</v>
      </c>
      <c r="B698" s="26">
        <v>45</v>
      </c>
      <c r="C698" s="109" t="s">
        <v>209</v>
      </c>
      <c r="D698" s="38">
        <v>4</v>
      </c>
      <c r="E698" s="38">
        <v>2</v>
      </c>
      <c r="F698" s="38" t="s">
        <v>53</v>
      </c>
      <c r="G698" s="38" t="s">
        <v>50</v>
      </c>
      <c r="H698" s="38"/>
      <c r="I698" s="38"/>
      <c r="J698" s="38"/>
      <c r="K698" s="38">
        <v>11</v>
      </c>
      <c r="L698" s="38">
        <v>5</v>
      </c>
      <c r="M698" s="40"/>
      <c r="N698" s="36"/>
      <c r="O698" s="36"/>
      <c r="P698" s="36"/>
      <c r="Q698" s="36" t="s">
        <v>39</v>
      </c>
      <c r="R698" s="36">
        <f>5.5/10</f>
        <v>0.55000000000000004</v>
      </c>
      <c r="S698" s="36"/>
      <c r="T698" s="36"/>
      <c r="U698" s="36"/>
      <c r="V698" s="36"/>
      <c r="W698" s="36"/>
      <c r="X698" s="36"/>
      <c r="Y698" s="36"/>
      <c r="Z698" s="36"/>
      <c r="AA698" s="36" t="s">
        <v>39</v>
      </c>
      <c r="AB698" s="36">
        <f>5.5/10</f>
        <v>0.55000000000000004</v>
      </c>
      <c r="AC698" s="36" t="s">
        <v>43</v>
      </c>
      <c r="AD698" s="36">
        <f>4/10</f>
        <v>0.4</v>
      </c>
      <c r="AE698" s="36"/>
      <c r="AF698" s="36"/>
      <c r="AG698" s="36" t="s">
        <v>43</v>
      </c>
      <c r="AH698" s="36">
        <f>5/10</f>
        <v>0.5</v>
      </c>
      <c r="AI698" s="36"/>
      <c r="AJ698" s="36"/>
      <c r="AK698" s="36"/>
      <c r="AL698" s="36"/>
      <c r="AM698" s="36"/>
      <c r="AN698" s="36"/>
      <c r="AO698" s="36" t="s">
        <v>39</v>
      </c>
      <c r="AP698" s="36">
        <f>6/10</f>
        <v>0.6</v>
      </c>
      <c r="AQ698" s="36"/>
      <c r="AR698" s="36"/>
      <c r="AS698" s="36" t="s">
        <v>38</v>
      </c>
      <c r="AT698" s="36">
        <f>5.5/10</f>
        <v>0.55000000000000004</v>
      </c>
      <c r="AU698" s="36"/>
      <c r="AV698" s="36"/>
      <c r="AW698" s="36" t="s">
        <v>39</v>
      </c>
      <c r="AX698" s="36">
        <f>4.5/10</f>
        <v>0.45</v>
      </c>
      <c r="AY698" s="36" t="s">
        <v>38</v>
      </c>
      <c r="AZ698" s="36">
        <f>10/10</f>
        <v>1</v>
      </c>
      <c r="BA698" s="36" t="s">
        <v>38</v>
      </c>
      <c r="BB698" s="36">
        <f>4/10</f>
        <v>0.4</v>
      </c>
      <c r="BC698" s="36" t="s">
        <v>39</v>
      </c>
      <c r="BD698" s="36">
        <f>8/10</f>
        <v>0.8</v>
      </c>
      <c r="BE698" s="38" t="s">
        <v>38</v>
      </c>
      <c r="BF698" s="38" t="s">
        <v>67</v>
      </c>
      <c r="BG698" s="39">
        <v>1</v>
      </c>
      <c r="BH698" s="38">
        <v>2</v>
      </c>
      <c r="BI698" s="38">
        <v>1</v>
      </c>
      <c r="BJ698" s="38">
        <v>4</v>
      </c>
      <c r="BK698" s="38"/>
      <c r="BL698" s="38"/>
      <c r="BM698" s="38"/>
      <c r="BN698" s="38"/>
      <c r="BO698" s="37">
        <f t="shared" si="63"/>
        <v>3</v>
      </c>
      <c r="BP698" s="56">
        <f t="shared" si="64"/>
        <v>6</v>
      </c>
      <c r="BQ698" s="56">
        <f t="shared" si="65"/>
        <v>2</v>
      </c>
      <c r="BR698" s="57">
        <f t="shared" si="66"/>
        <v>0</v>
      </c>
      <c r="BS698" s="38">
        <v>2</v>
      </c>
      <c r="BT698" s="38"/>
      <c r="BU698" s="26">
        <v>1</v>
      </c>
      <c r="BV698" s="26"/>
      <c r="BW698" s="39">
        <f t="shared" si="67"/>
        <v>11</v>
      </c>
      <c r="BX698" s="78">
        <v>2</v>
      </c>
      <c r="BY698" s="64">
        <v>2</v>
      </c>
      <c r="BZ698" s="17"/>
      <c r="CA698" s="8"/>
      <c r="CB698" s="7"/>
      <c r="CC698" s="7"/>
    </row>
    <row r="699" spans="1:81" ht="16" x14ac:dyDescent="0.2">
      <c r="A699" s="109" t="s">
        <v>342</v>
      </c>
      <c r="B699" s="45">
        <v>45</v>
      </c>
      <c r="C699" s="109" t="s">
        <v>210</v>
      </c>
      <c r="D699" s="38">
        <v>2</v>
      </c>
      <c r="E699" s="38">
        <v>2</v>
      </c>
      <c r="F699" s="38">
        <v>2</v>
      </c>
      <c r="G699" s="38" t="s">
        <v>51</v>
      </c>
      <c r="H699" s="38">
        <v>4</v>
      </c>
      <c r="I699" s="38" t="s">
        <v>51</v>
      </c>
      <c r="J699" s="38" t="s">
        <v>41</v>
      </c>
      <c r="K699" s="38"/>
      <c r="L699" s="38">
        <v>6</v>
      </c>
      <c r="M699" s="40"/>
      <c r="N699" s="36"/>
      <c r="O699" s="36"/>
      <c r="P699" s="36"/>
      <c r="Q699" s="36" t="s">
        <v>38</v>
      </c>
      <c r="R699" s="36">
        <f>16/16</f>
        <v>1</v>
      </c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 t="s">
        <v>38</v>
      </c>
      <c r="AR699" s="36">
        <f>16/16</f>
        <v>1</v>
      </c>
      <c r="AS699" s="36" t="s">
        <v>39</v>
      </c>
      <c r="AT699" s="36">
        <f>16/16</f>
        <v>1</v>
      </c>
      <c r="AU699" s="36"/>
      <c r="AV699" s="36"/>
      <c r="AW699" s="36"/>
      <c r="AX699" s="36"/>
      <c r="AY699" s="36"/>
      <c r="AZ699" s="36"/>
      <c r="BA699" s="36" t="s">
        <v>39</v>
      </c>
      <c r="BB699" s="36">
        <f>16/16</f>
        <v>1</v>
      </c>
      <c r="BC699" s="36" t="s">
        <v>38</v>
      </c>
      <c r="BD699" s="36">
        <f>14/16</f>
        <v>0.875</v>
      </c>
      <c r="BE699" s="38"/>
      <c r="BF699" s="38"/>
      <c r="BG699" s="37">
        <v>3</v>
      </c>
      <c r="BH699" s="26"/>
      <c r="BI699" s="26">
        <v>2</v>
      </c>
      <c r="BJ699" s="26"/>
      <c r="BK699" s="26"/>
      <c r="BL699" s="26"/>
      <c r="BM699" s="26"/>
      <c r="BN699" s="26"/>
      <c r="BO699" s="37">
        <f t="shared" si="63"/>
        <v>5</v>
      </c>
      <c r="BP699" s="56">
        <f t="shared" si="64"/>
        <v>0</v>
      </c>
      <c r="BQ699" s="56">
        <f t="shared" si="65"/>
        <v>0</v>
      </c>
      <c r="BR699" s="57">
        <f t="shared" si="66"/>
        <v>0</v>
      </c>
      <c r="BS699" s="38"/>
      <c r="BT699" s="38"/>
      <c r="BU699" s="26"/>
      <c r="BV699" s="26"/>
      <c r="BW699" s="39">
        <f t="shared" si="67"/>
        <v>5</v>
      </c>
      <c r="BX699" s="78">
        <v>1</v>
      </c>
      <c r="BY699" s="63">
        <v>10</v>
      </c>
      <c r="BZ699" s="7"/>
      <c r="CA699" s="8"/>
      <c r="CB699" s="7"/>
      <c r="CC699" s="7"/>
    </row>
    <row r="700" spans="1:81" x14ac:dyDescent="0.2">
      <c r="A700" s="109" t="s">
        <v>343</v>
      </c>
      <c r="B700" s="26">
        <v>34</v>
      </c>
      <c r="C700" s="109" t="s">
        <v>211</v>
      </c>
      <c r="D700" s="38">
        <v>1</v>
      </c>
      <c r="E700" s="38">
        <v>2</v>
      </c>
      <c r="F700" s="38">
        <v>2</v>
      </c>
      <c r="G700" s="38" t="s">
        <v>51</v>
      </c>
      <c r="H700" s="38">
        <v>4</v>
      </c>
      <c r="I700" s="38" t="s">
        <v>51</v>
      </c>
      <c r="J700" s="38" t="s">
        <v>41</v>
      </c>
      <c r="K700" s="38"/>
      <c r="L700" s="38">
        <v>6</v>
      </c>
      <c r="M700" s="40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8"/>
      <c r="BF700" s="38"/>
      <c r="BG700" s="39"/>
      <c r="BH700" s="38"/>
      <c r="BI700" s="38"/>
      <c r="BJ700" s="38"/>
      <c r="BK700" s="38"/>
      <c r="BL700" s="38"/>
      <c r="BM700" s="38"/>
      <c r="BN700" s="38"/>
      <c r="BO700" s="37">
        <f t="shared" si="63"/>
        <v>0</v>
      </c>
      <c r="BP700" s="56">
        <f t="shared" si="64"/>
        <v>0</v>
      </c>
      <c r="BQ700" s="56">
        <f t="shared" si="65"/>
        <v>0</v>
      </c>
      <c r="BR700" s="57">
        <f t="shared" si="66"/>
        <v>0</v>
      </c>
      <c r="BS700" s="38"/>
      <c r="BT700" s="38"/>
      <c r="BU700" s="26"/>
      <c r="BV700" s="26"/>
      <c r="BW700" s="39">
        <f t="shared" si="67"/>
        <v>0</v>
      </c>
      <c r="BX700" s="78">
        <v>0</v>
      </c>
      <c r="BY700" s="63">
        <v>10</v>
      </c>
      <c r="BZ700" s="7"/>
      <c r="CA700" s="8"/>
      <c r="CB700" s="7"/>
      <c r="CC700" s="7"/>
    </row>
    <row r="701" spans="1:81" ht="16" x14ac:dyDescent="0.2">
      <c r="A701" s="109" t="s">
        <v>343</v>
      </c>
      <c r="B701" s="26">
        <v>34</v>
      </c>
      <c r="C701" s="109" t="s">
        <v>211</v>
      </c>
      <c r="D701" s="38">
        <v>2</v>
      </c>
      <c r="E701" s="38">
        <v>2</v>
      </c>
      <c r="F701" s="38">
        <v>2</v>
      </c>
      <c r="G701" s="38" t="s">
        <v>51</v>
      </c>
      <c r="H701" s="38">
        <v>4</v>
      </c>
      <c r="I701" s="38" t="s">
        <v>51</v>
      </c>
      <c r="J701" s="38" t="s">
        <v>41</v>
      </c>
      <c r="K701" s="38"/>
      <c r="L701" s="38">
        <v>5</v>
      </c>
      <c r="M701" s="40"/>
      <c r="N701" s="36"/>
      <c r="O701" s="36"/>
      <c r="P701" s="36"/>
      <c r="Q701" s="36" t="s">
        <v>38</v>
      </c>
      <c r="R701" s="36">
        <f>10/16</f>
        <v>0.625</v>
      </c>
      <c r="S701" s="36"/>
      <c r="T701" s="36"/>
      <c r="U701" s="36" t="s">
        <v>39</v>
      </c>
      <c r="V701" s="36">
        <f>10.5/16</f>
        <v>0.65625</v>
      </c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 t="s">
        <v>39</v>
      </c>
      <c r="AT701" s="36">
        <f>10/16</f>
        <v>0.625</v>
      </c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8"/>
      <c r="BF701" s="38"/>
      <c r="BG701" s="39"/>
      <c r="BH701" s="38">
        <v>1</v>
      </c>
      <c r="BI701" s="38"/>
      <c r="BJ701" s="38">
        <v>2</v>
      </c>
      <c r="BK701" s="38"/>
      <c r="BL701" s="38"/>
      <c r="BM701" s="38"/>
      <c r="BN701" s="38"/>
      <c r="BO701" s="37">
        <f t="shared" si="63"/>
        <v>0</v>
      </c>
      <c r="BP701" s="56">
        <f t="shared" si="64"/>
        <v>3</v>
      </c>
      <c r="BQ701" s="56">
        <f t="shared" si="65"/>
        <v>0</v>
      </c>
      <c r="BR701" s="57">
        <f t="shared" si="66"/>
        <v>0</v>
      </c>
      <c r="BS701" s="38"/>
      <c r="BT701" s="38"/>
      <c r="BU701" s="26"/>
      <c r="BV701" s="26"/>
      <c r="BW701" s="39">
        <f t="shared" si="67"/>
        <v>3</v>
      </c>
      <c r="BX701" s="78">
        <v>3</v>
      </c>
      <c r="BY701" s="63">
        <v>10</v>
      </c>
      <c r="BZ701" s="7"/>
      <c r="CA701" s="8"/>
      <c r="CB701" s="7"/>
      <c r="CC701" s="7"/>
    </row>
    <row r="702" spans="1:81" x14ac:dyDescent="0.2">
      <c r="A702" s="109" t="s">
        <v>343</v>
      </c>
      <c r="B702" s="26">
        <v>34</v>
      </c>
      <c r="C702" s="109" t="s">
        <v>211</v>
      </c>
      <c r="D702" s="38">
        <v>3</v>
      </c>
      <c r="E702" s="38">
        <v>2</v>
      </c>
      <c r="F702" s="38">
        <v>3</v>
      </c>
      <c r="G702" s="38" t="s">
        <v>50</v>
      </c>
      <c r="H702" s="38">
        <v>6</v>
      </c>
      <c r="I702" s="38" t="s">
        <v>56</v>
      </c>
      <c r="J702" s="38" t="s">
        <v>42</v>
      </c>
      <c r="K702" s="38"/>
      <c r="L702" s="38">
        <v>6</v>
      </c>
      <c r="M702" s="40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8"/>
      <c r="BF702" s="38"/>
      <c r="BG702" s="39"/>
      <c r="BH702" s="38"/>
      <c r="BI702" s="38"/>
      <c r="BJ702" s="38"/>
      <c r="BK702" s="38"/>
      <c r="BL702" s="38"/>
      <c r="BM702" s="38"/>
      <c r="BN702" s="38"/>
      <c r="BO702" s="37">
        <f t="shared" si="63"/>
        <v>0</v>
      </c>
      <c r="BP702" s="56">
        <f t="shared" si="64"/>
        <v>0</v>
      </c>
      <c r="BQ702" s="56">
        <f t="shared" si="65"/>
        <v>0</v>
      </c>
      <c r="BR702" s="57">
        <f t="shared" si="66"/>
        <v>0</v>
      </c>
      <c r="BS702" s="38"/>
      <c r="BT702" s="38"/>
      <c r="BU702" s="26"/>
      <c r="BV702" s="26"/>
      <c r="BW702" s="39">
        <f t="shared" si="67"/>
        <v>0</v>
      </c>
      <c r="BX702" s="78">
        <v>0</v>
      </c>
      <c r="BY702" s="63">
        <v>8</v>
      </c>
      <c r="BZ702" s="7"/>
      <c r="CA702" s="8"/>
      <c r="CB702" s="7"/>
      <c r="CC702" s="7"/>
    </row>
    <row r="703" spans="1:81" x14ac:dyDescent="0.2">
      <c r="A703" s="109" t="s">
        <v>343</v>
      </c>
      <c r="B703" s="26">
        <v>34</v>
      </c>
      <c r="C703" s="109" t="s">
        <v>211</v>
      </c>
      <c r="D703" s="38">
        <v>5</v>
      </c>
      <c r="E703" s="38">
        <v>2</v>
      </c>
      <c r="F703" s="38" t="s">
        <v>53</v>
      </c>
      <c r="G703" s="38" t="s">
        <v>50</v>
      </c>
      <c r="H703" s="38"/>
      <c r="I703" s="38"/>
      <c r="J703" s="38"/>
      <c r="K703" s="38">
        <v>12</v>
      </c>
      <c r="L703" s="38">
        <v>6</v>
      </c>
      <c r="M703" s="40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8"/>
      <c r="BF703" s="38"/>
      <c r="BG703" s="39"/>
      <c r="BH703" s="38"/>
      <c r="BI703" s="38"/>
      <c r="BJ703" s="38"/>
      <c r="BK703" s="38"/>
      <c r="BL703" s="38"/>
      <c r="BM703" s="38"/>
      <c r="BN703" s="38"/>
      <c r="BO703" s="37">
        <f t="shared" si="63"/>
        <v>0</v>
      </c>
      <c r="BP703" s="56">
        <f t="shared" si="64"/>
        <v>0</v>
      </c>
      <c r="BQ703" s="56">
        <f t="shared" si="65"/>
        <v>0</v>
      </c>
      <c r="BR703" s="57">
        <f t="shared" si="66"/>
        <v>0</v>
      </c>
      <c r="BS703" s="38"/>
      <c r="BT703" s="38"/>
      <c r="BU703" s="26"/>
      <c r="BV703" s="26"/>
      <c r="BW703" s="39">
        <f t="shared" si="67"/>
        <v>0</v>
      </c>
      <c r="BX703" s="78">
        <v>0</v>
      </c>
      <c r="BY703" s="63">
        <v>2</v>
      </c>
      <c r="BZ703" s="7"/>
      <c r="CA703" s="8"/>
      <c r="CB703" s="7"/>
      <c r="CC703" s="7"/>
    </row>
    <row r="704" spans="1:81" ht="16" x14ac:dyDescent="0.2">
      <c r="A704" s="109" t="s">
        <v>343</v>
      </c>
      <c r="B704" s="26">
        <v>34</v>
      </c>
      <c r="C704" s="109" t="s">
        <v>212</v>
      </c>
      <c r="D704" s="38">
        <v>1</v>
      </c>
      <c r="E704" s="38">
        <v>2</v>
      </c>
      <c r="F704" s="38">
        <v>2</v>
      </c>
      <c r="G704" s="38" t="s">
        <v>51</v>
      </c>
      <c r="H704" s="38">
        <v>4</v>
      </c>
      <c r="I704" s="38" t="s">
        <v>51</v>
      </c>
      <c r="J704" s="38" t="s">
        <v>65</v>
      </c>
      <c r="K704" s="38"/>
      <c r="L704" s="38">
        <v>5</v>
      </c>
      <c r="M704" s="40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 t="s">
        <v>38</v>
      </c>
      <c r="AB704" s="36">
        <v>1</v>
      </c>
      <c r="AC704" s="36"/>
      <c r="AD704" s="36"/>
      <c r="AE704" s="36"/>
      <c r="AF704" s="36"/>
      <c r="AG704" s="36"/>
      <c r="AH704" s="36"/>
      <c r="AI704" s="36"/>
      <c r="AJ704" s="36"/>
      <c r="AK704" s="36" t="s">
        <v>38</v>
      </c>
      <c r="AL704" s="36">
        <v>1</v>
      </c>
      <c r="AM704" s="36" t="s">
        <v>38</v>
      </c>
      <c r="AN704" s="36">
        <v>1</v>
      </c>
      <c r="AO704" s="36"/>
      <c r="AP704" s="36"/>
      <c r="AQ704" s="36" t="s">
        <v>38</v>
      </c>
      <c r="AR704" s="36">
        <v>1</v>
      </c>
      <c r="AS704" s="36"/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8" t="s">
        <v>38</v>
      </c>
      <c r="BF704" s="38" t="s">
        <v>66</v>
      </c>
      <c r="BG704" s="43">
        <v>4</v>
      </c>
      <c r="BO704" s="37">
        <f t="shared" ref="BO704" si="68">BG704+BI704+BU704</f>
        <v>5</v>
      </c>
      <c r="BP704" s="56">
        <f t="shared" ref="BP704" si="69">BH704+BJ704</f>
        <v>0</v>
      </c>
      <c r="BQ704" s="56">
        <f t="shared" ref="BQ704" si="70">BK704+BM704+BV704+BS704</f>
        <v>0</v>
      </c>
      <c r="BR704" s="57">
        <f t="shared" ref="BR704" si="71">BL704+BN704+BT704</f>
        <v>0</v>
      </c>
      <c r="BS704" s="38"/>
      <c r="BT704" s="38"/>
      <c r="BU704" s="26">
        <v>1</v>
      </c>
      <c r="BV704" s="26"/>
      <c r="BW704" s="39">
        <v>5</v>
      </c>
      <c r="BX704" s="78">
        <v>1</v>
      </c>
      <c r="BY704" s="63">
        <v>11</v>
      </c>
      <c r="BZ704" s="7"/>
      <c r="CA704" s="19"/>
      <c r="CB704" s="7"/>
      <c r="CC704" s="7"/>
    </row>
    <row r="705" spans="1:81" x14ac:dyDescent="0.2">
      <c r="A705" s="109" t="s">
        <v>343</v>
      </c>
      <c r="B705" s="26">
        <v>34</v>
      </c>
      <c r="C705" s="109" t="s">
        <v>212</v>
      </c>
      <c r="D705" s="38">
        <v>3</v>
      </c>
      <c r="E705" s="38">
        <v>2</v>
      </c>
      <c r="F705" s="38">
        <v>2</v>
      </c>
      <c r="G705" s="38" t="s">
        <v>51</v>
      </c>
      <c r="H705" s="38">
        <v>4</v>
      </c>
      <c r="I705" s="38" t="s">
        <v>51</v>
      </c>
      <c r="J705" s="38" t="s">
        <v>41</v>
      </c>
      <c r="K705" s="38"/>
      <c r="L705" s="38">
        <v>5</v>
      </c>
      <c r="M705" s="40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8"/>
      <c r="BF705" s="38"/>
      <c r="BG705" s="43"/>
      <c r="BO705" s="37">
        <f t="shared" ref="BO705:BO740" si="72">BG705+BI705+BU705</f>
        <v>0</v>
      </c>
      <c r="BP705" s="56">
        <f t="shared" ref="BP705:BP740" si="73">BH705+BJ705</f>
        <v>0</v>
      </c>
      <c r="BQ705" s="56">
        <f t="shared" ref="BQ705:BQ740" si="74">BK705+BM705+BV705+BS705</f>
        <v>0</v>
      </c>
      <c r="BR705" s="57">
        <f t="shared" ref="BR705:BR740" si="75">BL705+BN705+BT705</f>
        <v>0</v>
      </c>
      <c r="BS705" s="38"/>
      <c r="BT705" s="38"/>
      <c r="BU705" s="26"/>
      <c r="BV705" s="26"/>
      <c r="BW705" s="39">
        <f t="shared" ref="BW705:BW741" si="76">SUM(BO705:BR705)</f>
        <v>0</v>
      </c>
      <c r="BX705" s="78">
        <v>0</v>
      </c>
      <c r="BY705" s="63">
        <v>10</v>
      </c>
      <c r="BZ705" s="7"/>
      <c r="CA705" s="19"/>
      <c r="CB705" s="7"/>
      <c r="CC705" s="7"/>
    </row>
    <row r="706" spans="1:81" x14ac:dyDescent="0.2">
      <c r="A706" s="109" t="s">
        <v>343</v>
      </c>
      <c r="B706" s="26">
        <v>34</v>
      </c>
      <c r="C706" s="109" t="s">
        <v>212</v>
      </c>
      <c r="D706" s="38">
        <v>6</v>
      </c>
      <c r="E706" s="38">
        <v>2</v>
      </c>
      <c r="F706" s="38">
        <v>2</v>
      </c>
      <c r="G706" s="38" t="s">
        <v>51</v>
      </c>
      <c r="H706" s="38">
        <v>4</v>
      </c>
      <c r="I706" s="38" t="s">
        <v>51</v>
      </c>
      <c r="J706" s="38" t="s">
        <v>65</v>
      </c>
      <c r="K706" s="38"/>
      <c r="L706" s="38">
        <v>5</v>
      </c>
      <c r="M706" s="40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8"/>
      <c r="BF706" s="38"/>
      <c r="BG706" s="43"/>
      <c r="BO706" s="37">
        <f t="shared" si="72"/>
        <v>0</v>
      </c>
      <c r="BP706" s="56">
        <f t="shared" si="73"/>
        <v>0</v>
      </c>
      <c r="BQ706" s="56">
        <f t="shared" si="74"/>
        <v>0</v>
      </c>
      <c r="BR706" s="57">
        <f t="shared" si="75"/>
        <v>0</v>
      </c>
      <c r="BS706" s="38"/>
      <c r="BT706" s="38"/>
      <c r="BU706" s="26"/>
      <c r="BV706" s="26"/>
      <c r="BW706" s="39">
        <f t="shared" si="76"/>
        <v>0</v>
      </c>
      <c r="BX706" s="78">
        <v>0</v>
      </c>
      <c r="BY706" s="63">
        <v>11</v>
      </c>
      <c r="BZ706" s="7"/>
      <c r="CA706" s="19"/>
      <c r="CB706" s="7"/>
      <c r="CC706" s="7"/>
    </row>
    <row r="707" spans="1:81" x14ac:dyDescent="0.2">
      <c r="A707" s="109" t="s">
        <v>343</v>
      </c>
      <c r="B707" s="26">
        <v>34</v>
      </c>
      <c r="C707" s="109" t="s">
        <v>212</v>
      </c>
      <c r="D707" s="38">
        <v>7</v>
      </c>
      <c r="E707" s="38">
        <v>2</v>
      </c>
      <c r="F707" s="38">
        <v>2</v>
      </c>
      <c r="G707" s="38" t="s">
        <v>51</v>
      </c>
      <c r="H707" s="38">
        <v>4</v>
      </c>
      <c r="I707" s="38" t="s">
        <v>51</v>
      </c>
      <c r="J707" s="38" t="s">
        <v>65</v>
      </c>
      <c r="K707" s="38"/>
      <c r="L707" s="38">
        <v>5</v>
      </c>
      <c r="M707" s="40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8"/>
      <c r="BF707" s="38"/>
      <c r="BG707" s="43"/>
      <c r="BO707" s="37">
        <f t="shared" si="72"/>
        <v>0</v>
      </c>
      <c r="BP707" s="56">
        <f t="shared" si="73"/>
        <v>0</v>
      </c>
      <c r="BQ707" s="56">
        <f t="shared" si="74"/>
        <v>0</v>
      </c>
      <c r="BR707" s="57">
        <f t="shared" si="75"/>
        <v>0</v>
      </c>
      <c r="BS707" s="38"/>
      <c r="BT707" s="38"/>
      <c r="BU707" s="26"/>
      <c r="BV707" s="26"/>
      <c r="BW707" s="39">
        <f t="shared" si="76"/>
        <v>0</v>
      </c>
      <c r="BX707" s="78">
        <v>0</v>
      </c>
      <c r="BY707" s="63">
        <v>11</v>
      </c>
      <c r="BZ707" s="7"/>
      <c r="CA707" s="19"/>
      <c r="CB707" s="7"/>
      <c r="CC707" s="7"/>
    </row>
    <row r="708" spans="1:81" ht="16" x14ac:dyDescent="0.2">
      <c r="A708" s="109" t="s">
        <v>343</v>
      </c>
      <c r="B708" s="26">
        <v>34</v>
      </c>
      <c r="C708" s="109" t="s">
        <v>212</v>
      </c>
      <c r="D708" s="38">
        <v>10</v>
      </c>
      <c r="E708" s="38">
        <v>2</v>
      </c>
      <c r="F708" s="38">
        <v>2</v>
      </c>
      <c r="G708" s="38" t="s">
        <v>51</v>
      </c>
      <c r="H708" s="38">
        <v>4</v>
      </c>
      <c r="I708" s="38" t="s">
        <v>51</v>
      </c>
      <c r="J708" s="38" t="s">
        <v>41</v>
      </c>
      <c r="K708" s="38"/>
      <c r="L708" s="38">
        <v>5</v>
      </c>
      <c r="M708" s="40"/>
      <c r="N708" s="36"/>
      <c r="O708" s="36" t="s">
        <v>38</v>
      </c>
      <c r="P708" s="36">
        <f>6/16</f>
        <v>0.375</v>
      </c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 t="s">
        <v>48</v>
      </c>
      <c r="AD708" s="36">
        <f>9/16</f>
        <v>0.5625</v>
      </c>
      <c r="AE708" s="36"/>
      <c r="AF708" s="36"/>
      <c r="AG708" s="36" t="s">
        <v>55</v>
      </c>
      <c r="AH708" s="36">
        <f>10.5/16</f>
        <v>0.65625</v>
      </c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8"/>
      <c r="BF708" s="38"/>
      <c r="BG708" s="43"/>
      <c r="BH708" s="41">
        <v>1</v>
      </c>
      <c r="BL708" s="41">
        <v>2</v>
      </c>
      <c r="BO708" s="37">
        <f t="shared" si="72"/>
        <v>0</v>
      </c>
      <c r="BP708" s="56">
        <f t="shared" si="73"/>
        <v>1</v>
      </c>
      <c r="BQ708" s="56">
        <f t="shared" si="74"/>
        <v>0</v>
      </c>
      <c r="BR708" s="57">
        <f t="shared" si="75"/>
        <v>2</v>
      </c>
      <c r="BS708" s="38"/>
      <c r="BT708" s="38"/>
      <c r="BU708" s="26"/>
      <c r="BV708" s="26"/>
      <c r="BW708" s="39">
        <f t="shared" si="76"/>
        <v>3</v>
      </c>
      <c r="BX708" s="78">
        <v>4</v>
      </c>
      <c r="BY708" s="63">
        <v>10</v>
      </c>
      <c r="BZ708" s="7"/>
      <c r="CA708" s="19"/>
      <c r="CB708" s="7"/>
      <c r="CC708" s="7"/>
    </row>
    <row r="709" spans="1:81" x14ac:dyDescent="0.2">
      <c r="A709" s="109" t="s">
        <v>343</v>
      </c>
      <c r="B709" s="26">
        <v>34</v>
      </c>
      <c r="C709" s="109" t="s">
        <v>212</v>
      </c>
      <c r="D709" s="38">
        <v>11</v>
      </c>
      <c r="E709" s="38">
        <v>2</v>
      </c>
      <c r="F709" s="38">
        <v>2</v>
      </c>
      <c r="G709" s="38" t="s">
        <v>51</v>
      </c>
      <c r="H709" s="38">
        <v>4</v>
      </c>
      <c r="I709" s="38" t="s">
        <v>51</v>
      </c>
      <c r="J709" s="38" t="s">
        <v>65</v>
      </c>
      <c r="K709" s="38"/>
      <c r="L709" s="38">
        <v>5</v>
      </c>
      <c r="M709" s="40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8"/>
      <c r="BF709" s="38"/>
      <c r="BG709" s="43"/>
      <c r="BO709" s="37">
        <f t="shared" si="72"/>
        <v>0</v>
      </c>
      <c r="BP709" s="56">
        <f t="shared" si="73"/>
        <v>0</v>
      </c>
      <c r="BQ709" s="56">
        <f t="shared" si="74"/>
        <v>0</v>
      </c>
      <c r="BR709" s="57">
        <f t="shared" si="75"/>
        <v>0</v>
      </c>
      <c r="BS709" s="38"/>
      <c r="BT709" s="38"/>
      <c r="BU709" s="26"/>
      <c r="BV709" s="26"/>
      <c r="BW709" s="39">
        <f t="shared" si="76"/>
        <v>0</v>
      </c>
      <c r="BX709" s="78">
        <v>0</v>
      </c>
      <c r="BY709" s="63">
        <v>11</v>
      </c>
      <c r="BZ709" s="7"/>
      <c r="CA709" s="19"/>
      <c r="CB709" s="7"/>
      <c r="CC709" s="7"/>
    </row>
    <row r="710" spans="1:81" ht="16" x14ac:dyDescent="0.2">
      <c r="A710" s="109" t="s">
        <v>344</v>
      </c>
      <c r="B710" s="26">
        <v>42</v>
      </c>
      <c r="C710" s="109" t="s">
        <v>213</v>
      </c>
      <c r="D710" s="38">
        <v>4</v>
      </c>
      <c r="E710" s="38">
        <v>2</v>
      </c>
      <c r="F710" s="38">
        <v>2</v>
      </c>
      <c r="G710" s="38" t="s">
        <v>51</v>
      </c>
      <c r="H710" s="38">
        <v>4</v>
      </c>
      <c r="I710" s="38" t="s">
        <v>51</v>
      </c>
      <c r="J710" s="38" t="s">
        <v>37</v>
      </c>
      <c r="K710" s="38"/>
      <c r="L710" s="38">
        <v>6</v>
      </c>
      <c r="M710" s="40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 t="s">
        <v>38</v>
      </c>
      <c r="AL710" s="36">
        <f>14.5/16</f>
        <v>0.90625</v>
      </c>
      <c r="AM710" s="36"/>
      <c r="AN710" s="36"/>
      <c r="AO710" s="36"/>
      <c r="AP710" s="36"/>
      <c r="AQ710" s="36"/>
      <c r="AR710" s="36"/>
      <c r="AS710" s="36"/>
      <c r="AT710" s="36"/>
      <c r="AU710" s="36" t="s">
        <v>38</v>
      </c>
      <c r="AV710" s="36">
        <f>15/16</f>
        <v>0.9375</v>
      </c>
      <c r="AW710" s="36"/>
      <c r="AX710" s="36"/>
      <c r="AY710" s="36" t="s">
        <v>43</v>
      </c>
      <c r="AZ710" s="36">
        <v>1</v>
      </c>
      <c r="BA710" s="36"/>
      <c r="BB710" s="36"/>
      <c r="BC710" s="36"/>
      <c r="BD710" s="36"/>
      <c r="BE710" s="38"/>
      <c r="BF710" s="38"/>
      <c r="BG710" s="39">
        <v>2</v>
      </c>
      <c r="BH710" s="38"/>
      <c r="BI710" s="38"/>
      <c r="BJ710" s="38"/>
      <c r="BK710" s="38"/>
      <c r="BL710" s="38"/>
      <c r="BM710" s="38"/>
      <c r="BO710" s="37">
        <f t="shared" si="72"/>
        <v>2</v>
      </c>
      <c r="BP710" s="56">
        <f t="shared" si="73"/>
        <v>0</v>
      </c>
      <c r="BQ710" s="56">
        <f t="shared" si="74"/>
        <v>1</v>
      </c>
      <c r="BR710" s="57">
        <f t="shared" si="75"/>
        <v>0</v>
      </c>
      <c r="BS710" s="38">
        <v>1</v>
      </c>
      <c r="BT710" s="38"/>
      <c r="BU710" s="26"/>
      <c r="BV710" s="26"/>
      <c r="BW710" s="39">
        <f t="shared" si="76"/>
        <v>3</v>
      </c>
      <c r="BX710" s="78">
        <v>2</v>
      </c>
      <c r="BY710" s="63">
        <v>9</v>
      </c>
    </row>
    <row r="711" spans="1:81" ht="16" x14ac:dyDescent="0.2">
      <c r="A711" s="109" t="s">
        <v>345</v>
      </c>
      <c r="B711" s="26">
        <v>40</v>
      </c>
      <c r="C711" s="109" t="s">
        <v>214</v>
      </c>
      <c r="D711" s="38">
        <v>1</v>
      </c>
      <c r="E711" s="38">
        <v>2</v>
      </c>
      <c r="F711" s="38">
        <v>2</v>
      </c>
      <c r="G711" s="38" t="s">
        <v>51</v>
      </c>
      <c r="H711" s="38">
        <v>4</v>
      </c>
      <c r="I711" s="38" t="s">
        <v>51</v>
      </c>
      <c r="J711" s="38" t="s">
        <v>42</v>
      </c>
      <c r="K711" s="38"/>
      <c r="L711" s="38">
        <v>6</v>
      </c>
      <c r="M711" s="40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 t="s">
        <v>55</v>
      </c>
      <c r="AH711" s="36">
        <f>5/16</f>
        <v>0.3125</v>
      </c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8"/>
      <c r="BF711" s="38"/>
      <c r="BG711" s="37"/>
      <c r="BH711" s="26"/>
      <c r="BI711" s="26"/>
      <c r="BJ711" s="26"/>
      <c r="BK711" s="26"/>
      <c r="BL711" s="26">
        <v>1</v>
      </c>
      <c r="BM711" s="26"/>
      <c r="BN711" s="26"/>
      <c r="BO711" s="37">
        <f t="shared" si="72"/>
        <v>0</v>
      </c>
      <c r="BP711" s="56">
        <f t="shared" si="73"/>
        <v>0</v>
      </c>
      <c r="BQ711" s="56">
        <f t="shared" si="74"/>
        <v>0</v>
      </c>
      <c r="BR711" s="57">
        <f t="shared" si="75"/>
        <v>1</v>
      </c>
      <c r="BS711" s="38"/>
      <c r="BT711" s="38"/>
      <c r="BU711" s="26"/>
      <c r="BV711" s="26"/>
      <c r="BW711" s="39">
        <f t="shared" si="76"/>
        <v>1</v>
      </c>
      <c r="BX711" s="78">
        <v>4</v>
      </c>
      <c r="BY711" s="63">
        <v>8</v>
      </c>
      <c r="CB711" s="7"/>
      <c r="CC711" s="7"/>
    </row>
    <row r="712" spans="1:81" ht="16" x14ac:dyDescent="0.2">
      <c r="A712" s="109" t="s">
        <v>345</v>
      </c>
      <c r="B712" s="26">
        <v>40</v>
      </c>
      <c r="C712" s="109" t="s">
        <v>214</v>
      </c>
      <c r="D712" s="38">
        <v>2</v>
      </c>
      <c r="E712" s="38">
        <v>2</v>
      </c>
      <c r="F712" s="38">
        <v>2</v>
      </c>
      <c r="G712" s="38" t="s">
        <v>51</v>
      </c>
      <c r="H712" s="38">
        <v>5</v>
      </c>
      <c r="I712" s="38" t="s">
        <v>56</v>
      </c>
      <c r="J712" s="38" t="s">
        <v>42</v>
      </c>
      <c r="K712" s="38"/>
      <c r="L712" s="38">
        <v>5</v>
      </c>
      <c r="M712" s="40" t="s">
        <v>38</v>
      </c>
      <c r="N712" s="36">
        <f>5/16</f>
        <v>0.3125</v>
      </c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 t="s">
        <v>38</v>
      </c>
      <c r="AH712" s="36">
        <f>8/16</f>
        <v>0.5</v>
      </c>
      <c r="AI712" s="36" t="s">
        <v>38</v>
      </c>
      <c r="AJ712" s="36">
        <f>9/16</f>
        <v>0.5625</v>
      </c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 t="s">
        <v>38</v>
      </c>
      <c r="BB712" s="36">
        <f>7/16</f>
        <v>0.4375</v>
      </c>
      <c r="BC712" s="36"/>
      <c r="BD712" s="36"/>
      <c r="BE712" s="38"/>
      <c r="BF712" s="38"/>
      <c r="BG712" s="37"/>
      <c r="BH712" s="26">
        <v>4</v>
      </c>
      <c r="BI712" s="26"/>
      <c r="BJ712" s="26"/>
      <c r="BK712" s="26"/>
      <c r="BL712" s="26"/>
      <c r="BM712" s="26"/>
      <c r="BN712" s="26"/>
      <c r="BO712" s="37">
        <f t="shared" si="72"/>
        <v>0</v>
      </c>
      <c r="BP712" s="56">
        <f t="shared" si="73"/>
        <v>4</v>
      </c>
      <c r="BQ712" s="56">
        <f t="shared" si="74"/>
        <v>0</v>
      </c>
      <c r="BR712" s="57">
        <f t="shared" si="75"/>
        <v>0</v>
      </c>
      <c r="BS712" s="38"/>
      <c r="BT712" s="38"/>
      <c r="BU712" s="26"/>
      <c r="BV712" s="26"/>
      <c r="BW712" s="39">
        <f t="shared" si="76"/>
        <v>4</v>
      </c>
      <c r="BX712" s="78">
        <v>3</v>
      </c>
      <c r="BY712" s="63">
        <v>8</v>
      </c>
      <c r="BZ712" s="7"/>
      <c r="CA712" s="8"/>
      <c r="CB712" s="7"/>
      <c r="CC712" s="7"/>
    </row>
    <row r="713" spans="1:81" x14ac:dyDescent="0.2">
      <c r="A713" s="109" t="s">
        <v>345</v>
      </c>
      <c r="B713" s="26">
        <v>40</v>
      </c>
      <c r="C713" s="109" t="s">
        <v>214</v>
      </c>
      <c r="D713" s="38">
        <v>3</v>
      </c>
      <c r="E713" s="38">
        <v>2</v>
      </c>
      <c r="F713" s="38">
        <v>2</v>
      </c>
      <c r="G713" s="38" t="s">
        <v>51</v>
      </c>
      <c r="H713" s="38">
        <v>4</v>
      </c>
      <c r="I713" s="38" t="s">
        <v>51</v>
      </c>
      <c r="J713" s="38" t="s">
        <v>41</v>
      </c>
      <c r="K713" s="38"/>
      <c r="L713" s="38">
        <v>5</v>
      </c>
      <c r="M713" s="40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8"/>
      <c r="BF713" s="38"/>
      <c r="BG713" s="37"/>
      <c r="BH713" s="26"/>
      <c r="BI713" s="26"/>
      <c r="BJ713" s="26"/>
      <c r="BK713" s="26"/>
      <c r="BL713" s="26"/>
      <c r="BM713" s="26"/>
      <c r="BO713" s="37">
        <f t="shared" si="72"/>
        <v>0</v>
      </c>
      <c r="BP713" s="56">
        <f t="shared" si="73"/>
        <v>0</v>
      </c>
      <c r="BQ713" s="56">
        <f t="shared" si="74"/>
        <v>0</v>
      </c>
      <c r="BR713" s="57">
        <f t="shared" si="75"/>
        <v>0</v>
      </c>
      <c r="BS713" s="38"/>
      <c r="BT713" s="38"/>
      <c r="BU713" s="26"/>
      <c r="BV713" s="26"/>
      <c r="BW713" s="39">
        <f t="shared" si="76"/>
        <v>0</v>
      </c>
      <c r="BX713" s="78">
        <v>0</v>
      </c>
      <c r="BY713" s="63">
        <v>10</v>
      </c>
    </row>
    <row r="714" spans="1:81" x14ac:dyDescent="0.2">
      <c r="A714" s="109" t="s">
        <v>345</v>
      </c>
      <c r="B714" s="26">
        <v>40</v>
      </c>
      <c r="C714" s="109" t="s">
        <v>214</v>
      </c>
      <c r="D714" s="38">
        <v>4</v>
      </c>
      <c r="E714" s="38">
        <v>2</v>
      </c>
      <c r="F714" s="38">
        <v>2</v>
      </c>
      <c r="G714" s="38" t="s">
        <v>51</v>
      </c>
      <c r="H714" s="38">
        <v>4</v>
      </c>
      <c r="I714" s="38" t="s">
        <v>51</v>
      </c>
      <c r="J714" s="38" t="s">
        <v>41</v>
      </c>
      <c r="K714" s="38"/>
      <c r="L714" s="38">
        <v>5</v>
      </c>
      <c r="M714" s="40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8"/>
      <c r="BF714" s="38"/>
      <c r="BG714" s="37"/>
      <c r="BH714" s="26"/>
      <c r="BI714" s="26"/>
      <c r="BJ714" s="26"/>
      <c r="BK714" s="26"/>
      <c r="BL714" s="26"/>
      <c r="BM714" s="26"/>
      <c r="BN714" s="26"/>
      <c r="BO714" s="37">
        <f t="shared" si="72"/>
        <v>0</v>
      </c>
      <c r="BP714" s="56">
        <f t="shared" si="73"/>
        <v>0</v>
      </c>
      <c r="BQ714" s="56">
        <f t="shared" si="74"/>
        <v>0</v>
      </c>
      <c r="BR714" s="57">
        <f t="shared" si="75"/>
        <v>0</v>
      </c>
      <c r="BS714" s="38"/>
      <c r="BT714" s="38"/>
      <c r="BU714" s="26"/>
      <c r="BV714" s="26"/>
      <c r="BW714" s="39">
        <f t="shared" si="76"/>
        <v>0</v>
      </c>
      <c r="BX714" s="78">
        <v>0</v>
      </c>
      <c r="BY714" s="63">
        <v>10</v>
      </c>
      <c r="BZ714" s="7"/>
      <c r="CA714" s="8"/>
      <c r="CB714" s="7"/>
      <c r="CC714" s="7"/>
    </row>
    <row r="715" spans="1:81" x14ac:dyDescent="0.2">
      <c r="A715" s="109" t="s">
        <v>345</v>
      </c>
      <c r="B715" s="26">
        <v>40</v>
      </c>
      <c r="C715" s="109" t="s">
        <v>214</v>
      </c>
      <c r="D715" s="38">
        <v>5</v>
      </c>
      <c r="E715" s="38">
        <v>2</v>
      </c>
      <c r="F715" s="38">
        <v>2</v>
      </c>
      <c r="G715" s="38" t="s">
        <v>51</v>
      </c>
      <c r="H715" s="38">
        <v>4</v>
      </c>
      <c r="I715" s="38" t="s">
        <v>51</v>
      </c>
      <c r="J715" s="38" t="s">
        <v>41</v>
      </c>
      <c r="K715" s="38"/>
      <c r="L715" s="38">
        <v>5</v>
      </c>
      <c r="M715" s="40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8"/>
      <c r="BF715" s="38"/>
      <c r="BG715" s="37"/>
      <c r="BH715" s="26"/>
      <c r="BI715" s="26"/>
      <c r="BJ715" s="26"/>
      <c r="BK715" s="26"/>
      <c r="BL715" s="26"/>
      <c r="BM715" s="26"/>
      <c r="BO715" s="37">
        <f t="shared" si="72"/>
        <v>0</v>
      </c>
      <c r="BP715" s="56">
        <f t="shared" si="73"/>
        <v>0</v>
      </c>
      <c r="BQ715" s="56">
        <f t="shared" si="74"/>
        <v>0</v>
      </c>
      <c r="BR715" s="57">
        <f t="shared" si="75"/>
        <v>0</v>
      </c>
      <c r="BS715" s="38"/>
      <c r="BT715" s="38"/>
      <c r="BU715" s="26"/>
      <c r="BV715" s="26"/>
      <c r="BW715" s="39">
        <f t="shared" si="76"/>
        <v>0</v>
      </c>
      <c r="BX715" s="78">
        <v>0</v>
      </c>
      <c r="BY715" s="63">
        <v>10</v>
      </c>
    </row>
    <row r="716" spans="1:81" ht="16" x14ac:dyDescent="0.2">
      <c r="A716" s="109" t="s">
        <v>345</v>
      </c>
      <c r="B716" s="26">
        <v>40</v>
      </c>
      <c r="C716" s="109" t="s">
        <v>214</v>
      </c>
      <c r="D716" s="38">
        <v>6</v>
      </c>
      <c r="E716" s="38">
        <v>2</v>
      </c>
      <c r="F716" s="38">
        <v>4</v>
      </c>
      <c r="G716" s="38" t="s">
        <v>50</v>
      </c>
      <c r="H716" s="38"/>
      <c r="I716" s="38"/>
      <c r="J716" s="38"/>
      <c r="K716" s="26" t="s">
        <v>47</v>
      </c>
      <c r="L716" s="38">
        <v>6</v>
      </c>
      <c r="M716" s="40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 t="s">
        <v>38</v>
      </c>
      <c r="AJ716" s="36">
        <f>12/16</f>
        <v>0.75</v>
      </c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8"/>
      <c r="BF716" s="38"/>
      <c r="BG716" s="37">
        <v>1</v>
      </c>
      <c r="BH716" s="26"/>
      <c r="BI716" s="26"/>
      <c r="BJ716" s="26"/>
      <c r="BK716" s="26"/>
      <c r="BL716" s="26"/>
      <c r="BM716" s="26"/>
      <c r="BO716" s="37">
        <f t="shared" si="72"/>
        <v>1</v>
      </c>
      <c r="BP716" s="56">
        <f t="shared" si="73"/>
        <v>0</v>
      </c>
      <c r="BQ716" s="56">
        <f t="shared" si="74"/>
        <v>0</v>
      </c>
      <c r="BR716" s="57">
        <f t="shared" si="75"/>
        <v>0</v>
      </c>
      <c r="BS716" s="38"/>
      <c r="BT716" s="38"/>
      <c r="BU716" s="26"/>
      <c r="BV716" s="26"/>
      <c r="BW716" s="39">
        <f t="shared" si="76"/>
        <v>1</v>
      </c>
      <c r="BX716" s="78">
        <v>1</v>
      </c>
      <c r="BY716" s="63">
        <v>3</v>
      </c>
    </row>
    <row r="717" spans="1:81" x14ac:dyDescent="0.2">
      <c r="A717" s="109" t="s">
        <v>345</v>
      </c>
      <c r="B717" s="26">
        <v>40</v>
      </c>
      <c r="C717" s="109" t="s">
        <v>214</v>
      </c>
      <c r="D717" s="38">
        <v>7</v>
      </c>
      <c r="E717" s="38">
        <v>2</v>
      </c>
      <c r="F717" s="38">
        <v>2</v>
      </c>
      <c r="G717" s="38" t="s">
        <v>51</v>
      </c>
      <c r="H717" s="38">
        <v>4</v>
      </c>
      <c r="I717" s="38" t="s">
        <v>51</v>
      </c>
      <c r="J717" s="38" t="s">
        <v>41</v>
      </c>
      <c r="K717" s="38"/>
      <c r="L717" s="38">
        <v>5</v>
      </c>
      <c r="M717" s="40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8"/>
      <c r="BF717" s="38"/>
      <c r="BG717" s="37"/>
      <c r="BH717" s="26"/>
      <c r="BI717" s="26"/>
      <c r="BJ717" s="26"/>
      <c r="BK717" s="26"/>
      <c r="BL717" s="26"/>
      <c r="BM717" s="26"/>
      <c r="BN717" s="26"/>
      <c r="BO717" s="37">
        <f t="shared" si="72"/>
        <v>0</v>
      </c>
      <c r="BP717" s="56">
        <f t="shared" si="73"/>
        <v>0</v>
      </c>
      <c r="BQ717" s="56">
        <f t="shared" si="74"/>
        <v>0</v>
      </c>
      <c r="BR717" s="57">
        <f t="shared" si="75"/>
        <v>0</v>
      </c>
      <c r="BS717" s="38"/>
      <c r="BT717" s="38"/>
      <c r="BU717" s="26"/>
      <c r="BV717" s="26"/>
      <c r="BW717" s="39">
        <f t="shared" si="76"/>
        <v>0</v>
      </c>
      <c r="BX717" s="78">
        <v>0</v>
      </c>
      <c r="BY717" s="63">
        <v>10</v>
      </c>
      <c r="BZ717" s="7"/>
      <c r="CA717" s="8"/>
      <c r="CB717" s="7"/>
      <c r="CC717" s="7"/>
    </row>
    <row r="718" spans="1:81" ht="16" x14ac:dyDescent="0.2">
      <c r="A718" s="109" t="s">
        <v>345</v>
      </c>
      <c r="B718" s="26">
        <v>40</v>
      </c>
      <c r="C718" s="109" t="s">
        <v>214</v>
      </c>
      <c r="D718" s="38">
        <v>8</v>
      </c>
      <c r="E718" s="38">
        <v>2</v>
      </c>
      <c r="F718" s="38">
        <v>2</v>
      </c>
      <c r="G718" s="38" t="s">
        <v>51</v>
      </c>
      <c r="H718" s="38">
        <v>4</v>
      </c>
      <c r="I718" s="38" t="s">
        <v>51</v>
      </c>
      <c r="J718" s="38" t="s">
        <v>41</v>
      </c>
      <c r="K718" s="38"/>
      <c r="L718" s="38">
        <v>5</v>
      </c>
      <c r="M718" s="40"/>
      <c r="N718" s="36"/>
      <c r="O718" s="36" t="s">
        <v>38</v>
      </c>
      <c r="P718" s="36">
        <f>6.5/16</f>
        <v>0.40625</v>
      </c>
      <c r="Q718" s="36" t="s">
        <v>38</v>
      </c>
      <c r="R718" s="36">
        <f>5.5/16</f>
        <v>0.34375</v>
      </c>
      <c r="S718" s="36"/>
      <c r="T718" s="36"/>
      <c r="U718" s="36" t="s">
        <v>57</v>
      </c>
      <c r="V718" s="36">
        <f>12.5/16</f>
        <v>0.78125</v>
      </c>
      <c r="W718" s="36" t="s">
        <v>39</v>
      </c>
      <c r="X718" s="36">
        <f>12/16</f>
        <v>0.75</v>
      </c>
      <c r="Y718" s="36"/>
      <c r="Z718" s="36"/>
      <c r="AA718" s="36" t="s">
        <v>40</v>
      </c>
      <c r="AB718" s="36">
        <f>7/16</f>
        <v>0.4375</v>
      </c>
      <c r="AC718" s="36"/>
      <c r="AD718" s="36"/>
      <c r="AE718" s="36" t="s">
        <v>48</v>
      </c>
      <c r="AF718" s="36">
        <f>12.5/16</f>
        <v>0.78125</v>
      </c>
      <c r="AG718" s="36" t="s">
        <v>43</v>
      </c>
      <c r="AH718" s="36">
        <f>8/16</f>
        <v>0.5</v>
      </c>
      <c r="AI718" s="36" t="s">
        <v>43</v>
      </c>
      <c r="AJ718" s="36">
        <f>6/16</f>
        <v>0.375</v>
      </c>
      <c r="AK718" s="36"/>
      <c r="AL718" s="36"/>
      <c r="AM718" s="36" t="s">
        <v>40</v>
      </c>
      <c r="AN718" s="36">
        <f>11/16</f>
        <v>0.6875</v>
      </c>
      <c r="AO718" s="36" t="s">
        <v>38</v>
      </c>
      <c r="AP718" s="36">
        <f>7.5/16</f>
        <v>0.46875</v>
      </c>
      <c r="AQ718" s="36" t="s">
        <v>38</v>
      </c>
      <c r="AR718" s="36">
        <f>6/16</f>
        <v>0.375</v>
      </c>
      <c r="AS718" s="36" t="s">
        <v>38</v>
      </c>
      <c r="AT718" s="36">
        <f>10/16</f>
        <v>0.625</v>
      </c>
      <c r="AU718" s="36"/>
      <c r="AV718" s="36"/>
      <c r="AW718" s="36" t="s">
        <v>39</v>
      </c>
      <c r="AX718" s="36">
        <f>12/16</f>
        <v>0.75</v>
      </c>
      <c r="AY718" s="36" t="s">
        <v>38</v>
      </c>
      <c r="AZ718" s="36">
        <f>8/16</f>
        <v>0.5</v>
      </c>
      <c r="BA718" s="36"/>
      <c r="BB718" s="36"/>
      <c r="BC718" s="36" t="s">
        <v>39</v>
      </c>
      <c r="BD718" s="36">
        <f>13/16</f>
        <v>0.8125</v>
      </c>
      <c r="BE718" s="38"/>
      <c r="BF718" s="38"/>
      <c r="BG718" s="37"/>
      <c r="BH718" s="26">
        <v>6</v>
      </c>
      <c r="BI718" s="26">
        <v>3</v>
      </c>
      <c r="BJ718" s="26"/>
      <c r="BK718" s="26">
        <v>1</v>
      </c>
      <c r="BL718" s="26"/>
      <c r="BM718" s="26">
        <v>1</v>
      </c>
      <c r="BN718" s="26">
        <v>2</v>
      </c>
      <c r="BO718" s="37">
        <f t="shared" si="72"/>
        <v>3</v>
      </c>
      <c r="BP718" s="56">
        <f t="shared" si="73"/>
        <v>6</v>
      </c>
      <c r="BQ718" s="56">
        <f t="shared" si="74"/>
        <v>4</v>
      </c>
      <c r="BR718" s="57">
        <f t="shared" si="75"/>
        <v>2</v>
      </c>
      <c r="BS718" s="38">
        <v>2</v>
      </c>
      <c r="BT718" s="38"/>
      <c r="BU718" s="26"/>
      <c r="BV718" s="26"/>
      <c r="BW718" s="39">
        <f t="shared" si="76"/>
        <v>15</v>
      </c>
      <c r="BX718" s="78">
        <v>2</v>
      </c>
      <c r="BY718" s="63">
        <v>10</v>
      </c>
      <c r="BZ718" s="7"/>
      <c r="CA718" s="8"/>
      <c r="CB718" s="7"/>
      <c r="CC718" s="7"/>
    </row>
    <row r="719" spans="1:81" ht="16" x14ac:dyDescent="0.2">
      <c r="A719" s="109" t="s">
        <v>345</v>
      </c>
      <c r="B719" s="26">
        <v>40</v>
      </c>
      <c r="C719" s="109" t="s">
        <v>214</v>
      </c>
      <c r="D719" s="38">
        <v>9</v>
      </c>
      <c r="E719" s="38">
        <v>2</v>
      </c>
      <c r="F719" s="38">
        <v>2</v>
      </c>
      <c r="G719" s="38" t="s">
        <v>51</v>
      </c>
      <c r="H719" s="38">
        <v>4</v>
      </c>
      <c r="I719" s="38" t="s">
        <v>51</v>
      </c>
      <c r="J719" s="38" t="s">
        <v>41</v>
      </c>
      <c r="K719" s="38"/>
      <c r="L719" s="38">
        <v>5</v>
      </c>
      <c r="M719" s="40"/>
      <c r="N719" s="36"/>
      <c r="O719" s="36" t="s">
        <v>48</v>
      </c>
      <c r="P719" s="36">
        <f>13.5/16</f>
        <v>0.84375</v>
      </c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 t="s">
        <v>55</v>
      </c>
      <c r="AH719" s="36">
        <f>17.5/16</f>
        <v>1.09375</v>
      </c>
      <c r="AI719" s="36" t="s">
        <v>48</v>
      </c>
      <c r="AJ719" s="36">
        <f>5.5/16</f>
        <v>0.34375</v>
      </c>
      <c r="AK719" s="36" t="s">
        <v>38</v>
      </c>
      <c r="AL719" s="36">
        <f>19/16</f>
        <v>1.1875</v>
      </c>
      <c r="AM719" s="36"/>
      <c r="AN719" s="36"/>
      <c r="AO719" s="36"/>
      <c r="AP719" s="36"/>
      <c r="AQ719" s="36"/>
      <c r="AR719" s="36"/>
      <c r="AS719" s="36" t="s">
        <v>55</v>
      </c>
      <c r="AT719" s="36">
        <f>5/16</f>
        <v>0.3125</v>
      </c>
      <c r="AU719" s="36" t="s">
        <v>38</v>
      </c>
      <c r="AV719" s="36">
        <f>14/16</f>
        <v>0.875</v>
      </c>
      <c r="AW719" s="36"/>
      <c r="AX719" s="36"/>
      <c r="AY719" s="36"/>
      <c r="AZ719" s="36"/>
      <c r="BA719" s="36"/>
      <c r="BB719" s="36"/>
      <c r="BC719" s="36"/>
      <c r="BD719" s="36"/>
      <c r="BE719" s="38"/>
      <c r="BF719" s="38"/>
      <c r="BG719" s="39">
        <v>2</v>
      </c>
      <c r="BH719" s="38"/>
      <c r="BI719" s="38"/>
      <c r="BJ719" s="38"/>
      <c r="BK719" s="38">
        <v>2</v>
      </c>
      <c r="BL719" s="38">
        <v>2</v>
      </c>
      <c r="BM719" s="38"/>
      <c r="BN719" s="38"/>
      <c r="BO719" s="37">
        <f t="shared" si="72"/>
        <v>2</v>
      </c>
      <c r="BP719" s="56">
        <f t="shared" si="73"/>
        <v>0</v>
      </c>
      <c r="BQ719" s="56">
        <f t="shared" si="74"/>
        <v>2</v>
      </c>
      <c r="BR719" s="57">
        <f t="shared" si="75"/>
        <v>2</v>
      </c>
      <c r="BS719" s="38"/>
      <c r="BT719" s="38"/>
      <c r="BU719" s="26"/>
      <c r="BV719" s="26"/>
      <c r="BW719" s="39">
        <f t="shared" si="76"/>
        <v>6</v>
      </c>
      <c r="BX719" s="78">
        <v>2</v>
      </c>
      <c r="BY719" s="63">
        <v>10</v>
      </c>
      <c r="BZ719" s="7"/>
      <c r="CA719" s="8"/>
      <c r="CB719" s="7"/>
      <c r="CC719" s="7"/>
    </row>
    <row r="720" spans="1:81" ht="16" x14ac:dyDescent="0.2">
      <c r="A720" s="109" t="s">
        <v>345</v>
      </c>
      <c r="B720" s="26">
        <v>40</v>
      </c>
      <c r="C720" s="109" t="s">
        <v>214</v>
      </c>
      <c r="D720" s="38">
        <v>10</v>
      </c>
      <c r="E720" s="38">
        <v>2</v>
      </c>
      <c r="F720" s="38">
        <v>2</v>
      </c>
      <c r="G720" s="38" t="s">
        <v>51</v>
      </c>
      <c r="H720" s="38">
        <v>4</v>
      </c>
      <c r="I720" s="38" t="s">
        <v>51</v>
      </c>
      <c r="J720" s="38" t="s">
        <v>41</v>
      </c>
      <c r="K720" s="38"/>
      <c r="L720" s="38">
        <v>5</v>
      </c>
      <c r="M720" s="40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  <c r="BA720" s="36"/>
      <c r="BB720" s="36"/>
      <c r="BC720" s="36" t="s">
        <v>39</v>
      </c>
      <c r="BD720" s="36">
        <f>14/16</f>
        <v>0.875</v>
      </c>
      <c r="BE720" s="38"/>
      <c r="BF720" s="38"/>
      <c r="BG720" s="39"/>
      <c r="BH720" s="38"/>
      <c r="BI720" s="38">
        <v>1</v>
      </c>
      <c r="BJ720" s="38"/>
      <c r="BK720" s="38"/>
      <c r="BL720" s="38"/>
      <c r="BM720" s="38"/>
      <c r="BN720" s="38"/>
      <c r="BO720" s="37">
        <f t="shared" si="72"/>
        <v>1</v>
      </c>
      <c r="BP720" s="56">
        <f t="shared" si="73"/>
        <v>0</v>
      </c>
      <c r="BQ720" s="56">
        <f t="shared" si="74"/>
        <v>0</v>
      </c>
      <c r="BR720" s="57">
        <f t="shared" si="75"/>
        <v>0</v>
      </c>
      <c r="BS720" s="38"/>
      <c r="BT720" s="38"/>
      <c r="BU720" s="26"/>
      <c r="BV720" s="26"/>
      <c r="BW720" s="39">
        <f t="shared" si="76"/>
        <v>1</v>
      </c>
      <c r="BX720" s="78">
        <v>1</v>
      </c>
      <c r="BY720" s="63">
        <v>10</v>
      </c>
      <c r="BZ720" s="7"/>
      <c r="CA720" s="8"/>
      <c r="CB720" s="7"/>
      <c r="CC720" s="7"/>
    </row>
    <row r="721" spans="1:81" ht="16" x14ac:dyDescent="0.2">
      <c r="A721" s="109" t="s">
        <v>345</v>
      </c>
      <c r="B721" s="26">
        <v>40</v>
      </c>
      <c r="C721" s="109" t="s">
        <v>214</v>
      </c>
      <c r="D721" s="38">
        <v>11</v>
      </c>
      <c r="E721" s="38">
        <v>2</v>
      </c>
      <c r="F721" s="38">
        <v>2</v>
      </c>
      <c r="G721" s="38" t="s">
        <v>51</v>
      </c>
      <c r="H721" s="38">
        <v>4</v>
      </c>
      <c r="I721" s="38" t="s">
        <v>51</v>
      </c>
      <c r="J721" s="38" t="s">
        <v>41</v>
      </c>
      <c r="K721" s="38"/>
      <c r="L721" s="38">
        <v>5</v>
      </c>
      <c r="M721" s="40"/>
      <c r="N721" s="36"/>
      <c r="O721" s="36" t="s">
        <v>48</v>
      </c>
      <c r="P721" s="36">
        <v>0.53</v>
      </c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 t="s">
        <v>40</v>
      </c>
      <c r="AL721" s="36">
        <v>0.6</v>
      </c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  <c r="AW721" s="36" t="s">
        <v>38</v>
      </c>
      <c r="AX721" s="36">
        <v>0.43</v>
      </c>
      <c r="AY721" s="36"/>
      <c r="AZ721" s="36"/>
      <c r="BA721" s="36"/>
      <c r="BB721" s="36"/>
      <c r="BC721" s="36"/>
      <c r="BD721" s="36"/>
      <c r="BE721" s="38"/>
      <c r="BF721" s="38"/>
      <c r="BG721" s="39"/>
      <c r="BH721" s="38">
        <v>1</v>
      </c>
      <c r="BI721" s="38"/>
      <c r="BJ721" s="38"/>
      <c r="BK721" s="38"/>
      <c r="BL721" s="38">
        <v>1</v>
      </c>
      <c r="BM721" s="38"/>
      <c r="BN721" s="38">
        <v>1</v>
      </c>
      <c r="BO721" s="37">
        <f t="shared" si="72"/>
        <v>0</v>
      </c>
      <c r="BP721" s="56">
        <f t="shared" si="73"/>
        <v>1</v>
      </c>
      <c r="BQ721" s="56">
        <f t="shared" si="74"/>
        <v>0</v>
      </c>
      <c r="BR721" s="57">
        <f t="shared" si="75"/>
        <v>2</v>
      </c>
      <c r="BS721" s="38"/>
      <c r="BT721" s="38"/>
      <c r="BU721" s="26"/>
      <c r="BV721" s="26"/>
      <c r="BW721" s="39">
        <f t="shared" si="76"/>
        <v>3</v>
      </c>
      <c r="BX721" s="78">
        <v>4</v>
      </c>
      <c r="BY721" s="63">
        <v>10</v>
      </c>
      <c r="BZ721" s="7"/>
      <c r="CA721" s="8"/>
      <c r="CB721" s="7"/>
      <c r="CC721" s="7"/>
    </row>
    <row r="722" spans="1:81" ht="16" x14ac:dyDescent="0.2">
      <c r="A722" s="109" t="s">
        <v>345</v>
      </c>
      <c r="B722" s="26">
        <v>40</v>
      </c>
      <c r="C722" s="109" t="s">
        <v>214</v>
      </c>
      <c r="D722" s="38">
        <v>12</v>
      </c>
      <c r="E722" s="38">
        <v>2</v>
      </c>
      <c r="F722" s="38">
        <v>2</v>
      </c>
      <c r="G722" s="38" t="s">
        <v>51</v>
      </c>
      <c r="H722" s="38">
        <v>4</v>
      </c>
      <c r="I722" s="38" t="s">
        <v>51</v>
      </c>
      <c r="J722" s="38" t="s">
        <v>41</v>
      </c>
      <c r="K722" s="38"/>
      <c r="L722" s="38">
        <v>5</v>
      </c>
      <c r="M722" s="40"/>
      <c r="N722" s="36"/>
      <c r="O722" s="36"/>
      <c r="P722" s="36"/>
      <c r="Q722" s="36"/>
      <c r="R722" s="36"/>
      <c r="S722" s="36"/>
      <c r="T722" s="36"/>
      <c r="U722" s="36"/>
      <c r="V722" s="36"/>
      <c r="W722" s="36" t="s">
        <v>40</v>
      </c>
      <c r="X722" s="36">
        <f>6/16</f>
        <v>0.375</v>
      </c>
      <c r="Y722" s="36"/>
      <c r="Z722" s="36"/>
      <c r="AA722" s="36"/>
      <c r="AB722" s="36"/>
      <c r="AC722" s="36" t="s">
        <v>61</v>
      </c>
      <c r="AD722" s="36">
        <v>0.4375</v>
      </c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8"/>
      <c r="BF722" s="38"/>
      <c r="BG722" s="39"/>
      <c r="BH722" s="38"/>
      <c r="BI722" s="38"/>
      <c r="BJ722" s="38"/>
      <c r="BK722" s="38"/>
      <c r="BL722" s="38"/>
      <c r="BM722" s="38"/>
      <c r="BN722" s="38">
        <v>1</v>
      </c>
      <c r="BO722" s="37">
        <f t="shared" si="72"/>
        <v>0</v>
      </c>
      <c r="BP722" s="56">
        <f t="shared" si="73"/>
        <v>0</v>
      </c>
      <c r="BQ722" s="56">
        <f t="shared" si="74"/>
        <v>1</v>
      </c>
      <c r="BR722" s="57">
        <f t="shared" si="75"/>
        <v>1</v>
      </c>
      <c r="BS722" s="38">
        <v>1</v>
      </c>
      <c r="BT722" s="38"/>
      <c r="BU722" s="26"/>
      <c r="BV722" s="26"/>
      <c r="BW722" s="39">
        <f t="shared" si="76"/>
        <v>2</v>
      </c>
      <c r="BX722" s="78">
        <v>4</v>
      </c>
      <c r="BY722" s="63">
        <v>10</v>
      </c>
      <c r="BZ722" s="7"/>
      <c r="CA722" s="8"/>
      <c r="CB722" s="7"/>
      <c r="CC722" s="7"/>
    </row>
    <row r="723" spans="1:81" x14ac:dyDescent="0.2">
      <c r="A723" s="109" t="s">
        <v>345</v>
      </c>
      <c r="B723" s="26">
        <v>40</v>
      </c>
      <c r="C723" s="109" t="s">
        <v>214</v>
      </c>
      <c r="D723" s="38">
        <v>13</v>
      </c>
      <c r="E723" s="38">
        <v>2</v>
      </c>
      <c r="F723" s="38">
        <v>2</v>
      </c>
      <c r="G723" s="38" t="s">
        <v>51</v>
      </c>
      <c r="H723" s="38">
        <v>4</v>
      </c>
      <c r="I723" s="38" t="s">
        <v>51</v>
      </c>
      <c r="J723" s="38" t="s">
        <v>41</v>
      </c>
      <c r="K723" s="38"/>
      <c r="L723" s="38">
        <v>5</v>
      </c>
      <c r="M723" s="40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8"/>
      <c r="BF723" s="38"/>
      <c r="BG723" s="39"/>
      <c r="BH723" s="38"/>
      <c r="BI723" s="38"/>
      <c r="BJ723" s="38"/>
      <c r="BK723" s="38"/>
      <c r="BL723" s="38"/>
      <c r="BM723" s="38"/>
      <c r="BN723" s="38"/>
      <c r="BO723" s="37">
        <f t="shared" si="72"/>
        <v>0</v>
      </c>
      <c r="BP723" s="56">
        <f t="shared" si="73"/>
        <v>0</v>
      </c>
      <c r="BQ723" s="56">
        <f t="shared" si="74"/>
        <v>0</v>
      </c>
      <c r="BR723" s="57">
        <f t="shared" si="75"/>
        <v>0</v>
      </c>
      <c r="BS723" s="38"/>
      <c r="BT723" s="38"/>
      <c r="BU723" s="26"/>
      <c r="BV723" s="26"/>
      <c r="BW723" s="39">
        <f t="shared" si="76"/>
        <v>0</v>
      </c>
      <c r="BX723" s="78">
        <v>0</v>
      </c>
      <c r="BY723" s="63">
        <v>10</v>
      </c>
      <c r="BZ723" s="7"/>
      <c r="CA723" s="8"/>
      <c r="CB723" s="7"/>
      <c r="CC723" s="7"/>
    </row>
    <row r="724" spans="1:81" ht="16" x14ac:dyDescent="0.2">
      <c r="A724" s="109" t="s">
        <v>345</v>
      </c>
      <c r="B724" s="26">
        <v>40</v>
      </c>
      <c r="C724" s="109" t="s">
        <v>214</v>
      </c>
      <c r="D724" s="38">
        <v>14</v>
      </c>
      <c r="E724" s="38">
        <v>2</v>
      </c>
      <c r="F724" s="38">
        <v>2</v>
      </c>
      <c r="G724" s="38" t="s">
        <v>51</v>
      </c>
      <c r="H724" s="38">
        <v>4</v>
      </c>
      <c r="I724" s="38" t="s">
        <v>51</v>
      </c>
      <c r="J724" s="38" t="s">
        <v>42</v>
      </c>
      <c r="K724" s="38"/>
      <c r="L724" s="38">
        <v>5</v>
      </c>
      <c r="M724" s="40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 t="s">
        <v>40</v>
      </c>
      <c r="AF724" s="36">
        <f>10/16</f>
        <v>0.625</v>
      </c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8"/>
      <c r="BF724" s="38"/>
      <c r="BG724" s="39"/>
      <c r="BH724" s="38"/>
      <c r="BI724" s="38"/>
      <c r="BJ724" s="38"/>
      <c r="BK724" s="38"/>
      <c r="BL724" s="38"/>
      <c r="BM724" s="38"/>
      <c r="BN724" s="41">
        <v>1</v>
      </c>
      <c r="BO724" s="37">
        <f t="shared" si="72"/>
        <v>0</v>
      </c>
      <c r="BP724" s="56">
        <f t="shared" si="73"/>
        <v>0</v>
      </c>
      <c r="BQ724" s="56">
        <f t="shared" si="74"/>
        <v>0</v>
      </c>
      <c r="BR724" s="57">
        <f t="shared" si="75"/>
        <v>1</v>
      </c>
      <c r="BS724" s="38"/>
      <c r="BT724" s="38"/>
      <c r="BU724" s="26"/>
      <c r="BV724" s="26"/>
      <c r="BW724" s="39">
        <f t="shared" si="76"/>
        <v>1</v>
      </c>
      <c r="BX724" s="78">
        <v>4</v>
      </c>
      <c r="BY724" s="63">
        <v>8</v>
      </c>
    </row>
    <row r="725" spans="1:81" ht="16" x14ac:dyDescent="0.2">
      <c r="A725" s="109" t="s">
        <v>345</v>
      </c>
      <c r="B725" s="26">
        <v>40</v>
      </c>
      <c r="C725" s="109" t="s">
        <v>214</v>
      </c>
      <c r="D725" s="38">
        <v>15</v>
      </c>
      <c r="E725" s="38">
        <v>2</v>
      </c>
      <c r="F725" s="38">
        <v>2</v>
      </c>
      <c r="G725" s="38" t="s">
        <v>51</v>
      </c>
      <c r="H725" s="38">
        <v>4</v>
      </c>
      <c r="I725" s="38" t="s">
        <v>51</v>
      </c>
      <c r="J725" s="38" t="s">
        <v>42</v>
      </c>
      <c r="K725" s="38"/>
      <c r="L725" s="38">
        <v>5</v>
      </c>
      <c r="M725" s="40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 t="s">
        <v>38</v>
      </c>
      <c r="Z725" s="36">
        <f>16/16</f>
        <v>1</v>
      </c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 t="s">
        <v>38</v>
      </c>
      <c r="AV725" s="36">
        <f>16.5/16</f>
        <v>1.03125</v>
      </c>
      <c r="AW725" s="36" t="s">
        <v>38</v>
      </c>
      <c r="AX725" s="36">
        <f>17/16</f>
        <v>1.0625</v>
      </c>
      <c r="AY725" s="36"/>
      <c r="AZ725" s="36"/>
      <c r="BA725" s="36"/>
      <c r="BB725" s="36"/>
      <c r="BC725" s="36"/>
      <c r="BD725" s="36"/>
      <c r="BE725" s="38"/>
      <c r="BF725" s="38"/>
      <c r="BG725" s="39">
        <v>3</v>
      </c>
      <c r="BH725" s="38"/>
      <c r="BI725" s="38"/>
      <c r="BJ725" s="38"/>
      <c r="BK725" s="38"/>
      <c r="BL725" s="38"/>
      <c r="BM725" s="38"/>
      <c r="BO725" s="37">
        <f t="shared" si="72"/>
        <v>3</v>
      </c>
      <c r="BP725" s="56">
        <f t="shared" si="73"/>
        <v>0</v>
      </c>
      <c r="BQ725" s="56">
        <f t="shared" si="74"/>
        <v>0</v>
      </c>
      <c r="BR725" s="57">
        <f t="shared" si="75"/>
        <v>0</v>
      </c>
      <c r="BS725" s="38"/>
      <c r="BT725" s="38"/>
      <c r="BU725" s="26"/>
      <c r="BV725" s="26"/>
      <c r="BW725" s="39">
        <f t="shared" si="76"/>
        <v>3</v>
      </c>
      <c r="BX725" s="78">
        <v>1</v>
      </c>
      <c r="BY725" s="63">
        <v>8</v>
      </c>
    </row>
    <row r="726" spans="1:81" ht="16" x14ac:dyDescent="0.2">
      <c r="A726" s="109" t="s">
        <v>345</v>
      </c>
      <c r="B726" s="26">
        <v>40</v>
      </c>
      <c r="C726" s="109" t="s">
        <v>214</v>
      </c>
      <c r="D726" s="38">
        <v>16</v>
      </c>
      <c r="E726" s="38">
        <v>2</v>
      </c>
      <c r="F726" s="38">
        <v>2</v>
      </c>
      <c r="G726" s="38" t="s">
        <v>51</v>
      </c>
      <c r="H726" s="38">
        <v>4</v>
      </c>
      <c r="I726" s="38" t="s">
        <v>51</v>
      </c>
      <c r="J726" s="38"/>
      <c r="K726" s="26" t="s">
        <v>47</v>
      </c>
      <c r="L726" s="38">
        <v>6</v>
      </c>
      <c r="M726" s="40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 t="s">
        <v>39</v>
      </c>
      <c r="AR726" s="36">
        <f>14/16</f>
        <v>0.875</v>
      </c>
      <c r="AS726" s="36"/>
      <c r="AT726" s="36"/>
      <c r="AU726" s="36"/>
      <c r="AV726" s="36"/>
      <c r="AW726" s="36"/>
      <c r="AX726" s="36"/>
      <c r="AY726" s="36"/>
      <c r="AZ726" s="36"/>
      <c r="BA726" s="36" t="s">
        <v>39</v>
      </c>
      <c r="BB726" s="36">
        <f>15/16</f>
        <v>0.9375</v>
      </c>
      <c r="BC726" s="36" t="s">
        <v>39</v>
      </c>
      <c r="BD726" s="36">
        <f>14/16</f>
        <v>0.875</v>
      </c>
      <c r="BE726" s="38"/>
      <c r="BF726" s="38"/>
      <c r="BG726" s="39"/>
      <c r="BH726" s="38"/>
      <c r="BI726" s="38">
        <v>3</v>
      </c>
      <c r="BJ726" s="38"/>
      <c r="BK726" s="38"/>
      <c r="BL726" s="38"/>
      <c r="BM726" s="38"/>
      <c r="BO726" s="37">
        <f t="shared" si="72"/>
        <v>3</v>
      </c>
      <c r="BP726" s="56">
        <f t="shared" si="73"/>
        <v>0</v>
      </c>
      <c r="BQ726" s="56">
        <f t="shared" si="74"/>
        <v>0</v>
      </c>
      <c r="BR726" s="57">
        <f t="shared" si="75"/>
        <v>0</v>
      </c>
      <c r="BS726" s="38"/>
      <c r="BT726" s="38"/>
      <c r="BU726" s="26"/>
      <c r="BV726" s="26"/>
      <c r="BW726" s="39">
        <f t="shared" si="76"/>
        <v>3</v>
      </c>
      <c r="BX726" s="78">
        <v>1</v>
      </c>
      <c r="BY726" s="63">
        <v>3</v>
      </c>
    </row>
    <row r="727" spans="1:81" ht="16" x14ac:dyDescent="0.2">
      <c r="A727" s="109" t="s">
        <v>345</v>
      </c>
      <c r="B727" s="26">
        <v>40</v>
      </c>
      <c r="C727" s="109" t="s">
        <v>214</v>
      </c>
      <c r="D727" s="38">
        <v>17</v>
      </c>
      <c r="E727" s="38">
        <v>2</v>
      </c>
      <c r="F727" s="38">
        <v>2</v>
      </c>
      <c r="G727" s="38" t="s">
        <v>51</v>
      </c>
      <c r="H727" s="38">
        <v>4</v>
      </c>
      <c r="I727" s="38" t="s">
        <v>51</v>
      </c>
      <c r="J727" s="38" t="s">
        <v>41</v>
      </c>
      <c r="K727" s="38"/>
      <c r="L727" s="38">
        <v>5</v>
      </c>
      <c r="M727" s="40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 t="s">
        <v>39</v>
      </c>
      <c r="AF727" s="36">
        <f>15.5/16</f>
        <v>0.96875</v>
      </c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  <c r="AW727" s="36"/>
      <c r="AX727" s="36"/>
      <c r="AY727" s="36"/>
      <c r="AZ727" s="36"/>
      <c r="BA727" s="36" t="s">
        <v>39</v>
      </c>
      <c r="BB727" s="36">
        <f>15.5/16</f>
        <v>0.96875</v>
      </c>
      <c r="BC727" s="36"/>
      <c r="BD727" s="36"/>
      <c r="BE727" s="38" t="s">
        <v>39</v>
      </c>
      <c r="BF727" s="38" t="s">
        <v>46</v>
      </c>
      <c r="BG727" s="39"/>
      <c r="BH727" s="38"/>
      <c r="BI727" s="38">
        <v>2</v>
      </c>
      <c r="BJ727" s="38"/>
      <c r="BK727" s="38"/>
      <c r="BL727" s="38"/>
      <c r="BM727" s="38"/>
      <c r="BN727" s="38"/>
      <c r="BO727" s="37">
        <f t="shared" si="72"/>
        <v>3</v>
      </c>
      <c r="BP727" s="56">
        <f t="shared" si="73"/>
        <v>0</v>
      </c>
      <c r="BQ727" s="56">
        <f t="shared" si="74"/>
        <v>0</v>
      </c>
      <c r="BR727" s="57">
        <f t="shared" si="75"/>
        <v>0</v>
      </c>
      <c r="BS727" s="38"/>
      <c r="BT727" s="38"/>
      <c r="BU727" s="26">
        <v>1</v>
      </c>
      <c r="BV727" s="26"/>
      <c r="BW727" s="39">
        <f t="shared" si="76"/>
        <v>3</v>
      </c>
      <c r="BX727" s="78">
        <v>1</v>
      </c>
      <c r="BY727" s="63">
        <v>10</v>
      </c>
      <c r="BZ727" s="7"/>
      <c r="CA727" s="8"/>
      <c r="CB727" s="7"/>
      <c r="CC727" s="7"/>
    </row>
    <row r="728" spans="1:81" x14ac:dyDescent="0.2">
      <c r="A728" s="109" t="s">
        <v>345</v>
      </c>
      <c r="B728" s="26">
        <v>40</v>
      </c>
      <c r="C728" s="109" t="s">
        <v>214</v>
      </c>
      <c r="D728" s="38">
        <v>18</v>
      </c>
      <c r="E728" s="38">
        <v>2</v>
      </c>
      <c r="F728" s="38">
        <v>2</v>
      </c>
      <c r="G728" s="38" t="s">
        <v>51</v>
      </c>
      <c r="H728" s="38">
        <v>4</v>
      </c>
      <c r="I728" s="38" t="s">
        <v>51</v>
      </c>
      <c r="J728" s="38" t="s">
        <v>41</v>
      </c>
      <c r="K728" s="38"/>
      <c r="L728" s="38">
        <v>5</v>
      </c>
      <c r="M728" s="40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8"/>
      <c r="BF728" s="38"/>
      <c r="BG728" s="39"/>
      <c r="BH728" s="38"/>
      <c r="BI728" s="38"/>
      <c r="BJ728" s="38"/>
      <c r="BK728" s="38"/>
      <c r="BL728" s="38"/>
      <c r="BM728" s="38"/>
      <c r="BN728" s="38"/>
      <c r="BO728" s="37">
        <f t="shared" si="72"/>
        <v>0</v>
      </c>
      <c r="BP728" s="56">
        <f t="shared" si="73"/>
        <v>0</v>
      </c>
      <c r="BQ728" s="56">
        <f t="shared" si="74"/>
        <v>0</v>
      </c>
      <c r="BR728" s="57">
        <f t="shared" si="75"/>
        <v>0</v>
      </c>
      <c r="BS728" s="38"/>
      <c r="BT728" s="38"/>
      <c r="BU728" s="26"/>
      <c r="BV728" s="26"/>
      <c r="BW728" s="39">
        <f t="shared" si="76"/>
        <v>0</v>
      </c>
      <c r="BX728" s="78">
        <v>0</v>
      </c>
      <c r="BY728" s="63">
        <v>10</v>
      </c>
      <c r="BZ728" s="7"/>
      <c r="CA728" s="8"/>
      <c r="CB728" s="7"/>
      <c r="CC728" s="7"/>
    </row>
    <row r="729" spans="1:81" x14ac:dyDescent="0.2">
      <c r="A729" s="109" t="s">
        <v>345</v>
      </c>
      <c r="B729" s="26">
        <v>40</v>
      </c>
      <c r="C729" s="109" t="s">
        <v>214</v>
      </c>
      <c r="D729" s="38">
        <v>19</v>
      </c>
      <c r="E729" s="38">
        <v>2</v>
      </c>
      <c r="F729" s="38">
        <v>2</v>
      </c>
      <c r="G729" s="38" t="s">
        <v>51</v>
      </c>
      <c r="H729" s="38">
        <v>4</v>
      </c>
      <c r="I729" s="38" t="s">
        <v>51</v>
      </c>
      <c r="J729" s="38" t="s">
        <v>41</v>
      </c>
      <c r="K729" s="38"/>
      <c r="L729" s="38">
        <v>5</v>
      </c>
      <c r="M729" s="40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8"/>
      <c r="BF729" s="38"/>
      <c r="BG729" s="39"/>
      <c r="BH729" s="38"/>
      <c r="BI729" s="38"/>
      <c r="BJ729" s="38"/>
      <c r="BK729" s="38"/>
      <c r="BL729" s="38"/>
      <c r="BM729" s="38"/>
      <c r="BN729" s="38"/>
      <c r="BO729" s="37">
        <f t="shared" si="72"/>
        <v>0</v>
      </c>
      <c r="BP729" s="56">
        <f t="shared" si="73"/>
        <v>0</v>
      </c>
      <c r="BQ729" s="56">
        <f t="shared" si="74"/>
        <v>0</v>
      </c>
      <c r="BR729" s="57">
        <f t="shared" si="75"/>
        <v>0</v>
      </c>
      <c r="BS729" s="38"/>
      <c r="BT729" s="38"/>
      <c r="BU729" s="26"/>
      <c r="BV729" s="26"/>
      <c r="BW729" s="39">
        <f t="shared" si="76"/>
        <v>0</v>
      </c>
      <c r="BX729" s="78">
        <v>0</v>
      </c>
      <c r="BY729" s="63">
        <v>10</v>
      </c>
      <c r="BZ729" s="7"/>
      <c r="CA729" s="8"/>
      <c r="CB729" s="7"/>
      <c r="CC729" s="7"/>
    </row>
    <row r="730" spans="1:81" ht="16" x14ac:dyDescent="0.2">
      <c r="A730" s="109" t="s">
        <v>345</v>
      </c>
      <c r="B730" s="26">
        <v>40</v>
      </c>
      <c r="C730" s="109" t="s">
        <v>214</v>
      </c>
      <c r="D730" s="38">
        <v>20</v>
      </c>
      <c r="E730" s="38">
        <v>2</v>
      </c>
      <c r="F730" s="38">
        <v>2</v>
      </c>
      <c r="G730" s="38" t="s">
        <v>51</v>
      </c>
      <c r="H730" s="38">
        <v>4</v>
      </c>
      <c r="I730" s="38" t="s">
        <v>51</v>
      </c>
      <c r="J730" s="38" t="s">
        <v>41</v>
      </c>
      <c r="K730" s="38"/>
      <c r="L730" s="38">
        <v>5</v>
      </c>
      <c r="M730" s="40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  <c r="AW730" s="36"/>
      <c r="AX730" s="36"/>
      <c r="AY730" s="36"/>
      <c r="AZ730" s="36"/>
      <c r="BA730" s="36"/>
      <c r="BB730" s="36"/>
      <c r="BC730" s="36" t="s">
        <v>39</v>
      </c>
      <c r="BD730" s="36">
        <f>12/16</f>
        <v>0.75</v>
      </c>
      <c r="BE730" s="38"/>
      <c r="BF730" s="38"/>
      <c r="BG730" s="39"/>
      <c r="BH730" s="38"/>
      <c r="BI730" s="38">
        <v>1</v>
      </c>
      <c r="BJ730" s="38"/>
      <c r="BK730" s="38"/>
      <c r="BL730" s="38"/>
      <c r="BM730" s="38"/>
      <c r="BN730" s="38"/>
      <c r="BO730" s="37">
        <f t="shared" si="72"/>
        <v>1</v>
      </c>
      <c r="BP730" s="56">
        <f t="shared" si="73"/>
        <v>0</v>
      </c>
      <c r="BQ730" s="56">
        <f t="shared" si="74"/>
        <v>0</v>
      </c>
      <c r="BR730" s="57">
        <f t="shared" si="75"/>
        <v>0</v>
      </c>
      <c r="BS730" s="38"/>
      <c r="BT730" s="38"/>
      <c r="BU730" s="26"/>
      <c r="BV730" s="26"/>
      <c r="BW730" s="39">
        <f t="shared" si="76"/>
        <v>1</v>
      </c>
      <c r="BX730" s="78">
        <v>1</v>
      </c>
      <c r="BY730" s="63">
        <v>10</v>
      </c>
      <c r="BZ730" s="7"/>
      <c r="CA730" s="8"/>
      <c r="CB730" s="7"/>
      <c r="CC730" s="7"/>
    </row>
    <row r="731" spans="1:81" ht="16" x14ac:dyDescent="0.2">
      <c r="A731" s="109" t="s">
        <v>345</v>
      </c>
      <c r="B731" s="26">
        <v>40</v>
      </c>
      <c r="C731" s="109" t="s">
        <v>214</v>
      </c>
      <c r="D731" s="38">
        <v>21</v>
      </c>
      <c r="E731" s="38">
        <v>2</v>
      </c>
      <c r="F731" s="38">
        <v>2</v>
      </c>
      <c r="G731" s="38" t="s">
        <v>51</v>
      </c>
      <c r="H731" s="38">
        <v>4</v>
      </c>
      <c r="I731" s="38" t="s">
        <v>51</v>
      </c>
      <c r="J731" s="38" t="s">
        <v>42</v>
      </c>
      <c r="K731" s="38"/>
      <c r="L731" s="38">
        <v>5</v>
      </c>
      <c r="M731" s="40" t="s">
        <v>39</v>
      </c>
      <c r="N731" s="36">
        <f>8/16</f>
        <v>0.5</v>
      </c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 t="s">
        <v>38</v>
      </c>
      <c r="AH731" s="36">
        <f>10/16</f>
        <v>0.625</v>
      </c>
      <c r="AI731" s="36" t="s">
        <v>39</v>
      </c>
      <c r="AJ731" s="36">
        <f>9/16</f>
        <v>0.5625</v>
      </c>
      <c r="AK731" s="36" t="s">
        <v>38</v>
      </c>
      <c r="AL731" s="36">
        <f>6.5/16</f>
        <v>0.40625</v>
      </c>
      <c r="AM731" s="36"/>
      <c r="AN731" s="36"/>
      <c r="AO731" s="36" t="s">
        <v>39</v>
      </c>
      <c r="AP731" s="36">
        <f>10/16</f>
        <v>0.625</v>
      </c>
      <c r="AQ731" s="36"/>
      <c r="AR731" s="36"/>
      <c r="AS731" s="36" t="s">
        <v>38</v>
      </c>
      <c r="AT731" s="36">
        <f>4/16</f>
        <v>0.25</v>
      </c>
      <c r="AU731" s="36" t="s">
        <v>38</v>
      </c>
      <c r="AV731" s="36">
        <f>15/16</f>
        <v>0.9375</v>
      </c>
      <c r="AW731" s="36"/>
      <c r="AX731" s="36"/>
      <c r="AY731" s="36" t="s">
        <v>38</v>
      </c>
      <c r="AZ731" s="36">
        <f>7/16</f>
        <v>0.4375</v>
      </c>
      <c r="BA731" s="36"/>
      <c r="BB731" s="36"/>
      <c r="BC731" s="36" t="s">
        <v>38</v>
      </c>
      <c r="BD731" s="36">
        <f>9/16</f>
        <v>0.5625</v>
      </c>
      <c r="BE731" s="38"/>
      <c r="BF731" s="38"/>
      <c r="BG731" s="39">
        <v>1</v>
      </c>
      <c r="BH731" s="38">
        <v>4</v>
      </c>
      <c r="BI731" s="38"/>
      <c r="BJ731" s="38">
        <v>3</v>
      </c>
      <c r="BK731" s="38"/>
      <c r="BL731" s="38"/>
      <c r="BM731" s="38"/>
      <c r="BN731" s="38"/>
      <c r="BO731" s="37">
        <f t="shared" si="72"/>
        <v>1</v>
      </c>
      <c r="BP731" s="56">
        <f t="shared" si="73"/>
        <v>7</v>
      </c>
      <c r="BQ731" s="56">
        <f t="shared" si="74"/>
        <v>0</v>
      </c>
      <c r="BR731" s="57">
        <f t="shared" si="75"/>
        <v>0</v>
      </c>
      <c r="BS731" s="38"/>
      <c r="BT731" s="38"/>
      <c r="BU731" s="26"/>
      <c r="BV731" s="26"/>
      <c r="BW731" s="39">
        <f t="shared" si="76"/>
        <v>8</v>
      </c>
      <c r="BX731" s="78">
        <v>2</v>
      </c>
      <c r="BY731" s="63">
        <v>8</v>
      </c>
      <c r="BZ731" s="7"/>
      <c r="CA731" s="8"/>
      <c r="CB731" s="7"/>
      <c r="CC731" s="7"/>
    </row>
    <row r="732" spans="1:81" ht="16" x14ac:dyDescent="0.2">
      <c r="A732" s="109" t="s">
        <v>345</v>
      </c>
      <c r="B732" s="26">
        <v>40</v>
      </c>
      <c r="C732" s="109" t="s">
        <v>214</v>
      </c>
      <c r="D732" s="38">
        <v>22</v>
      </c>
      <c r="E732" s="38">
        <v>2</v>
      </c>
      <c r="F732" s="38">
        <v>2</v>
      </c>
      <c r="G732" s="38" t="s">
        <v>51</v>
      </c>
      <c r="H732" s="38">
        <v>4</v>
      </c>
      <c r="I732" s="38" t="s">
        <v>51</v>
      </c>
      <c r="J732" s="38" t="s">
        <v>41</v>
      </c>
      <c r="K732" s="38"/>
      <c r="L732" s="38">
        <v>6</v>
      </c>
      <c r="M732" s="40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 t="s">
        <v>39</v>
      </c>
      <c r="AF732" s="36">
        <f>15.5/16</f>
        <v>0.96875</v>
      </c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 t="s">
        <v>39</v>
      </c>
      <c r="AR732" s="36">
        <f>15/16</f>
        <v>0.9375</v>
      </c>
      <c r="AS732" s="36"/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8"/>
      <c r="BF732" s="38"/>
      <c r="BG732" s="39"/>
      <c r="BH732" s="38"/>
      <c r="BI732" s="38">
        <v>2</v>
      </c>
      <c r="BJ732" s="38"/>
      <c r="BK732" s="38"/>
      <c r="BL732" s="38"/>
      <c r="BM732" s="38"/>
      <c r="BN732" s="38"/>
      <c r="BO732" s="37">
        <f t="shared" si="72"/>
        <v>2</v>
      </c>
      <c r="BP732" s="56">
        <f t="shared" si="73"/>
        <v>0</v>
      </c>
      <c r="BQ732" s="56">
        <f t="shared" si="74"/>
        <v>0</v>
      </c>
      <c r="BR732" s="57">
        <f t="shared" si="75"/>
        <v>0</v>
      </c>
      <c r="BS732" s="38"/>
      <c r="BT732" s="38"/>
      <c r="BU732" s="26"/>
      <c r="BV732" s="26"/>
      <c r="BW732" s="39">
        <f t="shared" si="76"/>
        <v>2</v>
      </c>
      <c r="BX732" s="78">
        <v>1</v>
      </c>
      <c r="BY732" s="63">
        <v>10</v>
      </c>
      <c r="BZ732" s="7"/>
      <c r="CA732" s="8"/>
      <c r="CB732" s="7"/>
      <c r="CC732" s="7"/>
    </row>
    <row r="733" spans="1:81" ht="16" x14ac:dyDescent="0.2">
      <c r="A733" s="109" t="s">
        <v>346</v>
      </c>
      <c r="B733" s="26">
        <v>43</v>
      </c>
      <c r="C733" s="109" t="s">
        <v>215</v>
      </c>
      <c r="D733" s="38">
        <v>2</v>
      </c>
      <c r="E733" s="38">
        <v>2</v>
      </c>
      <c r="F733" s="38">
        <v>2</v>
      </c>
      <c r="G733" s="38" t="s">
        <v>51</v>
      </c>
      <c r="H733" s="38">
        <v>4</v>
      </c>
      <c r="I733" s="38" t="s">
        <v>51</v>
      </c>
      <c r="J733" s="38" t="s">
        <v>42</v>
      </c>
      <c r="K733" s="38"/>
      <c r="L733" s="38">
        <v>5</v>
      </c>
      <c r="M733" s="40" t="s">
        <v>57</v>
      </c>
      <c r="N733" s="36">
        <f>12/16</f>
        <v>0.75</v>
      </c>
      <c r="O733" s="36" t="s">
        <v>38</v>
      </c>
      <c r="P733" s="36">
        <f>24/16</f>
        <v>1.5</v>
      </c>
      <c r="Q733" s="36"/>
      <c r="R733" s="36"/>
      <c r="S733" s="36"/>
      <c r="T733" s="36"/>
      <c r="U733" s="36" t="s">
        <v>61</v>
      </c>
      <c r="V733" s="36">
        <v>0.625</v>
      </c>
      <c r="W733" s="36" t="s">
        <v>38</v>
      </c>
      <c r="X733" s="36">
        <f>5.5/16</f>
        <v>0.34375</v>
      </c>
      <c r="Y733" s="36"/>
      <c r="Z733" s="36"/>
      <c r="AA733" s="36" t="s">
        <v>39</v>
      </c>
      <c r="AB733" s="36">
        <f>19/16</f>
        <v>1.1875</v>
      </c>
      <c r="AC733" s="36" t="s">
        <v>38</v>
      </c>
      <c r="AD733" s="36">
        <f>16/16</f>
        <v>1</v>
      </c>
      <c r="AE733" s="36"/>
      <c r="AF733" s="36"/>
      <c r="AG733" s="36" t="s">
        <v>43</v>
      </c>
      <c r="AH733" s="36">
        <f>13/16</f>
        <v>0.8125</v>
      </c>
      <c r="AI733" s="36"/>
      <c r="AJ733" s="36"/>
      <c r="AK733" s="36" t="s">
        <v>48</v>
      </c>
      <c r="AL733" s="36">
        <f>21/16</f>
        <v>1.3125</v>
      </c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  <c r="BA733" s="36" t="s">
        <v>39</v>
      </c>
      <c r="BB733" s="36">
        <f>21/16</f>
        <v>1.3125</v>
      </c>
      <c r="BC733" s="36" t="s">
        <v>40</v>
      </c>
      <c r="BD733" s="36">
        <f>7.5/16</f>
        <v>0.46875</v>
      </c>
      <c r="BE733" s="38"/>
      <c r="BF733" s="38"/>
      <c r="BG733" s="39">
        <v>2</v>
      </c>
      <c r="BH733" s="38">
        <v>1</v>
      </c>
      <c r="BI733" s="38">
        <v>2</v>
      </c>
      <c r="BJ733" s="38"/>
      <c r="BK733" s="38">
        <v>1</v>
      </c>
      <c r="BL733" s="38"/>
      <c r="BM733" s="38">
        <v>1</v>
      </c>
      <c r="BN733" s="38">
        <v>1</v>
      </c>
      <c r="BO733" s="37">
        <f t="shared" si="72"/>
        <v>4</v>
      </c>
      <c r="BP733" s="56">
        <f t="shared" si="73"/>
        <v>1</v>
      </c>
      <c r="BQ733" s="56">
        <f t="shared" si="74"/>
        <v>4</v>
      </c>
      <c r="BR733" s="57">
        <f t="shared" si="75"/>
        <v>1</v>
      </c>
      <c r="BS733" s="38">
        <v>2</v>
      </c>
      <c r="BT733" s="38"/>
      <c r="BU733" s="26"/>
      <c r="BV733" s="26"/>
      <c r="BW733" s="39">
        <f t="shared" si="76"/>
        <v>10</v>
      </c>
      <c r="BX733" s="78">
        <v>2</v>
      </c>
      <c r="BY733" s="63">
        <v>8</v>
      </c>
      <c r="BZ733" s="7"/>
      <c r="CA733" s="8"/>
      <c r="CB733" s="7"/>
      <c r="CC733" s="7"/>
    </row>
    <row r="734" spans="1:81" ht="16" x14ac:dyDescent="0.2">
      <c r="A734" s="109" t="s">
        <v>346</v>
      </c>
      <c r="B734" s="26">
        <v>43</v>
      </c>
      <c r="C734" s="109" t="s">
        <v>215</v>
      </c>
      <c r="D734" s="38">
        <v>4</v>
      </c>
      <c r="E734" s="38">
        <v>2</v>
      </c>
      <c r="F734" s="38">
        <v>2</v>
      </c>
      <c r="G734" s="38" t="s">
        <v>51</v>
      </c>
      <c r="H734" s="38">
        <v>4</v>
      </c>
      <c r="I734" s="38" t="s">
        <v>51</v>
      </c>
      <c r="J734" s="38" t="s">
        <v>65</v>
      </c>
      <c r="K734" s="38"/>
      <c r="L734" s="38">
        <v>5</v>
      </c>
      <c r="M734" s="40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 t="s">
        <v>38</v>
      </c>
      <c r="AH734" s="36">
        <f>21/16</f>
        <v>1.3125</v>
      </c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  <c r="AW734" s="36" t="s">
        <v>38</v>
      </c>
      <c r="AX734" s="36">
        <f>16/16</f>
        <v>1</v>
      </c>
      <c r="AY734" s="36"/>
      <c r="AZ734" s="36"/>
      <c r="BA734" s="36"/>
      <c r="BB734" s="36"/>
      <c r="BC734" s="36"/>
      <c r="BD734" s="36"/>
      <c r="BE734" s="38"/>
      <c r="BF734" s="38"/>
      <c r="BG734" s="39">
        <v>2</v>
      </c>
      <c r="BH734" s="38"/>
      <c r="BI734" s="38"/>
      <c r="BJ734" s="38"/>
      <c r="BK734" s="38"/>
      <c r="BL734" s="38"/>
      <c r="BM734" s="38"/>
      <c r="BN734" s="38"/>
      <c r="BO734" s="37">
        <f t="shared" si="72"/>
        <v>2</v>
      </c>
      <c r="BP734" s="56">
        <f t="shared" si="73"/>
        <v>0</v>
      </c>
      <c r="BQ734" s="56">
        <f t="shared" si="74"/>
        <v>0</v>
      </c>
      <c r="BR734" s="57">
        <f t="shared" si="75"/>
        <v>0</v>
      </c>
      <c r="BS734" s="38"/>
      <c r="BT734" s="38"/>
      <c r="BU734" s="26"/>
      <c r="BV734" s="26"/>
      <c r="BW734" s="39">
        <f t="shared" si="76"/>
        <v>2</v>
      </c>
      <c r="BX734" s="78">
        <v>1</v>
      </c>
      <c r="BY734" s="63">
        <v>11</v>
      </c>
      <c r="BZ734" s="7"/>
      <c r="CA734" s="8"/>
      <c r="CB734" s="7"/>
      <c r="CC734" s="7"/>
    </row>
    <row r="735" spans="1:81" ht="16" x14ac:dyDescent="0.2">
      <c r="A735" s="109" t="s">
        <v>347</v>
      </c>
      <c r="B735" s="26">
        <v>40</v>
      </c>
      <c r="C735" s="109" t="s">
        <v>216</v>
      </c>
      <c r="D735" s="38">
        <v>1</v>
      </c>
      <c r="E735" s="38">
        <v>2</v>
      </c>
      <c r="F735" s="38">
        <v>2</v>
      </c>
      <c r="G735" s="38" t="s">
        <v>51</v>
      </c>
      <c r="H735" s="38">
        <v>4</v>
      </c>
      <c r="I735" s="38" t="s">
        <v>51</v>
      </c>
      <c r="J735" s="38" t="s">
        <v>41</v>
      </c>
      <c r="K735" s="38"/>
      <c r="L735" s="38">
        <v>5</v>
      </c>
      <c r="M735" s="40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 t="s">
        <v>39</v>
      </c>
      <c r="AR735" s="36">
        <f>14/16</f>
        <v>0.875</v>
      </c>
      <c r="AS735" s="36"/>
      <c r="AT735" s="36"/>
      <c r="AU735" s="36"/>
      <c r="AV735" s="36"/>
      <c r="AW735" s="36"/>
      <c r="AX735" s="36"/>
      <c r="AY735" s="36"/>
      <c r="AZ735" s="36"/>
      <c r="BA735" s="36" t="s">
        <v>38</v>
      </c>
      <c r="BB735" s="36">
        <f>6/16</f>
        <v>0.375</v>
      </c>
      <c r="BC735" s="36"/>
      <c r="BD735" s="36"/>
      <c r="BE735" s="38"/>
      <c r="BF735" s="38"/>
      <c r="BG735" s="39"/>
      <c r="BH735" s="38">
        <v>1</v>
      </c>
      <c r="BI735" s="38">
        <v>1</v>
      </c>
      <c r="BJ735" s="38"/>
      <c r="BK735" s="38"/>
      <c r="BL735" s="38"/>
      <c r="BM735" s="38"/>
      <c r="BN735" s="38"/>
      <c r="BO735" s="37">
        <f t="shared" si="72"/>
        <v>1</v>
      </c>
      <c r="BP735" s="56">
        <f t="shared" si="73"/>
        <v>1</v>
      </c>
      <c r="BQ735" s="56">
        <f t="shared" si="74"/>
        <v>0</v>
      </c>
      <c r="BR735" s="57">
        <f t="shared" si="75"/>
        <v>0</v>
      </c>
      <c r="BS735" s="38"/>
      <c r="BT735" s="38"/>
      <c r="BU735" s="26"/>
      <c r="BV735" s="26"/>
      <c r="BW735" s="39">
        <f t="shared" si="76"/>
        <v>2</v>
      </c>
      <c r="BX735" s="78">
        <v>2</v>
      </c>
      <c r="BY735" s="64">
        <v>10</v>
      </c>
      <c r="BZ735" s="7"/>
      <c r="CA735" s="8"/>
      <c r="CB735" s="7"/>
      <c r="CC735" s="7"/>
    </row>
    <row r="736" spans="1:81" ht="16" x14ac:dyDescent="0.2">
      <c r="A736" s="109" t="s">
        <v>347</v>
      </c>
      <c r="B736" s="26">
        <v>40</v>
      </c>
      <c r="C736" s="109" t="s">
        <v>216</v>
      </c>
      <c r="D736" s="38">
        <v>2</v>
      </c>
      <c r="E736" s="38">
        <v>2</v>
      </c>
      <c r="F736" s="38">
        <v>2</v>
      </c>
      <c r="G736" s="38" t="s">
        <v>51</v>
      </c>
      <c r="H736" s="38">
        <v>4</v>
      </c>
      <c r="I736" s="38" t="s">
        <v>51</v>
      </c>
      <c r="J736" s="38"/>
      <c r="K736" s="38" t="s">
        <v>63</v>
      </c>
      <c r="L736" s="38">
        <v>7</v>
      </c>
      <c r="M736" s="40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 t="s">
        <v>39</v>
      </c>
      <c r="AB736" s="36">
        <f>17/16</f>
        <v>1.0625</v>
      </c>
      <c r="AC736" s="36"/>
      <c r="AD736" s="36"/>
      <c r="AE736" s="36"/>
      <c r="AF736" s="36"/>
      <c r="AG736" s="36" t="s">
        <v>38</v>
      </c>
      <c r="AH736" s="36">
        <f>17/16</f>
        <v>1.0625</v>
      </c>
      <c r="AI736" s="36" t="s">
        <v>43</v>
      </c>
      <c r="AJ736" s="36">
        <f>7.5/16</f>
        <v>0.46875</v>
      </c>
      <c r="AK736" s="36" t="s">
        <v>38</v>
      </c>
      <c r="AL736" s="36">
        <f>12/16</f>
        <v>0.75</v>
      </c>
      <c r="AM736" s="36"/>
      <c r="AN736" s="36"/>
      <c r="AO736" s="36" t="s">
        <v>39</v>
      </c>
      <c r="AP736" s="36">
        <f>16/16</f>
        <v>1</v>
      </c>
      <c r="AQ736" s="36"/>
      <c r="AR736" s="36"/>
      <c r="AS736" s="36"/>
      <c r="AT736" s="36"/>
      <c r="AU736" s="36"/>
      <c r="AV736" s="36"/>
      <c r="AW736" s="36"/>
      <c r="AX736" s="36"/>
      <c r="AY736" s="36"/>
      <c r="AZ736" s="36"/>
      <c r="BA736" s="36" t="s">
        <v>38</v>
      </c>
      <c r="BB736" s="36">
        <f>17.5/16</f>
        <v>1.09375</v>
      </c>
      <c r="BC736" s="36" t="s">
        <v>39</v>
      </c>
      <c r="BD736" s="36">
        <f>14/16</f>
        <v>0.875</v>
      </c>
      <c r="BE736" s="38"/>
      <c r="BF736" s="38"/>
      <c r="BG736" s="39">
        <v>3</v>
      </c>
      <c r="BH736" s="38"/>
      <c r="BI736" s="38">
        <v>3</v>
      </c>
      <c r="BJ736" s="38"/>
      <c r="BK736" s="38"/>
      <c r="BL736" s="38"/>
      <c r="BM736" s="38"/>
      <c r="BN736" s="38"/>
      <c r="BO736" s="37">
        <f t="shared" si="72"/>
        <v>6</v>
      </c>
      <c r="BP736" s="56">
        <f t="shared" si="73"/>
        <v>0</v>
      </c>
      <c r="BQ736" s="56">
        <f t="shared" si="74"/>
        <v>1</v>
      </c>
      <c r="BR736" s="57">
        <f t="shared" si="75"/>
        <v>0</v>
      </c>
      <c r="BS736" s="38">
        <v>1</v>
      </c>
      <c r="BT736" s="38"/>
      <c r="BU736" s="26"/>
      <c r="BV736" s="26"/>
      <c r="BW736" s="39">
        <f t="shared" si="76"/>
        <v>7</v>
      </c>
      <c r="BX736" s="78">
        <v>2</v>
      </c>
      <c r="BY736" s="64">
        <v>2</v>
      </c>
      <c r="BZ736" s="7"/>
      <c r="CA736" s="8"/>
      <c r="CB736" s="7"/>
      <c r="CC736" s="7"/>
    </row>
    <row r="737" spans="1:81" ht="16" x14ac:dyDescent="0.2">
      <c r="A737" s="109" t="s">
        <v>347</v>
      </c>
      <c r="B737" s="26">
        <v>40</v>
      </c>
      <c r="C737" s="109" t="s">
        <v>216</v>
      </c>
      <c r="D737" s="38">
        <v>3</v>
      </c>
      <c r="E737" s="38">
        <v>2</v>
      </c>
      <c r="F737" s="38">
        <v>2</v>
      </c>
      <c r="G737" s="38" t="s">
        <v>51</v>
      </c>
      <c r="H737" s="38">
        <v>4</v>
      </c>
      <c r="I737" s="38" t="s">
        <v>51</v>
      </c>
      <c r="J737" s="38"/>
      <c r="K737" s="38" t="s">
        <v>63</v>
      </c>
      <c r="L737" s="38">
        <v>7</v>
      </c>
      <c r="M737" s="40"/>
      <c r="N737" s="36"/>
      <c r="O737" s="36" t="s">
        <v>39</v>
      </c>
      <c r="P737" s="36">
        <f>13.5/16</f>
        <v>0.84375</v>
      </c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 t="s">
        <v>38</v>
      </c>
      <c r="AP737" s="36">
        <f>17/16</f>
        <v>1.0625</v>
      </c>
      <c r="AQ737" s="36"/>
      <c r="AR737" s="36"/>
      <c r="AS737" s="36" t="s">
        <v>38</v>
      </c>
      <c r="AT737" s="36">
        <f>5.5/16</f>
        <v>0.34375</v>
      </c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8"/>
      <c r="BF737" s="38"/>
      <c r="BG737" s="39">
        <v>1</v>
      </c>
      <c r="BH737" s="38">
        <v>1</v>
      </c>
      <c r="BI737" s="38">
        <v>1</v>
      </c>
      <c r="BJ737" s="38"/>
      <c r="BK737" s="38"/>
      <c r="BL737" s="38"/>
      <c r="BM737" s="38"/>
      <c r="BN737" s="38"/>
      <c r="BO737" s="37">
        <f t="shared" si="72"/>
        <v>2</v>
      </c>
      <c r="BP737" s="56">
        <f t="shared" si="73"/>
        <v>1</v>
      </c>
      <c r="BQ737" s="56">
        <f t="shared" si="74"/>
        <v>0</v>
      </c>
      <c r="BR737" s="57">
        <f t="shared" si="75"/>
        <v>0</v>
      </c>
      <c r="BS737" s="38"/>
      <c r="BT737" s="38"/>
      <c r="BU737" s="26"/>
      <c r="BV737" s="26"/>
      <c r="BW737" s="39">
        <f t="shared" si="76"/>
        <v>3</v>
      </c>
      <c r="BX737" s="78">
        <v>2</v>
      </c>
      <c r="BY737" s="63">
        <v>2</v>
      </c>
      <c r="BZ737" s="7"/>
      <c r="CA737" s="8"/>
      <c r="CB737" s="7"/>
      <c r="CC737" s="7"/>
    </row>
    <row r="738" spans="1:81" ht="16" x14ac:dyDescent="0.2">
      <c r="A738" s="109" t="s">
        <v>347</v>
      </c>
      <c r="B738" s="26">
        <v>40</v>
      </c>
      <c r="C738" s="109" t="s">
        <v>216</v>
      </c>
      <c r="D738" s="38">
        <v>4</v>
      </c>
      <c r="E738" s="38">
        <v>2</v>
      </c>
      <c r="F738" s="38">
        <v>2</v>
      </c>
      <c r="G738" s="38" t="s">
        <v>51</v>
      </c>
      <c r="H738" s="38">
        <v>4</v>
      </c>
      <c r="I738" s="38" t="s">
        <v>51</v>
      </c>
      <c r="J738" s="38" t="s">
        <v>60</v>
      </c>
      <c r="K738" s="38"/>
      <c r="L738" s="38">
        <v>6</v>
      </c>
      <c r="M738" s="40"/>
      <c r="N738" s="36"/>
      <c r="O738" s="36" t="s">
        <v>61</v>
      </c>
      <c r="P738" s="36">
        <v>1.03128</v>
      </c>
      <c r="Q738" s="36"/>
      <c r="R738" s="36"/>
      <c r="S738" s="36"/>
      <c r="T738" s="36"/>
      <c r="U738" s="36"/>
      <c r="V738" s="36"/>
      <c r="W738" s="36" t="s">
        <v>39</v>
      </c>
      <c r="X738" s="36">
        <f>7/16</f>
        <v>0.4375</v>
      </c>
      <c r="Y738" s="36" t="s">
        <v>39</v>
      </c>
      <c r="Z738" s="36">
        <f>14/16</f>
        <v>0.875</v>
      </c>
      <c r="AA738" s="36" t="s">
        <v>38</v>
      </c>
      <c r="AB738" s="36">
        <f>10/16</f>
        <v>0.625</v>
      </c>
      <c r="AC738" s="36"/>
      <c r="AD738" s="36"/>
      <c r="AE738" s="36" t="s">
        <v>38</v>
      </c>
      <c r="AF738" s="36">
        <f>15.5/16</f>
        <v>0.96875</v>
      </c>
      <c r="AG738" s="36"/>
      <c r="AH738" s="36"/>
      <c r="AI738" s="36"/>
      <c r="AJ738" s="36"/>
      <c r="AK738" s="36" t="s">
        <v>38</v>
      </c>
      <c r="AL738" s="36">
        <f>9.5/16</f>
        <v>0.59375</v>
      </c>
      <c r="AM738" s="36" t="s">
        <v>38</v>
      </c>
      <c r="AN738" s="36">
        <f>15/16</f>
        <v>0.9375</v>
      </c>
      <c r="AO738" s="36" t="s">
        <v>38</v>
      </c>
      <c r="AP738" s="36">
        <f>7.5/16</f>
        <v>0.46875</v>
      </c>
      <c r="AQ738" s="36" t="s">
        <v>38</v>
      </c>
      <c r="AR738" s="36">
        <f>11/16</f>
        <v>0.6875</v>
      </c>
      <c r="AS738" s="36" t="s">
        <v>39</v>
      </c>
      <c r="AT738" s="36">
        <f>12/16</f>
        <v>0.75</v>
      </c>
      <c r="AU738" s="36" t="s">
        <v>39</v>
      </c>
      <c r="AV738" s="36">
        <f>10/16</f>
        <v>0.625</v>
      </c>
      <c r="AW738" s="36" t="s">
        <v>38</v>
      </c>
      <c r="AX738" s="36">
        <f>10/16</f>
        <v>0.625</v>
      </c>
      <c r="AY738" s="36"/>
      <c r="AZ738" s="36"/>
      <c r="BA738" s="36" t="s">
        <v>39</v>
      </c>
      <c r="BB738" s="36">
        <f>10/16</f>
        <v>0.625</v>
      </c>
      <c r="BC738" s="36" t="s">
        <v>38</v>
      </c>
      <c r="BD738" s="36">
        <f>14/16</f>
        <v>0.875</v>
      </c>
      <c r="BE738" s="38"/>
      <c r="BF738" s="38"/>
      <c r="BG738" s="39">
        <v>3</v>
      </c>
      <c r="BH738" s="38">
        <v>5</v>
      </c>
      <c r="BI738" s="38">
        <v>2</v>
      </c>
      <c r="BJ738" s="38">
        <v>3</v>
      </c>
      <c r="BK738" s="38"/>
      <c r="BL738" s="38"/>
      <c r="BM738" s="38"/>
      <c r="BN738" s="38"/>
      <c r="BO738" s="37">
        <f t="shared" si="72"/>
        <v>5</v>
      </c>
      <c r="BP738" s="56">
        <f t="shared" si="73"/>
        <v>8</v>
      </c>
      <c r="BQ738" s="56">
        <f t="shared" si="74"/>
        <v>1</v>
      </c>
      <c r="BR738" s="57">
        <f t="shared" si="75"/>
        <v>0</v>
      </c>
      <c r="BS738" s="38">
        <v>1</v>
      </c>
      <c r="BT738" s="38"/>
      <c r="BU738" s="26"/>
      <c r="BV738" s="26"/>
      <c r="BW738" s="39">
        <f t="shared" si="76"/>
        <v>14</v>
      </c>
      <c r="BX738" s="78">
        <v>2</v>
      </c>
      <c r="BY738" s="63">
        <v>7</v>
      </c>
      <c r="BZ738" s="7"/>
      <c r="CA738" s="8"/>
      <c r="CB738" s="7"/>
      <c r="CC738" s="7"/>
    </row>
    <row r="739" spans="1:81" x14ac:dyDescent="0.2">
      <c r="A739" s="109" t="s">
        <v>348</v>
      </c>
      <c r="B739" s="26">
        <v>39</v>
      </c>
      <c r="C739" s="109" t="s">
        <v>217</v>
      </c>
      <c r="D739" s="26">
        <v>2</v>
      </c>
      <c r="E739" s="26">
        <v>2</v>
      </c>
      <c r="F739" s="26">
        <v>2</v>
      </c>
      <c r="G739" s="26" t="s">
        <v>51</v>
      </c>
      <c r="H739" s="26">
        <v>4</v>
      </c>
      <c r="I739" s="26" t="s">
        <v>51</v>
      </c>
      <c r="J739" s="26" t="s">
        <v>42</v>
      </c>
      <c r="K739" s="26"/>
      <c r="L739" s="26">
        <v>5</v>
      </c>
      <c r="M739" s="40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26"/>
      <c r="BF739" s="26"/>
      <c r="BG739" s="37"/>
      <c r="BH739" s="26"/>
      <c r="BI739" s="26"/>
      <c r="BJ739" s="26"/>
      <c r="BK739" s="26"/>
      <c r="BL739" s="26"/>
      <c r="BM739" s="26"/>
      <c r="BO739" s="37">
        <f t="shared" si="72"/>
        <v>0</v>
      </c>
      <c r="BP739" s="56">
        <f t="shared" si="73"/>
        <v>0</v>
      </c>
      <c r="BQ739" s="56">
        <f t="shared" si="74"/>
        <v>0</v>
      </c>
      <c r="BR739" s="57">
        <f t="shared" si="75"/>
        <v>0</v>
      </c>
      <c r="BS739" s="38"/>
      <c r="BT739" s="38"/>
      <c r="BU739" s="26"/>
      <c r="BV739" s="26"/>
      <c r="BW739" s="39">
        <f t="shared" si="76"/>
        <v>0</v>
      </c>
      <c r="BX739" s="78">
        <v>0</v>
      </c>
      <c r="BY739" s="63">
        <v>8</v>
      </c>
    </row>
    <row r="740" spans="1:81" ht="16" x14ac:dyDescent="0.2">
      <c r="A740" s="109" t="s">
        <v>348</v>
      </c>
      <c r="B740" s="26">
        <v>39</v>
      </c>
      <c r="C740" s="109" t="s">
        <v>217</v>
      </c>
      <c r="D740" s="26">
        <v>3</v>
      </c>
      <c r="E740" s="26">
        <v>2</v>
      </c>
      <c r="F740" s="26">
        <v>3</v>
      </c>
      <c r="G740" s="26" t="s">
        <v>50</v>
      </c>
      <c r="H740" s="26">
        <v>6</v>
      </c>
      <c r="I740" s="26" t="s">
        <v>51</v>
      </c>
      <c r="J740" s="26" t="s">
        <v>42</v>
      </c>
      <c r="K740" s="26"/>
      <c r="L740" s="26">
        <v>5</v>
      </c>
      <c r="M740" s="40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 t="s">
        <v>39</v>
      </c>
      <c r="AF740" s="36">
        <f>14/15</f>
        <v>0.93333333333333335</v>
      </c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 t="s">
        <v>38</v>
      </c>
      <c r="AR740" s="36">
        <f>16.5/15</f>
        <v>1.1000000000000001</v>
      </c>
      <c r="AS740" s="36"/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26"/>
      <c r="BF740" s="26"/>
      <c r="BG740" s="37">
        <v>1</v>
      </c>
      <c r="BH740" s="26"/>
      <c r="BI740" s="26">
        <v>1</v>
      </c>
      <c r="BJ740" s="26"/>
      <c r="BK740" s="26"/>
      <c r="BL740" s="26"/>
      <c r="BM740" s="26"/>
      <c r="BO740" s="37">
        <f t="shared" si="72"/>
        <v>2</v>
      </c>
      <c r="BP740" s="56">
        <f t="shared" si="73"/>
        <v>0</v>
      </c>
      <c r="BQ740" s="56">
        <f t="shared" si="74"/>
        <v>0</v>
      </c>
      <c r="BR740" s="57">
        <f t="shared" si="75"/>
        <v>0</v>
      </c>
      <c r="BS740" s="38"/>
      <c r="BT740" s="38"/>
      <c r="BU740" s="26"/>
      <c r="BV740" s="26"/>
      <c r="BW740" s="39">
        <f t="shared" si="76"/>
        <v>2</v>
      </c>
      <c r="BX740" s="78">
        <v>1</v>
      </c>
      <c r="BY740" s="63">
        <v>8</v>
      </c>
    </row>
    <row r="741" spans="1:81" ht="16" x14ac:dyDescent="0.2">
      <c r="A741" s="109" t="s">
        <v>348</v>
      </c>
      <c r="B741" s="26">
        <v>39</v>
      </c>
      <c r="C741" s="109" t="s">
        <v>217</v>
      </c>
      <c r="D741" s="26">
        <v>4</v>
      </c>
      <c r="E741" s="26">
        <v>2</v>
      </c>
      <c r="F741" s="26">
        <v>2</v>
      </c>
      <c r="G741" s="26" t="s">
        <v>51</v>
      </c>
      <c r="H741" s="26">
        <v>4</v>
      </c>
      <c r="I741" s="26" t="s">
        <v>51</v>
      </c>
      <c r="J741" s="26" t="s">
        <v>42</v>
      </c>
      <c r="K741" s="26"/>
      <c r="L741" s="26">
        <v>5</v>
      </c>
      <c r="M741" s="40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 t="s">
        <v>39</v>
      </c>
      <c r="AP741" s="36">
        <v>1</v>
      </c>
      <c r="AQ741" s="36"/>
      <c r="AR741" s="36"/>
      <c r="AS741" s="36"/>
      <c r="AT741" s="36"/>
      <c r="AU741" s="36"/>
      <c r="AV741" s="36"/>
      <c r="AW741" s="36"/>
      <c r="AX741" s="36"/>
      <c r="AY741" s="36"/>
      <c r="AZ741" s="36"/>
      <c r="BA741" s="36" t="s">
        <v>39</v>
      </c>
      <c r="BB741" s="36">
        <v>1</v>
      </c>
      <c r="BC741" s="36"/>
      <c r="BD741" s="36"/>
      <c r="BE741" s="26"/>
      <c r="BF741" s="26"/>
      <c r="BG741" s="37"/>
      <c r="BH741" s="26"/>
      <c r="BI741" s="26">
        <v>2</v>
      </c>
      <c r="BJ741" s="26"/>
      <c r="BK741" s="26"/>
      <c r="BL741" s="26"/>
      <c r="BM741" s="26"/>
      <c r="BO741" s="37">
        <f t="shared" ref="BO741" si="77">BG741+BI741+BU741</f>
        <v>2</v>
      </c>
      <c r="BP741" s="56">
        <f t="shared" ref="BP741" si="78">BH741+BJ741</f>
        <v>0</v>
      </c>
      <c r="BQ741" s="56">
        <f t="shared" ref="BQ741" si="79">BK741+BM741+BV741+BS741</f>
        <v>0</v>
      </c>
      <c r="BR741" s="57">
        <f t="shared" ref="BR741" si="80">BL741+BN741+BT741</f>
        <v>0</v>
      </c>
      <c r="BS741" s="38"/>
      <c r="BT741" s="38"/>
      <c r="BU741" s="26"/>
      <c r="BV741" s="26"/>
      <c r="BW741" s="39">
        <f t="shared" si="76"/>
        <v>2</v>
      </c>
      <c r="BX741" s="78">
        <v>1</v>
      </c>
      <c r="BY741" s="63">
        <v>8</v>
      </c>
    </row>
    <row r="742" spans="1:81" ht="16" x14ac:dyDescent="0.2">
      <c r="A742" s="109" t="s">
        <v>348</v>
      </c>
      <c r="B742" s="26">
        <v>39</v>
      </c>
      <c r="C742" s="109" t="s">
        <v>217</v>
      </c>
      <c r="D742" s="26">
        <v>9</v>
      </c>
      <c r="E742" s="26">
        <v>2</v>
      </c>
      <c r="F742" s="26">
        <v>2</v>
      </c>
      <c r="G742" s="26" t="s">
        <v>51</v>
      </c>
      <c r="H742" s="26">
        <v>4</v>
      </c>
      <c r="I742" s="26" t="s">
        <v>51</v>
      </c>
      <c r="J742" s="26" t="s">
        <v>42</v>
      </c>
      <c r="K742" s="26"/>
      <c r="L742" s="26">
        <v>5</v>
      </c>
      <c r="M742" s="40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 t="s">
        <v>39</v>
      </c>
      <c r="AF742" s="36">
        <f>14/15</f>
        <v>0.93333333333333335</v>
      </c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 t="s">
        <v>38</v>
      </c>
      <c r="AR742" s="36">
        <f>14/15</f>
        <v>0.93333333333333335</v>
      </c>
      <c r="AS742" s="36"/>
      <c r="AT742" s="36"/>
      <c r="AU742" s="36"/>
      <c r="AV742" s="36"/>
      <c r="AW742" s="36"/>
      <c r="AX742" s="36"/>
      <c r="AY742" s="36"/>
      <c r="AZ742" s="36"/>
      <c r="BA742" s="36"/>
      <c r="BB742" s="36"/>
      <c r="BC742" s="36" t="s">
        <v>39</v>
      </c>
      <c r="BD742" s="36">
        <f>11/15</f>
        <v>0.73333333333333328</v>
      </c>
      <c r="BE742" s="26"/>
      <c r="BF742" s="26"/>
      <c r="BG742" s="37">
        <v>1</v>
      </c>
      <c r="BH742" s="26"/>
      <c r="BI742" s="26">
        <v>2</v>
      </c>
      <c r="BJ742" s="26"/>
      <c r="BK742" s="26"/>
      <c r="BL742" s="26"/>
      <c r="BM742" s="26"/>
      <c r="BO742" s="37">
        <f t="shared" ref="BO742:BO773" si="81">BG742+BI742+BU742</f>
        <v>3</v>
      </c>
      <c r="BP742" s="56">
        <f t="shared" ref="BP742:BP773" si="82">BH742+BJ742</f>
        <v>0</v>
      </c>
      <c r="BQ742" s="56">
        <f t="shared" ref="BQ742:BQ773" si="83">BK742+BM742+BV742+BS742</f>
        <v>0</v>
      </c>
      <c r="BR742" s="57">
        <f t="shared" ref="BR742:BR773" si="84">BL742+BN742+BT742</f>
        <v>0</v>
      </c>
      <c r="BS742" s="38"/>
      <c r="BT742" s="38"/>
      <c r="BU742" s="26"/>
      <c r="BV742" s="26"/>
      <c r="BW742" s="39">
        <f t="shared" ref="BW742:BW773" si="85">SUM(BO742:BR742)</f>
        <v>3</v>
      </c>
      <c r="BX742" s="78">
        <v>1</v>
      </c>
      <c r="BY742" s="63">
        <v>8</v>
      </c>
    </row>
    <row r="743" spans="1:81" ht="16" x14ac:dyDescent="0.2">
      <c r="A743" s="109" t="s">
        <v>348</v>
      </c>
      <c r="B743" s="26">
        <v>39</v>
      </c>
      <c r="C743" s="109" t="s">
        <v>217</v>
      </c>
      <c r="D743" s="26">
        <v>11</v>
      </c>
      <c r="E743" s="26">
        <v>2</v>
      </c>
      <c r="F743" s="26">
        <v>2</v>
      </c>
      <c r="G743" s="26" t="s">
        <v>51</v>
      </c>
      <c r="H743" s="26">
        <v>4</v>
      </c>
      <c r="I743" s="26" t="s">
        <v>51</v>
      </c>
      <c r="J743" s="26" t="s">
        <v>42</v>
      </c>
      <c r="K743" s="26"/>
      <c r="L743" s="26">
        <v>5</v>
      </c>
      <c r="M743" s="40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 t="s">
        <v>40</v>
      </c>
      <c r="AJ743" s="36">
        <f>13/15</f>
        <v>0.8666666666666667</v>
      </c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26"/>
      <c r="BF743" s="26"/>
      <c r="BG743" s="37"/>
      <c r="BH743" s="26"/>
      <c r="BI743" s="26"/>
      <c r="BJ743" s="26"/>
      <c r="BK743" s="26"/>
      <c r="BL743" s="26"/>
      <c r="BM743" s="26">
        <v>1</v>
      </c>
      <c r="BN743" s="26"/>
      <c r="BO743" s="37">
        <f t="shared" si="81"/>
        <v>0</v>
      </c>
      <c r="BP743" s="56">
        <f t="shared" si="82"/>
        <v>0</v>
      </c>
      <c r="BQ743" s="56">
        <f t="shared" si="83"/>
        <v>1</v>
      </c>
      <c r="BR743" s="57">
        <f t="shared" si="84"/>
        <v>0</v>
      </c>
      <c r="BS743" s="38"/>
      <c r="BT743" s="38"/>
      <c r="BU743" s="26"/>
      <c r="BV743" s="26"/>
      <c r="BW743" s="39">
        <f t="shared" si="85"/>
        <v>1</v>
      </c>
      <c r="BX743" s="78">
        <v>4</v>
      </c>
      <c r="BY743" s="63">
        <v>8</v>
      </c>
      <c r="CC743" s="7"/>
    </row>
    <row r="744" spans="1:81" x14ac:dyDescent="0.2">
      <c r="A744" s="109" t="s">
        <v>349</v>
      </c>
      <c r="B744" s="26">
        <v>38</v>
      </c>
      <c r="C744" s="109" t="s">
        <v>218</v>
      </c>
      <c r="D744" s="38">
        <v>1</v>
      </c>
      <c r="E744" s="38">
        <v>2</v>
      </c>
      <c r="F744" s="38">
        <v>2</v>
      </c>
      <c r="G744" s="38" t="s">
        <v>51</v>
      </c>
      <c r="H744" s="38">
        <v>4</v>
      </c>
      <c r="I744" s="38" t="s">
        <v>51</v>
      </c>
      <c r="J744" s="38"/>
      <c r="K744" s="26" t="s">
        <v>47</v>
      </c>
      <c r="L744" s="38">
        <v>7</v>
      </c>
      <c r="M744" s="40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8"/>
      <c r="BF744" s="38"/>
      <c r="BG744" s="39"/>
      <c r="BH744" s="38"/>
      <c r="BI744" s="38"/>
      <c r="BJ744" s="38"/>
      <c r="BK744" s="38"/>
      <c r="BL744" s="38"/>
      <c r="BM744" s="38"/>
      <c r="BN744" s="38"/>
      <c r="BO744" s="39">
        <f t="shared" si="81"/>
        <v>0</v>
      </c>
      <c r="BP744" s="58">
        <f t="shared" si="82"/>
        <v>0</v>
      </c>
      <c r="BQ744" s="56">
        <f t="shared" si="83"/>
        <v>0</v>
      </c>
      <c r="BR744" s="57">
        <f t="shared" si="84"/>
        <v>0</v>
      </c>
      <c r="BS744" s="38"/>
      <c r="BT744" s="38"/>
      <c r="BU744" s="26"/>
      <c r="BV744" s="26"/>
      <c r="BW744" s="39">
        <f t="shared" si="85"/>
        <v>0</v>
      </c>
      <c r="BX744" s="78">
        <v>0</v>
      </c>
      <c r="BY744" s="63">
        <v>3</v>
      </c>
      <c r="BZ744" s="7"/>
      <c r="CA744" s="8"/>
      <c r="CB744" s="7"/>
      <c r="CC744" s="7"/>
    </row>
    <row r="745" spans="1:81" ht="16" x14ac:dyDescent="0.2">
      <c r="A745" s="109" t="s">
        <v>349</v>
      </c>
      <c r="B745" s="26">
        <v>38</v>
      </c>
      <c r="C745" s="109" t="s">
        <v>218</v>
      </c>
      <c r="D745" s="38">
        <v>3</v>
      </c>
      <c r="E745" s="38">
        <v>2</v>
      </c>
      <c r="F745" s="38">
        <v>2</v>
      </c>
      <c r="G745" s="38" t="s">
        <v>51</v>
      </c>
      <c r="H745" s="38">
        <v>4</v>
      </c>
      <c r="I745" s="38" t="s">
        <v>51</v>
      </c>
      <c r="J745" s="38" t="s">
        <v>65</v>
      </c>
      <c r="K745" s="38"/>
      <c r="L745" s="38">
        <v>5</v>
      </c>
      <c r="M745" s="40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 t="s">
        <v>38</v>
      </c>
      <c r="AR745" s="36">
        <f>17.5/16</f>
        <v>1.09375</v>
      </c>
      <c r="AS745" s="36"/>
      <c r="AT745" s="36"/>
      <c r="AU745" s="36"/>
      <c r="AV745" s="36"/>
      <c r="AW745" s="36"/>
      <c r="AX745" s="36"/>
      <c r="AY745" s="36"/>
      <c r="AZ745" s="36"/>
      <c r="BA745" s="36" t="s">
        <v>39</v>
      </c>
      <c r="BB745" s="36">
        <f>14.5/16</f>
        <v>0.90625</v>
      </c>
      <c r="BC745" s="36"/>
      <c r="BD745" s="36"/>
      <c r="BE745" s="38"/>
      <c r="BF745" s="38"/>
      <c r="BG745" s="39">
        <v>1</v>
      </c>
      <c r="BH745" s="38"/>
      <c r="BI745" s="38">
        <v>1</v>
      </c>
      <c r="BJ745" s="38"/>
      <c r="BK745" s="38"/>
      <c r="BL745" s="38"/>
      <c r="BM745" s="38"/>
      <c r="BN745" s="38"/>
      <c r="BO745" s="37">
        <f t="shared" si="81"/>
        <v>2</v>
      </c>
      <c r="BP745" s="56">
        <f t="shared" si="82"/>
        <v>0</v>
      </c>
      <c r="BQ745" s="56">
        <f t="shared" si="83"/>
        <v>0</v>
      </c>
      <c r="BR745" s="57">
        <f t="shared" si="84"/>
        <v>0</v>
      </c>
      <c r="BS745" s="38"/>
      <c r="BT745" s="38"/>
      <c r="BU745" s="26"/>
      <c r="BV745" s="26"/>
      <c r="BW745" s="39">
        <f t="shared" si="85"/>
        <v>2</v>
      </c>
      <c r="BX745" s="78">
        <v>1</v>
      </c>
      <c r="BY745" s="63">
        <v>11</v>
      </c>
      <c r="BZ745" s="7"/>
      <c r="CA745" s="8"/>
      <c r="CB745" s="7"/>
      <c r="CC745" s="7"/>
    </row>
    <row r="746" spans="1:81" ht="16" x14ac:dyDescent="0.2">
      <c r="A746" s="109" t="s">
        <v>349</v>
      </c>
      <c r="B746" s="26">
        <v>38</v>
      </c>
      <c r="C746" s="109" t="s">
        <v>218</v>
      </c>
      <c r="D746" s="38">
        <v>4</v>
      </c>
      <c r="E746" s="38">
        <v>2</v>
      </c>
      <c r="F746" s="38">
        <v>3</v>
      </c>
      <c r="G746" s="38" t="s">
        <v>50</v>
      </c>
      <c r="H746" s="38">
        <v>5</v>
      </c>
      <c r="I746" s="38" t="s">
        <v>51</v>
      </c>
      <c r="J746" s="38" t="s">
        <v>42</v>
      </c>
      <c r="K746" s="38"/>
      <c r="L746" s="38">
        <v>6</v>
      </c>
      <c r="M746" s="40"/>
      <c r="N746" s="36"/>
      <c r="O746" s="36" t="s">
        <v>40</v>
      </c>
      <c r="P746" s="36">
        <f>13/16</f>
        <v>0.8125</v>
      </c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 t="s">
        <v>38</v>
      </c>
      <c r="AL746" s="36">
        <f>17/16</f>
        <v>1.0625</v>
      </c>
      <c r="AM746" s="36"/>
      <c r="AN746" s="36"/>
      <c r="AO746" s="36"/>
      <c r="AP746" s="36"/>
      <c r="AQ746" s="36" t="s">
        <v>39</v>
      </c>
      <c r="AR746" s="36">
        <f>13.5/16</f>
        <v>0.84375</v>
      </c>
      <c r="AS746" s="36"/>
      <c r="AT746" s="36"/>
      <c r="AU746" s="36"/>
      <c r="AV746" s="36"/>
      <c r="AW746" s="36"/>
      <c r="AX746" s="36"/>
      <c r="AY746" s="36"/>
      <c r="AZ746" s="36"/>
      <c r="BA746" s="36"/>
      <c r="BB746" s="36"/>
      <c r="BC746" s="36" t="s">
        <v>39</v>
      </c>
      <c r="BD746" s="36">
        <f>12.5/16</f>
        <v>0.78125</v>
      </c>
      <c r="BE746" s="38"/>
      <c r="BF746" s="38"/>
      <c r="BG746" s="39">
        <v>1</v>
      </c>
      <c r="BH746" s="38"/>
      <c r="BI746" s="38">
        <v>2</v>
      </c>
      <c r="BJ746" s="38"/>
      <c r="BK746" s="38"/>
      <c r="BL746" s="38"/>
      <c r="BM746" s="38">
        <v>1</v>
      </c>
      <c r="BN746" s="38"/>
      <c r="BO746" s="37">
        <f t="shared" si="81"/>
        <v>3</v>
      </c>
      <c r="BP746" s="56">
        <f t="shared" si="82"/>
        <v>0</v>
      </c>
      <c r="BQ746" s="56">
        <f t="shared" si="83"/>
        <v>1</v>
      </c>
      <c r="BR746" s="57">
        <f t="shared" si="84"/>
        <v>0</v>
      </c>
      <c r="BS746" s="38"/>
      <c r="BT746" s="38"/>
      <c r="BU746" s="26"/>
      <c r="BV746" s="26"/>
      <c r="BW746" s="39">
        <f t="shared" si="85"/>
        <v>4</v>
      </c>
      <c r="BX746" s="78">
        <v>2</v>
      </c>
      <c r="BY746" s="63">
        <v>8</v>
      </c>
      <c r="BZ746" s="7"/>
      <c r="CA746" s="8"/>
      <c r="CB746" s="7"/>
      <c r="CC746" s="7"/>
    </row>
    <row r="747" spans="1:81" ht="16" x14ac:dyDescent="0.2">
      <c r="A747" s="109" t="s">
        <v>349</v>
      </c>
      <c r="B747" s="26">
        <v>38</v>
      </c>
      <c r="C747" s="109" t="s">
        <v>218</v>
      </c>
      <c r="D747" s="38">
        <v>5</v>
      </c>
      <c r="E747" s="38">
        <v>2</v>
      </c>
      <c r="F747" s="38">
        <v>2</v>
      </c>
      <c r="G747" s="38" t="s">
        <v>51</v>
      </c>
      <c r="H747" s="38">
        <v>4</v>
      </c>
      <c r="I747" s="38" t="s">
        <v>51</v>
      </c>
      <c r="J747" s="38" t="s">
        <v>65</v>
      </c>
      <c r="K747" s="38"/>
      <c r="L747" s="38">
        <v>5</v>
      </c>
      <c r="M747" s="40"/>
      <c r="N747" s="36"/>
      <c r="O747" s="36"/>
      <c r="P747" s="36"/>
      <c r="Q747" s="36" t="s">
        <v>40</v>
      </c>
      <c r="R747" s="36">
        <f>8/16</f>
        <v>0.5</v>
      </c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8"/>
      <c r="BF747" s="38"/>
      <c r="BG747" s="39"/>
      <c r="BH747" s="38"/>
      <c r="BI747" s="38"/>
      <c r="BJ747" s="38"/>
      <c r="BK747" s="38"/>
      <c r="BL747" s="38"/>
      <c r="BM747" s="38"/>
      <c r="BN747" s="38">
        <v>1</v>
      </c>
      <c r="BO747" s="37">
        <f t="shared" si="81"/>
        <v>0</v>
      </c>
      <c r="BP747" s="56">
        <f t="shared" si="82"/>
        <v>0</v>
      </c>
      <c r="BQ747" s="56">
        <f t="shared" si="83"/>
        <v>0</v>
      </c>
      <c r="BR747" s="57">
        <f t="shared" si="84"/>
        <v>1</v>
      </c>
      <c r="BS747" s="38"/>
      <c r="BT747" s="38"/>
      <c r="BU747" s="26"/>
      <c r="BV747" s="26"/>
      <c r="BW747" s="39">
        <f t="shared" si="85"/>
        <v>1</v>
      </c>
      <c r="BX747" s="78">
        <v>4</v>
      </c>
      <c r="BY747" s="63">
        <v>11</v>
      </c>
      <c r="BZ747" s="7"/>
      <c r="CA747" s="8"/>
      <c r="CB747" s="7"/>
      <c r="CC747" s="7"/>
    </row>
    <row r="748" spans="1:81" ht="16" x14ac:dyDescent="0.2">
      <c r="A748" s="109" t="s">
        <v>349</v>
      </c>
      <c r="B748" s="26">
        <v>38</v>
      </c>
      <c r="C748" s="109" t="s">
        <v>218</v>
      </c>
      <c r="D748" s="38">
        <v>6</v>
      </c>
      <c r="E748" s="38">
        <v>2</v>
      </c>
      <c r="F748" s="38">
        <v>3</v>
      </c>
      <c r="G748" s="38" t="s">
        <v>50</v>
      </c>
      <c r="H748" s="38">
        <v>5</v>
      </c>
      <c r="I748" s="38" t="s">
        <v>51</v>
      </c>
      <c r="J748" s="38" t="s">
        <v>42</v>
      </c>
      <c r="K748" s="38"/>
      <c r="L748" s="38">
        <v>6</v>
      </c>
      <c r="M748" s="40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  <c r="AW748" s="36" t="s">
        <v>38</v>
      </c>
      <c r="AX748" s="36">
        <f>14.5/16</f>
        <v>0.90625</v>
      </c>
      <c r="AY748" s="36"/>
      <c r="AZ748" s="36"/>
      <c r="BA748" s="36"/>
      <c r="BB748" s="36"/>
      <c r="BC748" s="36"/>
      <c r="BD748" s="36"/>
      <c r="BE748" s="38"/>
      <c r="BF748" s="38"/>
      <c r="BG748" s="39">
        <v>1</v>
      </c>
      <c r="BH748" s="38"/>
      <c r="BI748" s="38"/>
      <c r="BJ748" s="38"/>
      <c r="BK748" s="38"/>
      <c r="BL748" s="38"/>
      <c r="BM748" s="38"/>
      <c r="BN748" s="38"/>
      <c r="BO748" s="37">
        <f t="shared" si="81"/>
        <v>1</v>
      </c>
      <c r="BP748" s="56">
        <f t="shared" si="82"/>
        <v>0</v>
      </c>
      <c r="BQ748" s="56">
        <f t="shared" si="83"/>
        <v>0</v>
      </c>
      <c r="BR748" s="57">
        <f t="shared" si="84"/>
        <v>0</v>
      </c>
      <c r="BS748" s="38"/>
      <c r="BT748" s="38"/>
      <c r="BU748" s="26"/>
      <c r="BV748" s="26"/>
      <c r="BW748" s="39">
        <f t="shared" si="85"/>
        <v>1</v>
      </c>
      <c r="BX748" s="78">
        <v>1</v>
      </c>
      <c r="BY748" s="63">
        <v>8</v>
      </c>
      <c r="BZ748" s="7"/>
      <c r="CA748" s="8"/>
      <c r="CB748" s="7"/>
      <c r="CC748" s="7"/>
    </row>
    <row r="749" spans="1:81" x14ac:dyDescent="0.2">
      <c r="A749" s="109" t="s">
        <v>349</v>
      </c>
      <c r="B749" s="26">
        <v>38</v>
      </c>
      <c r="C749" s="109" t="s">
        <v>218</v>
      </c>
      <c r="D749" s="38">
        <v>7</v>
      </c>
      <c r="E749" s="38">
        <v>2</v>
      </c>
      <c r="F749" s="38">
        <v>2</v>
      </c>
      <c r="G749" s="38" t="s">
        <v>51</v>
      </c>
      <c r="H749" s="38">
        <v>4</v>
      </c>
      <c r="I749" s="38" t="s">
        <v>51</v>
      </c>
      <c r="J749" s="38" t="s">
        <v>41</v>
      </c>
      <c r="K749" s="38"/>
      <c r="L749" s="38">
        <v>6</v>
      </c>
      <c r="M749" s="40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8"/>
      <c r="BF749" s="38"/>
      <c r="BG749" s="39"/>
      <c r="BH749" s="38"/>
      <c r="BI749" s="38"/>
      <c r="BJ749" s="38"/>
      <c r="BK749" s="38"/>
      <c r="BL749" s="38"/>
      <c r="BM749" s="38"/>
      <c r="BN749" s="38"/>
      <c r="BO749" s="37">
        <f t="shared" si="81"/>
        <v>0</v>
      </c>
      <c r="BP749" s="56">
        <f t="shared" si="82"/>
        <v>0</v>
      </c>
      <c r="BQ749" s="56">
        <f t="shared" si="83"/>
        <v>0</v>
      </c>
      <c r="BR749" s="57">
        <f t="shared" si="84"/>
        <v>0</v>
      </c>
      <c r="BS749" s="38"/>
      <c r="BT749" s="38"/>
      <c r="BU749" s="26"/>
      <c r="BV749" s="26"/>
      <c r="BW749" s="39">
        <f t="shared" si="85"/>
        <v>0</v>
      </c>
      <c r="BX749" s="78">
        <v>0</v>
      </c>
      <c r="BY749" s="63">
        <v>10</v>
      </c>
      <c r="BZ749" s="7"/>
      <c r="CA749" s="8"/>
      <c r="CB749" s="7"/>
      <c r="CC749" s="7"/>
    </row>
    <row r="750" spans="1:81" x14ac:dyDescent="0.2">
      <c r="A750" s="109" t="s">
        <v>349</v>
      </c>
      <c r="B750" s="26">
        <v>38</v>
      </c>
      <c r="C750" s="109" t="s">
        <v>218</v>
      </c>
      <c r="D750" s="38">
        <v>8</v>
      </c>
      <c r="E750" s="38">
        <v>2</v>
      </c>
      <c r="F750" s="38">
        <v>2</v>
      </c>
      <c r="G750" s="38" t="s">
        <v>51</v>
      </c>
      <c r="H750" s="38">
        <v>4</v>
      </c>
      <c r="I750" s="38" t="s">
        <v>51</v>
      </c>
      <c r="J750" s="38" t="s">
        <v>65</v>
      </c>
      <c r="K750" s="38"/>
      <c r="L750" s="38">
        <v>5</v>
      </c>
      <c r="M750" s="40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8"/>
      <c r="BF750" s="38"/>
      <c r="BG750" s="39"/>
      <c r="BH750" s="38"/>
      <c r="BI750" s="38"/>
      <c r="BJ750" s="38"/>
      <c r="BK750" s="38"/>
      <c r="BL750" s="38"/>
      <c r="BM750" s="38"/>
      <c r="BO750" s="37">
        <f t="shared" si="81"/>
        <v>0</v>
      </c>
      <c r="BP750" s="56">
        <f t="shared" si="82"/>
        <v>0</v>
      </c>
      <c r="BQ750" s="56">
        <f t="shared" si="83"/>
        <v>0</v>
      </c>
      <c r="BR750" s="57">
        <f t="shared" si="84"/>
        <v>0</v>
      </c>
      <c r="BS750" s="38"/>
      <c r="BT750" s="38"/>
      <c r="BU750" s="26"/>
      <c r="BV750" s="26"/>
      <c r="BW750" s="39">
        <f t="shared" si="85"/>
        <v>0</v>
      </c>
      <c r="BX750" s="78">
        <v>0</v>
      </c>
      <c r="BY750" s="63">
        <v>11</v>
      </c>
    </row>
    <row r="751" spans="1:81" x14ac:dyDescent="0.2">
      <c r="A751" s="109" t="s">
        <v>350</v>
      </c>
      <c r="B751" s="26">
        <v>32</v>
      </c>
      <c r="C751" s="112" t="s">
        <v>219</v>
      </c>
      <c r="D751" s="38">
        <v>1</v>
      </c>
      <c r="E751" s="38">
        <v>2</v>
      </c>
      <c r="F751" s="38">
        <v>2</v>
      </c>
      <c r="G751" s="38" t="s">
        <v>51</v>
      </c>
      <c r="H751" s="38">
        <v>4</v>
      </c>
      <c r="I751" s="38" t="s">
        <v>51</v>
      </c>
      <c r="J751" s="38" t="s">
        <v>65</v>
      </c>
      <c r="K751" s="38"/>
      <c r="L751" s="38">
        <v>5</v>
      </c>
      <c r="M751" s="40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8"/>
      <c r="BF751" s="38"/>
      <c r="BG751" s="43"/>
      <c r="BO751" s="37">
        <f t="shared" si="81"/>
        <v>0</v>
      </c>
      <c r="BP751" s="56">
        <f t="shared" si="82"/>
        <v>0</v>
      </c>
      <c r="BQ751" s="56">
        <f t="shared" si="83"/>
        <v>0</v>
      </c>
      <c r="BR751" s="57">
        <f t="shared" si="84"/>
        <v>0</v>
      </c>
      <c r="BS751" s="38"/>
      <c r="BT751" s="38"/>
      <c r="BU751" s="26"/>
      <c r="BV751" s="26"/>
      <c r="BW751" s="39">
        <f t="shared" si="85"/>
        <v>0</v>
      </c>
      <c r="BX751" s="78">
        <v>0</v>
      </c>
      <c r="BY751" s="63">
        <v>11</v>
      </c>
      <c r="BZ751" s="7"/>
      <c r="CA751" s="8"/>
      <c r="CB751" s="7"/>
      <c r="CC751" s="7"/>
    </row>
    <row r="752" spans="1:81" x14ac:dyDescent="0.2">
      <c r="A752" s="109" t="s">
        <v>350</v>
      </c>
      <c r="B752" s="26">
        <v>32</v>
      </c>
      <c r="C752" s="112" t="s">
        <v>219</v>
      </c>
      <c r="D752" s="38">
        <v>2</v>
      </c>
      <c r="E752" s="38">
        <v>2</v>
      </c>
      <c r="F752" s="38">
        <v>2</v>
      </c>
      <c r="G752" s="38" t="s">
        <v>51</v>
      </c>
      <c r="H752" s="38">
        <v>4</v>
      </c>
      <c r="I752" s="38" t="s">
        <v>51</v>
      </c>
      <c r="J752" s="38" t="s">
        <v>65</v>
      </c>
      <c r="K752" s="38"/>
      <c r="L752" s="38">
        <v>5</v>
      </c>
      <c r="M752" s="40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8"/>
      <c r="BF752" s="38"/>
      <c r="BG752" s="43"/>
      <c r="BO752" s="37">
        <f t="shared" si="81"/>
        <v>0</v>
      </c>
      <c r="BP752" s="56">
        <f t="shared" si="82"/>
        <v>0</v>
      </c>
      <c r="BQ752" s="56">
        <f t="shared" si="83"/>
        <v>0</v>
      </c>
      <c r="BR752" s="57">
        <f t="shared" si="84"/>
        <v>0</v>
      </c>
      <c r="BS752" s="38"/>
      <c r="BT752" s="38"/>
      <c r="BU752" s="26"/>
      <c r="BV752" s="26"/>
      <c r="BW752" s="39">
        <f t="shared" si="85"/>
        <v>0</v>
      </c>
      <c r="BX752" s="78">
        <v>0</v>
      </c>
      <c r="BY752" s="63">
        <v>11</v>
      </c>
      <c r="BZ752" s="7"/>
      <c r="CA752" s="19"/>
      <c r="CB752" s="7"/>
      <c r="CC752" s="7"/>
    </row>
    <row r="753" spans="1:81" x14ac:dyDescent="0.2">
      <c r="A753" s="109" t="s">
        <v>351</v>
      </c>
      <c r="B753" s="26">
        <v>36</v>
      </c>
      <c r="C753" s="109" t="s">
        <v>220</v>
      </c>
      <c r="D753" s="26">
        <v>1</v>
      </c>
      <c r="E753" s="26">
        <v>2</v>
      </c>
      <c r="F753" s="26">
        <v>2</v>
      </c>
      <c r="G753" s="26" t="s">
        <v>51</v>
      </c>
      <c r="H753" s="26">
        <v>4</v>
      </c>
      <c r="I753" s="26" t="s">
        <v>51</v>
      </c>
      <c r="J753" s="26" t="s">
        <v>41</v>
      </c>
      <c r="K753" s="26"/>
      <c r="L753" s="26">
        <v>5</v>
      </c>
      <c r="M753" s="40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G753" s="37"/>
      <c r="BH753" s="26"/>
      <c r="BI753" s="26"/>
      <c r="BJ753" s="26"/>
      <c r="BK753" s="26"/>
      <c r="BL753" s="26"/>
      <c r="BM753" s="26"/>
      <c r="BN753" s="26"/>
      <c r="BO753" s="39">
        <f t="shared" si="81"/>
        <v>0</v>
      </c>
      <c r="BP753" s="58">
        <f t="shared" si="82"/>
        <v>0</v>
      </c>
      <c r="BQ753" s="56">
        <f t="shared" si="83"/>
        <v>0</v>
      </c>
      <c r="BR753" s="57">
        <f t="shared" si="84"/>
        <v>0</v>
      </c>
      <c r="BS753" s="38"/>
      <c r="BT753" s="38"/>
      <c r="BU753" s="26"/>
      <c r="BV753" s="26"/>
      <c r="BW753" s="39">
        <f t="shared" si="85"/>
        <v>0</v>
      </c>
      <c r="BX753" s="78">
        <v>0</v>
      </c>
      <c r="BY753" s="63">
        <v>10</v>
      </c>
      <c r="BZ753" s="7"/>
      <c r="CA753" s="8"/>
      <c r="CB753" s="7"/>
      <c r="CC753" s="7"/>
    </row>
    <row r="754" spans="1:81" ht="16" x14ac:dyDescent="0.2">
      <c r="A754" s="109" t="s">
        <v>351</v>
      </c>
      <c r="B754" s="26">
        <v>36</v>
      </c>
      <c r="C754" s="109" t="s">
        <v>220</v>
      </c>
      <c r="D754" s="26">
        <v>3</v>
      </c>
      <c r="E754" s="26">
        <v>2</v>
      </c>
      <c r="F754" s="26">
        <v>2</v>
      </c>
      <c r="G754" s="26" t="s">
        <v>51</v>
      </c>
      <c r="H754" s="26">
        <v>4</v>
      </c>
      <c r="I754" s="26" t="s">
        <v>51</v>
      </c>
      <c r="J754" s="26" t="s">
        <v>60</v>
      </c>
      <c r="K754" s="26"/>
      <c r="L754" s="26">
        <v>7</v>
      </c>
      <c r="M754" s="40" t="s">
        <v>61</v>
      </c>
      <c r="N754" s="36">
        <v>1.8</v>
      </c>
      <c r="O754" s="36"/>
      <c r="P754" s="36"/>
      <c r="Q754" s="36"/>
      <c r="R754" s="36"/>
      <c r="S754" s="36" t="s">
        <v>38</v>
      </c>
      <c r="T754" s="36">
        <v>1.36</v>
      </c>
      <c r="U754" s="36"/>
      <c r="V754" s="36"/>
      <c r="W754" s="36"/>
      <c r="X754" s="36"/>
      <c r="Y754" s="36" t="s">
        <v>39</v>
      </c>
      <c r="Z754" s="36">
        <v>0.44</v>
      </c>
      <c r="AA754" s="36" t="s">
        <v>39</v>
      </c>
      <c r="AB754" s="36">
        <v>0.46</v>
      </c>
      <c r="AC754" s="36"/>
      <c r="AD754" s="36"/>
      <c r="AE754" s="36" t="s">
        <v>39</v>
      </c>
      <c r="AF754" s="36">
        <v>0.46</v>
      </c>
      <c r="AG754" s="36" t="s">
        <v>39</v>
      </c>
      <c r="AH754" s="36">
        <v>0.46</v>
      </c>
      <c r="AI754" s="36" t="s">
        <v>38</v>
      </c>
      <c r="AJ754" s="36">
        <v>0.3</v>
      </c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 t="s">
        <v>39</v>
      </c>
      <c r="AV754" s="36">
        <v>0.56000000000000005</v>
      </c>
      <c r="AW754" s="36"/>
      <c r="AX754" s="36"/>
      <c r="AY754" s="36"/>
      <c r="AZ754" s="36"/>
      <c r="BA754" s="36"/>
      <c r="BB754" s="36"/>
      <c r="BC754" s="36"/>
      <c r="BD754" s="36"/>
      <c r="BG754" s="39">
        <v>1</v>
      </c>
      <c r="BH754" s="38">
        <v>1</v>
      </c>
      <c r="BI754" s="38"/>
      <c r="BJ754" s="38">
        <v>5</v>
      </c>
      <c r="BK754" s="38"/>
      <c r="BL754" s="38"/>
      <c r="BM754" s="38"/>
      <c r="BN754" s="38"/>
      <c r="BO754" s="39">
        <f t="shared" si="81"/>
        <v>1</v>
      </c>
      <c r="BP754" s="58">
        <f t="shared" si="82"/>
        <v>6</v>
      </c>
      <c r="BQ754" s="58">
        <f t="shared" si="83"/>
        <v>1</v>
      </c>
      <c r="BR754" s="59">
        <f t="shared" si="84"/>
        <v>0</v>
      </c>
      <c r="BS754" s="38">
        <v>1</v>
      </c>
      <c r="BT754" s="38"/>
      <c r="BU754" s="26"/>
      <c r="BV754" s="26"/>
      <c r="BW754" s="39">
        <f t="shared" si="85"/>
        <v>8</v>
      </c>
      <c r="BX754" s="78">
        <v>2</v>
      </c>
      <c r="BY754" s="63">
        <v>7</v>
      </c>
      <c r="BZ754" s="7"/>
      <c r="CA754" s="8"/>
      <c r="CB754" s="7"/>
      <c r="CC754" s="7"/>
    </row>
    <row r="755" spans="1:81" x14ac:dyDescent="0.2">
      <c r="A755" s="109" t="s">
        <v>351</v>
      </c>
      <c r="B755" s="26">
        <v>36</v>
      </c>
      <c r="C755" s="109" t="s">
        <v>220</v>
      </c>
      <c r="D755" s="26">
        <v>5</v>
      </c>
      <c r="E755" s="26">
        <v>2</v>
      </c>
      <c r="F755" s="26">
        <v>2</v>
      </c>
      <c r="G755" s="26" t="s">
        <v>51</v>
      </c>
      <c r="H755" s="26">
        <v>4</v>
      </c>
      <c r="I755" s="26" t="s">
        <v>51</v>
      </c>
      <c r="J755" s="26" t="s">
        <v>42</v>
      </c>
      <c r="K755" s="26"/>
      <c r="L755" s="26">
        <v>6</v>
      </c>
      <c r="M755" s="40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G755" s="39"/>
      <c r="BH755" s="38"/>
      <c r="BI755" s="38"/>
      <c r="BJ755" s="38"/>
      <c r="BK755" s="38"/>
      <c r="BL755" s="38"/>
      <c r="BM755" s="38"/>
      <c r="BN755" s="38"/>
      <c r="BO755" s="39">
        <f t="shared" si="81"/>
        <v>0</v>
      </c>
      <c r="BP755" s="58">
        <f t="shared" si="82"/>
        <v>0</v>
      </c>
      <c r="BQ755" s="56">
        <f t="shared" si="83"/>
        <v>0</v>
      </c>
      <c r="BR755" s="57">
        <f t="shared" si="84"/>
        <v>0</v>
      </c>
      <c r="BS755" s="38"/>
      <c r="BT755" s="38"/>
      <c r="BU755" s="26"/>
      <c r="BV755" s="26"/>
      <c r="BW755" s="39">
        <f t="shared" si="85"/>
        <v>0</v>
      </c>
      <c r="BX755" s="78">
        <v>0</v>
      </c>
      <c r="BY755" s="63">
        <v>8</v>
      </c>
      <c r="BZ755" s="7"/>
      <c r="CA755" s="8"/>
      <c r="CB755" s="7"/>
      <c r="CC755" s="7"/>
    </row>
    <row r="756" spans="1:81" ht="16" x14ac:dyDescent="0.2">
      <c r="A756" s="109" t="s">
        <v>351</v>
      </c>
      <c r="B756" s="26">
        <v>36</v>
      </c>
      <c r="C756" s="109" t="s">
        <v>220</v>
      </c>
      <c r="D756" s="26">
        <v>6</v>
      </c>
      <c r="E756" s="26">
        <v>2</v>
      </c>
      <c r="F756" s="26">
        <v>2</v>
      </c>
      <c r="G756" s="26" t="s">
        <v>51</v>
      </c>
      <c r="H756" s="26">
        <v>4</v>
      </c>
      <c r="I756" s="26" t="s">
        <v>51</v>
      </c>
      <c r="J756" s="26" t="s">
        <v>41</v>
      </c>
      <c r="K756" s="26"/>
      <c r="L756" s="26">
        <v>5</v>
      </c>
      <c r="M756" s="40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 t="s">
        <v>39</v>
      </c>
      <c r="AR756" s="36">
        <v>1</v>
      </c>
      <c r="AS756" s="36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 t="s">
        <v>38</v>
      </c>
      <c r="BD756" s="36">
        <v>1</v>
      </c>
      <c r="BG756" s="39">
        <v>1</v>
      </c>
      <c r="BH756" s="38"/>
      <c r="BI756" s="38">
        <v>1</v>
      </c>
      <c r="BJ756" s="38"/>
      <c r="BK756" s="38"/>
      <c r="BL756" s="38"/>
      <c r="BM756" s="38"/>
      <c r="BN756" s="38"/>
      <c r="BO756" s="39">
        <f t="shared" si="81"/>
        <v>2</v>
      </c>
      <c r="BP756" s="58">
        <f t="shared" si="82"/>
        <v>0</v>
      </c>
      <c r="BQ756" s="56">
        <f t="shared" si="83"/>
        <v>0</v>
      </c>
      <c r="BR756" s="57">
        <f t="shared" si="84"/>
        <v>0</v>
      </c>
      <c r="BS756" s="38"/>
      <c r="BT756" s="38"/>
      <c r="BU756" s="26"/>
      <c r="BV756" s="26"/>
      <c r="BW756" s="39">
        <f t="shared" si="85"/>
        <v>2</v>
      </c>
      <c r="BX756" s="78">
        <v>1</v>
      </c>
      <c r="BY756" s="63">
        <v>10</v>
      </c>
      <c r="BZ756" s="7"/>
      <c r="CA756" s="8"/>
      <c r="CB756" s="7"/>
      <c r="CC756" s="7"/>
    </row>
    <row r="757" spans="1:81" ht="16" x14ac:dyDescent="0.2">
      <c r="A757" s="109" t="s">
        <v>352</v>
      </c>
      <c r="B757" s="26">
        <v>31</v>
      </c>
      <c r="C757" s="109" t="s">
        <v>221</v>
      </c>
      <c r="D757" s="38">
        <v>1</v>
      </c>
      <c r="E757" s="38">
        <v>2</v>
      </c>
      <c r="F757" s="38" t="s">
        <v>53</v>
      </c>
      <c r="G757" s="38" t="s">
        <v>50</v>
      </c>
      <c r="H757" s="38"/>
      <c r="I757" s="38"/>
      <c r="J757" s="38"/>
      <c r="K757" s="38">
        <v>12</v>
      </c>
      <c r="L757" s="38">
        <v>6</v>
      </c>
      <c r="M757" s="40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  <c r="AW757" s="36" t="s">
        <v>55</v>
      </c>
      <c r="AX757" s="36">
        <f>10/16</f>
        <v>0.625</v>
      </c>
      <c r="AY757" s="36"/>
      <c r="AZ757" s="36"/>
      <c r="BA757" s="36"/>
      <c r="BB757" s="36"/>
      <c r="BC757" s="36"/>
      <c r="BD757" s="36"/>
      <c r="BE757" s="38"/>
      <c r="BF757" s="38"/>
      <c r="BG757" s="37"/>
      <c r="BH757" s="26"/>
      <c r="BI757" s="26"/>
      <c r="BJ757" s="26"/>
      <c r="BK757" s="26"/>
      <c r="BL757" s="26">
        <v>1</v>
      </c>
      <c r="BM757" s="26"/>
      <c r="BN757" s="26"/>
      <c r="BO757" s="37">
        <f t="shared" si="81"/>
        <v>0</v>
      </c>
      <c r="BP757" s="56">
        <f t="shared" si="82"/>
        <v>0</v>
      </c>
      <c r="BQ757" s="56">
        <f t="shared" si="83"/>
        <v>0</v>
      </c>
      <c r="BR757" s="57">
        <f t="shared" si="84"/>
        <v>1</v>
      </c>
      <c r="BS757" s="38"/>
      <c r="BT757" s="38"/>
      <c r="BU757" s="26"/>
      <c r="BV757" s="26"/>
      <c r="BW757" s="39">
        <f t="shared" si="85"/>
        <v>1</v>
      </c>
      <c r="BX757" s="78">
        <v>4</v>
      </c>
      <c r="BY757" s="63">
        <v>2</v>
      </c>
      <c r="BZ757" s="7"/>
      <c r="CA757" s="8"/>
      <c r="CB757" s="7"/>
      <c r="CC757" s="7"/>
    </row>
    <row r="758" spans="1:81" ht="16" x14ac:dyDescent="0.2">
      <c r="A758" s="109" t="s">
        <v>352</v>
      </c>
      <c r="B758" s="26">
        <v>31</v>
      </c>
      <c r="C758" s="109" t="s">
        <v>221</v>
      </c>
      <c r="D758" s="38">
        <v>2</v>
      </c>
      <c r="E758" s="38">
        <v>2</v>
      </c>
      <c r="F758" s="38">
        <v>2</v>
      </c>
      <c r="G758" s="38" t="s">
        <v>51</v>
      </c>
      <c r="H758" s="38">
        <v>4</v>
      </c>
      <c r="I758" s="38" t="s">
        <v>51</v>
      </c>
      <c r="J758" s="38" t="s">
        <v>65</v>
      </c>
      <c r="K758" s="38"/>
      <c r="L758" s="38">
        <v>5</v>
      </c>
      <c r="M758" s="40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 t="s">
        <v>43</v>
      </c>
      <c r="AN758" s="36">
        <f>6/16</f>
        <v>0.375</v>
      </c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8"/>
      <c r="BF758" s="38"/>
      <c r="BG758" s="37"/>
      <c r="BH758" s="26"/>
      <c r="BI758" s="26"/>
      <c r="BJ758" s="26"/>
      <c r="BK758" s="26"/>
      <c r="BL758" s="26"/>
      <c r="BM758" s="26"/>
      <c r="BN758" s="26"/>
      <c r="BO758" s="37">
        <f t="shared" si="81"/>
        <v>0</v>
      </c>
      <c r="BP758" s="56">
        <f t="shared" si="82"/>
        <v>0</v>
      </c>
      <c r="BQ758" s="56">
        <f t="shared" si="83"/>
        <v>1</v>
      </c>
      <c r="BR758" s="57">
        <f t="shared" si="84"/>
        <v>0</v>
      </c>
      <c r="BS758" s="38">
        <v>1</v>
      </c>
      <c r="BT758" s="38"/>
      <c r="BU758" s="26"/>
      <c r="BV758" s="26"/>
      <c r="BW758" s="39">
        <f t="shared" si="85"/>
        <v>1</v>
      </c>
      <c r="BX758" s="78">
        <v>4</v>
      </c>
      <c r="BY758" s="63">
        <v>11</v>
      </c>
      <c r="BZ758" s="7"/>
      <c r="CA758" s="8"/>
      <c r="CB758" s="7"/>
      <c r="CC758" s="7"/>
    </row>
    <row r="759" spans="1:81" ht="16" x14ac:dyDescent="0.2">
      <c r="A759" s="109" t="s">
        <v>352</v>
      </c>
      <c r="B759" s="26">
        <v>31</v>
      </c>
      <c r="C759" s="109" t="s">
        <v>221</v>
      </c>
      <c r="D759" s="38">
        <v>4</v>
      </c>
      <c r="E759" s="38">
        <v>2</v>
      </c>
      <c r="F759" s="38">
        <v>2</v>
      </c>
      <c r="G759" s="38" t="s">
        <v>51</v>
      </c>
      <c r="H759" s="38">
        <v>4</v>
      </c>
      <c r="I759" s="38" t="s">
        <v>51</v>
      </c>
      <c r="J759" s="38" t="s">
        <v>42</v>
      </c>
      <c r="K759" s="38"/>
      <c r="L759" s="38">
        <v>5</v>
      </c>
      <c r="M759" s="40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  <c r="AW759" s="36" t="s">
        <v>38</v>
      </c>
      <c r="AX759" s="36">
        <f>7/16</f>
        <v>0.4375</v>
      </c>
      <c r="AY759" s="36"/>
      <c r="AZ759" s="36"/>
      <c r="BA759" s="36"/>
      <c r="BB759" s="36"/>
      <c r="BC759" s="36"/>
      <c r="BD759" s="36"/>
      <c r="BE759" s="38"/>
      <c r="BF759" s="38"/>
      <c r="BG759" s="43"/>
      <c r="BH759" s="41">
        <v>1</v>
      </c>
      <c r="BO759" s="37">
        <f t="shared" si="81"/>
        <v>0</v>
      </c>
      <c r="BP759" s="56">
        <f t="shared" si="82"/>
        <v>1</v>
      </c>
      <c r="BQ759" s="56">
        <f t="shared" si="83"/>
        <v>0</v>
      </c>
      <c r="BR759" s="57">
        <f t="shared" si="84"/>
        <v>0</v>
      </c>
      <c r="BS759" s="38"/>
      <c r="BT759" s="38"/>
      <c r="BU759" s="26"/>
      <c r="BV759" s="26"/>
      <c r="BW759" s="39">
        <f t="shared" si="85"/>
        <v>1</v>
      </c>
      <c r="BX759" s="78">
        <v>3</v>
      </c>
      <c r="BY759" s="63">
        <v>8</v>
      </c>
      <c r="BZ759" s="7"/>
      <c r="CA759" s="8"/>
      <c r="CB759" s="7"/>
      <c r="CC759" s="7"/>
    </row>
    <row r="760" spans="1:81" ht="16" x14ac:dyDescent="0.2">
      <c r="A760" s="109" t="s">
        <v>352</v>
      </c>
      <c r="B760" s="26">
        <v>31</v>
      </c>
      <c r="C760" s="109" t="s">
        <v>221</v>
      </c>
      <c r="D760" s="38">
        <v>5</v>
      </c>
      <c r="E760" s="38">
        <v>2</v>
      </c>
      <c r="F760" s="38">
        <v>3</v>
      </c>
      <c r="G760" s="38" t="s">
        <v>50</v>
      </c>
      <c r="H760" s="38">
        <v>4</v>
      </c>
      <c r="I760" s="38" t="s">
        <v>51</v>
      </c>
      <c r="J760" s="38"/>
      <c r="K760" s="38">
        <v>6</v>
      </c>
      <c r="L760" s="38">
        <v>6</v>
      </c>
      <c r="M760" s="40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 t="s">
        <v>48</v>
      </c>
      <c r="Z760" s="36">
        <f>10/16</f>
        <v>0.625</v>
      </c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 t="s">
        <v>38</v>
      </c>
      <c r="AT760" s="36">
        <f>6.5/16</f>
        <v>0.40625</v>
      </c>
      <c r="AU760" s="36"/>
      <c r="AV760" s="36"/>
      <c r="AW760" s="36" t="s">
        <v>38</v>
      </c>
      <c r="AX760" s="36">
        <f>6/16</f>
        <v>0.375</v>
      </c>
      <c r="AY760" s="36"/>
      <c r="AZ760" s="36"/>
      <c r="BA760" s="36"/>
      <c r="BB760" s="36"/>
      <c r="BC760" s="36"/>
      <c r="BD760" s="36"/>
      <c r="BE760" s="38"/>
      <c r="BF760" s="38"/>
      <c r="BG760" s="43"/>
      <c r="BH760" s="41">
        <v>2</v>
      </c>
      <c r="BL760" s="41">
        <v>1</v>
      </c>
      <c r="BO760" s="37">
        <f t="shared" si="81"/>
        <v>0</v>
      </c>
      <c r="BP760" s="56">
        <f t="shared" si="82"/>
        <v>2</v>
      </c>
      <c r="BQ760" s="56">
        <f t="shared" si="83"/>
        <v>0</v>
      </c>
      <c r="BR760" s="57">
        <f t="shared" si="84"/>
        <v>1</v>
      </c>
      <c r="BS760" s="38"/>
      <c r="BT760" s="38"/>
      <c r="BU760" s="26"/>
      <c r="BV760" s="26"/>
      <c r="BW760" s="39">
        <f t="shared" si="85"/>
        <v>3</v>
      </c>
      <c r="BX760" s="78">
        <v>4</v>
      </c>
      <c r="BY760" s="63">
        <v>1</v>
      </c>
      <c r="BZ760" s="7"/>
      <c r="CA760" s="8"/>
      <c r="CB760" s="7"/>
      <c r="CC760" s="7"/>
    </row>
    <row r="761" spans="1:81" ht="16" x14ac:dyDescent="0.2">
      <c r="A761" s="109" t="s">
        <v>352</v>
      </c>
      <c r="B761" s="26">
        <v>31</v>
      </c>
      <c r="C761" s="109" t="s">
        <v>221</v>
      </c>
      <c r="D761" s="38">
        <v>6</v>
      </c>
      <c r="E761" s="38">
        <v>2</v>
      </c>
      <c r="F761" s="38">
        <v>3</v>
      </c>
      <c r="G761" s="38" t="s">
        <v>50</v>
      </c>
      <c r="H761" s="38">
        <v>4</v>
      </c>
      <c r="I761" s="38" t="s">
        <v>51</v>
      </c>
      <c r="J761" s="38"/>
      <c r="K761" s="38" t="s">
        <v>63</v>
      </c>
      <c r="L761" s="38">
        <v>6</v>
      </c>
      <c r="M761" s="40"/>
      <c r="N761" s="36"/>
      <c r="O761" s="36"/>
      <c r="P761" s="36"/>
      <c r="Q761" s="36" t="s">
        <v>38</v>
      </c>
      <c r="R761" s="36">
        <f>7/16</f>
        <v>0.4375</v>
      </c>
      <c r="S761" s="36"/>
      <c r="T761" s="36"/>
      <c r="U761" s="36"/>
      <c r="V761" s="36"/>
      <c r="W761" s="36" t="s">
        <v>38</v>
      </c>
      <c r="X761" s="36">
        <f>6.5/16</f>
        <v>0.40625</v>
      </c>
      <c r="Y761" s="36" t="s">
        <v>38</v>
      </c>
      <c r="Z761" s="36">
        <f>6.5/16</f>
        <v>0.40625</v>
      </c>
      <c r="AA761" s="36" t="s">
        <v>39</v>
      </c>
      <c r="AB761" s="36">
        <f>16.5/16</f>
        <v>1.03125</v>
      </c>
      <c r="AC761" s="36"/>
      <c r="AD761" s="36"/>
      <c r="AE761" s="36" t="s">
        <v>39</v>
      </c>
      <c r="AF761" s="36">
        <f>12/16</f>
        <v>0.75</v>
      </c>
      <c r="AG761" s="36"/>
      <c r="AH761" s="36"/>
      <c r="AI761" s="36"/>
      <c r="AJ761" s="36"/>
      <c r="AK761" s="36"/>
      <c r="AL761" s="36"/>
      <c r="AM761" s="36"/>
      <c r="AN761" s="36"/>
      <c r="AO761" s="36" t="s">
        <v>39</v>
      </c>
      <c r="AP761" s="36">
        <f>7/16</f>
        <v>0.4375</v>
      </c>
      <c r="AQ761" s="36"/>
      <c r="AR761" s="36"/>
      <c r="AS761" s="36"/>
      <c r="AT761" s="36"/>
      <c r="AU761" s="36" t="s">
        <v>39</v>
      </c>
      <c r="AV761" s="36">
        <f>8/16</f>
        <v>0.5</v>
      </c>
      <c r="AW761" s="36"/>
      <c r="AX761" s="36"/>
      <c r="AY761" s="36" t="s">
        <v>38</v>
      </c>
      <c r="AZ761" s="36">
        <f>7/16</f>
        <v>0.4375</v>
      </c>
      <c r="BA761" s="36" t="s">
        <v>39</v>
      </c>
      <c r="BB761" s="36">
        <f>7/16</f>
        <v>0.4375</v>
      </c>
      <c r="BC761" s="36"/>
      <c r="BD761" s="36"/>
      <c r="BE761" s="38" t="s">
        <v>39</v>
      </c>
      <c r="BF761" s="38" t="s">
        <v>46</v>
      </c>
      <c r="BG761" s="43"/>
      <c r="BH761" s="41">
        <v>4</v>
      </c>
      <c r="BI761" s="41">
        <v>2</v>
      </c>
      <c r="BJ761" s="41">
        <v>3</v>
      </c>
      <c r="BO761" s="37">
        <f t="shared" si="81"/>
        <v>3</v>
      </c>
      <c r="BP761" s="56">
        <f t="shared" si="82"/>
        <v>7</v>
      </c>
      <c r="BQ761" s="56">
        <f t="shared" si="83"/>
        <v>0</v>
      </c>
      <c r="BR761" s="57">
        <f t="shared" si="84"/>
        <v>0</v>
      </c>
      <c r="BS761" s="38"/>
      <c r="BT761" s="38"/>
      <c r="BU761" s="26">
        <v>1</v>
      </c>
      <c r="BV761" s="26"/>
      <c r="BW761" s="39">
        <f t="shared" si="85"/>
        <v>10</v>
      </c>
      <c r="BX761" s="78">
        <v>2</v>
      </c>
      <c r="BY761" s="63">
        <v>2</v>
      </c>
      <c r="BZ761" s="7"/>
      <c r="CA761" s="8"/>
      <c r="CB761" s="7"/>
      <c r="CC761" s="7"/>
    </row>
    <row r="762" spans="1:81" ht="16" x14ac:dyDescent="0.2">
      <c r="A762" s="109" t="s">
        <v>352</v>
      </c>
      <c r="B762" s="26">
        <v>31</v>
      </c>
      <c r="C762" s="109" t="s">
        <v>221</v>
      </c>
      <c r="D762" s="38">
        <v>7</v>
      </c>
      <c r="E762" s="38">
        <v>2</v>
      </c>
      <c r="F762" s="38">
        <v>2</v>
      </c>
      <c r="G762" s="38" t="s">
        <v>51</v>
      </c>
      <c r="H762" s="38">
        <v>5</v>
      </c>
      <c r="I762" s="38" t="s">
        <v>56</v>
      </c>
      <c r="J762" s="38" t="s">
        <v>60</v>
      </c>
      <c r="K762" s="38"/>
      <c r="L762" s="38">
        <v>6</v>
      </c>
      <c r="M762" s="40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 t="s">
        <v>39</v>
      </c>
      <c r="AB762" s="36">
        <f>16/16</f>
        <v>1</v>
      </c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 t="s">
        <v>38</v>
      </c>
      <c r="AT762" s="36">
        <f>13/16</f>
        <v>0.8125</v>
      </c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8"/>
      <c r="BF762" s="38"/>
      <c r="BG762" s="43">
        <v>1</v>
      </c>
      <c r="BI762" s="41">
        <v>1</v>
      </c>
      <c r="BO762" s="37">
        <f t="shared" si="81"/>
        <v>2</v>
      </c>
      <c r="BP762" s="56">
        <f t="shared" si="82"/>
        <v>0</v>
      </c>
      <c r="BQ762" s="56">
        <f t="shared" si="83"/>
        <v>0</v>
      </c>
      <c r="BR762" s="57">
        <f t="shared" si="84"/>
        <v>0</v>
      </c>
      <c r="BS762" s="38"/>
      <c r="BT762" s="38"/>
      <c r="BU762" s="26"/>
      <c r="BV762" s="26"/>
      <c r="BW762" s="39">
        <f t="shared" si="85"/>
        <v>2</v>
      </c>
      <c r="BX762" s="78">
        <v>1</v>
      </c>
      <c r="BY762" s="63">
        <v>7</v>
      </c>
      <c r="BZ762" s="7"/>
      <c r="CA762" s="8"/>
      <c r="CB762" s="7"/>
      <c r="CC762" s="7"/>
    </row>
    <row r="763" spans="1:81" ht="16" x14ac:dyDescent="0.2">
      <c r="A763" s="109" t="s">
        <v>352</v>
      </c>
      <c r="B763" s="26">
        <v>31</v>
      </c>
      <c r="C763" s="109" t="s">
        <v>221</v>
      </c>
      <c r="D763" s="38">
        <v>8</v>
      </c>
      <c r="E763" s="38">
        <v>2</v>
      </c>
      <c r="F763" s="38">
        <v>2</v>
      </c>
      <c r="G763" s="38" t="s">
        <v>51</v>
      </c>
      <c r="H763" s="38">
        <v>4</v>
      </c>
      <c r="I763" s="38" t="s">
        <v>51</v>
      </c>
      <c r="J763" s="38" t="s">
        <v>41</v>
      </c>
      <c r="K763" s="38"/>
      <c r="L763" s="38">
        <v>6</v>
      </c>
      <c r="M763" s="40"/>
      <c r="N763" s="36"/>
      <c r="O763" s="36"/>
      <c r="P763" s="36"/>
      <c r="Q763" s="36" t="s">
        <v>61</v>
      </c>
      <c r="R763" s="36">
        <v>0.625</v>
      </c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8"/>
      <c r="BF763" s="38"/>
      <c r="BG763" s="43"/>
      <c r="BO763" s="37">
        <f t="shared" si="81"/>
        <v>0</v>
      </c>
      <c r="BP763" s="56">
        <f t="shared" si="82"/>
        <v>0</v>
      </c>
      <c r="BQ763" s="56">
        <f t="shared" si="83"/>
        <v>1</v>
      </c>
      <c r="BR763" s="57">
        <f t="shared" si="84"/>
        <v>0</v>
      </c>
      <c r="BS763" s="38">
        <v>1</v>
      </c>
      <c r="BT763" s="38"/>
      <c r="BU763" s="26"/>
      <c r="BV763" s="26"/>
      <c r="BW763" s="39">
        <f t="shared" si="85"/>
        <v>1</v>
      </c>
      <c r="BX763" s="78">
        <v>4</v>
      </c>
      <c r="BY763" s="63">
        <v>10</v>
      </c>
      <c r="BZ763" s="7"/>
      <c r="CA763" s="19"/>
      <c r="CB763" s="7"/>
      <c r="CC763" s="7"/>
    </row>
    <row r="764" spans="1:81" x14ac:dyDescent="0.2">
      <c r="A764" s="109" t="s">
        <v>352</v>
      </c>
      <c r="B764" s="26">
        <v>31</v>
      </c>
      <c r="C764" s="109" t="s">
        <v>221</v>
      </c>
      <c r="D764" s="38">
        <v>9</v>
      </c>
      <c r="E764" s="38">
        <v>2</v>
      </c>
      <c r="F764" s="38">
        <v>2</v>
      </c>
      <c r="G764" s="38" t="s">
        <v>51</v>
      </c>
      <c r="H764" s="38">
        <v>4</v>
      </c>
      <c r="I764" s="38" t="s">
        <v>51</v>
      </c>
      <c r="J764" s="38" t="s">
        <v>65</v>
      </c>
      <c r="K764" s="38"/>
      <c r="L764" s="38">
        <v>5</v>
      </c>
      <c r="M764" s="40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8"/>
      <c r="BF764" s="38"/>
      <c r="BG764" s="43"/>
      <c r="BO764" s="37">
        <f t="shared" si="81"/>
        <v>0</v>
      </c>
      <c r="BP764" s="56">
        <f t="shared" si="82"/>
        <v>0</v>
      </c>
      <c r="BQ764" s="56">
        <f t="shared" si="83"/>
        <v>0</v>
      </c>
      <c r="BR764" s="57">
        <f t="shared" si="84"/>
        <v>0</v>
      </c>
      <c r="BS764" s="38"/>
      <c r="BT764" s="38"/>
      <c r="BU764" s="26"/>
      <c r="BV764" s="26"/>
      <c r="BW764" s="39">
        <f t="shared" si="85"/>
        <v>0</v>
      </c>
      <c r="BX764" s="78">
        <v>0</v>
      </c>
      <c r="BY764" s="63">
        <v>11</v>
      </c>
      <c r="BZ764" s="7"/>
      <c r="CA764" s="19"/>
      <c r="CB764" s="7"/>
      <c r="CC764" s="7"/>
    </row>
    <row r="765" spans="1:81" ht="16" x14ac:dyDescent="0.2">
      <c r="A765" s="109" t="s">
        <v>352</v>
      </c>
      <c r="B765" s="38">
        <v>31</v>
      </c>
      <c r="C765" s="109" t="s">
        <v>222</v>
      </c>
      <c r="D765" s="38">
        <v>1</v>
      </c>
      <c r="E765" s="38">
        <v>2</v>
      </c>
      <c r="F765" s="38">
        <v>3</v>
      </c>
      <c r="G765" s="38" t="s">
        <v>50</v>
      </c>
      <c r="H765" s="38">
        <v>6</v>
      </c>
      <c r="I765" s="38" t="s">
        <v>51</v>
      </c>
      <c r="J765" s="38" t="s">
        <v>42</v>
      </c>
      <c r="K765" s="38"/>
      <c r="L765" s="38">
        <v>5</v>
      </c>
      <c r="M765" s="40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 t="s">
        <v>39</v>
      </c>
      <c r="AR765" s="36">
        <f>8/8</f>
        <v>1</v>
      </c>
      <c r="AS765" s="36" t="s">
        <v>39</v>
      </c>
      <c r="AT765" s="36">
        <f>2.5/8</f>
        <v>0.3125</v>
      </c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8"/>
      <c r="BF765" s="38"/>
      <c r="BG765" s="37"/>
      <c r="BH765" s="26"/>
      <c r="BI765" s="26">
        <v>1</v>
      </c>
      <c r="BJ765" s="26">
        <v>1</v>
      </c>
      <c r="BK765" s="26"/>
      <c r="BL765" s="26"/>
      <c r="BM765" s="26"/>
      <c r="BN765" s="26"/>
      <c r="BO765" s="37">
        <f t="shared" si="81"/>
        <v>1</v>
      </c>
      <c r="BP765" s="56">
        <f t="shared" si="82"/>
        <v>1</v>
      </c>
      <c r="BQ765" s="56">
        <f t="shared" si="83"/>
        <v>0</v>
      </c>
      <c r="BR765" s="57">
        <f t="shared" si="84"/>
        <v>0</v>
      </c>
      <c r="BS765" s="38"/>
      <c r="BT765" s="38"/>
      <c r="BU765" s="26"/>
      <c r="BV765" s="26"/>
      <c r="BW765" s="39">
        <f t="shared" si="85"/>
        <v>2</v>
      </c>
      <c r="BX765" s="78">
        <v>2</v>
      </c>
      <c r="BY765" s="63">
        <v>8</v>
      </c>
      <c r="BZ765" s="7"/>
      <c r="CA765" s="8"/>
      <c r="CB765" s="7"/>
      <c r="CC765" s="7"/>
    </row>
    <row r="766" spans="1:81" x14ac:dyDescent="0.2">
      <c r="A766" s="109" t="s">
        <v>352</v>
      </c>
      <c r="B766" s="38">
        <v>31</v>
      </c>
      <c r="C766" s="109" t="s">
        <v>222</v>
      </c>
      <c r="D766" s="38">
        <v>2</v>
      </c>
      <c r="E766" s="38">
        <v>2</v>
      </c>
      <c r="F766" s="38">
        <v>2</v>
      </c>
      <c r="G766" s="38" t="s">
        <v>51</v>
      </c>
      <c r="H766" s="38">
        <v>4</v>
      </c>
      <c r="I766" s="38" t="s">
        <v>51</v>
      </c>
      <c r="J766" s="38" t="s">
        <v>65</v>
      </c>
      <c r="K766" s="38"/>
      <c r="L766" s="38">
        <v>5</v>
      </c>
      <c r="M766" s="40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8"/>
      <c r="BF766" s="38"/>
      <c r="BG766" s="37"/>
      <c r="BH766" s="26"/>
      <c r="BI766" s="26"/>
      <c r="BJ766" s="26"/>
      <c r="BK766" s="26"/>
      <c r="BL766" s="26"/>
      <c r="BM766" s="26"/>
      <c r="BN766" s="26"/>
      <c r="BO766" s="37">
        <f t="shared" si="81"/>
        <v>0</v>
      </c>
      <c r="BP766" s="56">
        <f t="shared" si="82"/>
        <v>0</v>
      </c>
      <c r="BQ766" s="56">
        <f t="shared" si="83"/>
        <v>0</v>
      </c>
      <c r="BR766" s="57">
        <f t="shared" si="84"/>
        <v>0</v>
      </c>
      <c r="BS766" s="38"/>
      <c r="BT766" s="38"/>
      <c r="BU766" s="26"/>
      <c r="BV766" s="26"/>
      <c r="BW766" s="39">
        <f t="shared" si="85"/>
        <v>0</v>
      </c>
      <c r="BX766" s="78">
        <v>0</v>
      </c>
      <c r="BY766" s="63">
        <v>11</v>
      </c>
      <c r="BZ766" s="7"/>
      <c r="CA766" s="8"/>
      <c r="CB766" s="7"/>
      <c r="CC766" s="7"/>
    </row>
    <row r="767" spans="1:81" ht="16" x14ac:dyDescent="0.2">
      <c r="A767" s="109" t="s">
        <v>352</v>
      </c>
      <c r="B767" s="38">
        <v>31</v>
      </c>
      <c r="C767" s="109" t="s">
        <v>222</v>
      </c>
      <c r="D767" s="38">
        <v>3</v>
      </c>
      <c r="E767" s="38">
        <v>2</v>
      </c>
      <c r="F767" s="38">
        <v>2</v>
      </c>
      <c r="G767" s="38" t="s">
        <v>51</v>
      </c>
      <c r="H767" s="38">
        <v>4</v>
      </c>
      <c r="I767" s="38" t="s">
        <v>51</v>
      </c>
      <c r="J767" s="38"/>
      <c r="K767" s="38" t="s">
        <v>63</v>
      </c>
      <c r="L767" s="38">
        <v>6</v>
      </c>
      <c r="M767" s="40" t="s">
        <v>39</v>
      </c>
      <c r="N767" s="36">
        <f>5/6</f>
        <v>0.83333333333333337</v>
      </c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 t="s">
        <v>39</v>
      </c>
      <c r="AB767" s="36">
        <f>5.5/6</f>
        <v>0.91666666666666663</v>
      </c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8"/>
      <c r="BF767" s="38"/>
      <c r="BG767" s="37"/>
      <c r="BH767" s="26"/>
      <c r="BI767" s="26">
        <v>2</v>
      </c>
      <c r="BJ767" s="26"/>
      <c r="BK767" s="26"/>
      <c r="BL767" s="26"/>
      <c r="BM767" s="26"/>
      <c r="BN767" s="26"/>
      <c r="BO767" s="37">
        <f t="shared" si="81"/>
        <v>2</v>
      </c>
      <c r="BP767" s="56">
        <f t="shared" si="82"/>
        <v>0</v>
      </c>
      <c r="BQ767" s="56">
        <f t="shared" si="83"/>
        <v>0</v>
      </c>
      <c r="BR767" s="57">
        <f t="shared" si="84"/>
        <v>0</v>
      </c>
      <c r="BS767" s="38"/>
      <c r="BT767" s="38"/>
      <c r="BU767" s="26"/>
      <c r="BV767" s="26"/>
      <c r="BW767" s="39">
        <f t="shared" si="85"/>
        <v>2</v>
      </c>
      <c r="BX767" s="78">
        <v>1</v>
      </c>
      <c r="BY767" s="63">
        <v>2</v>
      </c>
      <c r="BZ767" s="7"/>
      <c r="CA767" s="8"/>
      <c r="CB767" s="7"/>
      <c r="CC767" s="7"/>
    </row>
    <row r="768" spans="1:81" ht="16" x14ac:dyDescent="0.2">
      <c r="A768" s="109" t="s">
        <v>352</v>
      </c>
      <c r="B768" s="38">
        <v>31</v>
      </c>
      <c r="C768" s="109" t="s">
        <v>222</v>
      </c>
      <c r="D768" s="38">
        <v>4</v>
      </c>
      <c r="E768" s="38">
        <v>2</v>
      </c>
      <c r="F768" s="38">
        <v>2</v>
      </c>
      <c r="G768" s="38" t="s">
        <v>51</v>
      </c>
      <c r="H768" s="38">
        <v>4</v>
      </c>
      <c r="I768" s="38" t="s">
        <v>51</v>
      </c>
      <c r="J768" s="38" t="s">
        <v>41</v>
      </c>
      <c r="K768" s="38"/>
      <c r="L768" s="38">
        <v>5</v>
      </c>
      <c r="M768" s="40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  <c r="AW768" s="36"/>
      <c r="AX768" s="36"/>
      <c r="AY768" s="36"/>
      <c r="AZ768" s="36"/>
      <c r="BA768" s="36"/>
      <c r="BB768" s="36"/>
      <c r="BC768" s="36" t="s">
        <v>38</v>
      </c>
      <c r="BD768" s="36">
        <f>6/7</f>
        <v>0.8571428571428571</v>
      </c>
      <c r="BE768" s="38"/>
      <c r="BF768" s="38"/>
      <c r="BG768" s="37">
        <v>1</v>
      </c>
      <c r="BH768" s="26"/>
      <c r="BI768" s="26"/>
      <c r="BJ768" s="26"/>
      <c r="BK768" s="26"/>
      <c r="BL768" s="26"/>
      <c r="BM768" s="26"/>
      <c r="BN768" s="26"/>
      <c r="BO768" s="37">
        <f t="shared" si="81"/>
        <v>1</v>
      </c>
      <c r="BP768" s="56">
        <f t="shared" si="82"/>
        <v>0</v>
      </c>
      <c r="BQ768" s="56">
        <f t="shared" si="83"/>
        <v>0</v>
      </c>
      <c r="BR768" s="57">
        <f t="shared" si="84"/>
        <v>0</v>
      </c>
      <c r="BS768" s="38"/>
      <c r="BT768" s="38"/>
      <c r="BU768" s="26"/>
      <c r="BV768" s="26"/>
      <c r="BW768" s="39">
        <f t="shared" si="85"/>
        <v>1</v>
      </c>
      <c r="BX768" s="78">
        <v>1</v>
      </c>
      <c r="BY768" s="63">
        <v>10</v>
      </c>
      <c r="BZ768" s="7"/>
      <c r="CA768" s="8"/>
      <c r="CB768" s="7"/>
      <c r="CC768" s="7"/>
    </row>
    <row r="769" spans="1:81" ht="16" x14ac:dyDescent="0.2">
      <c r="A769" s="109" t="s">
        <v>352</v>
      </c>
      <c r="B769" s="38">
        <v>31</v>
      </c>
      <c r="C769" s="109" t="s">
        <v>222</v>
      </c>
      <c r="D769" s="38">
        <v>8</v>
      </c>
      <c r="E769" s="38">
        <v>2</v>
      </c>
      <c r="F769" s="38">
        <v>2</v>
      </c>
      <c r="G769" s="38" t="s">
        <v>51</v>
      </c>
      <c r="H769" s="38">
        <v>4</v>
      </c>
      <c r="I769" s="38" t="s">
        <v>51</v>
      </c>
      <c r="J769" s="38" t="s">
        <v>60</v>
      </c>
      <c r="K769" s="38"/>
      <c r="L769" s="38">
        <v>5</v>
      </c>
      <c r="M769" s="40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 t="s">
        <v>39</v>
      </c>
      <c r="AP769" s="36">
        <f>4/7</f>
        <v>0.5714285714285714</v>
      </c>
      <c r="AQ769" s="36"/>
      <c r="AR769" s="36"/>
      <c r="AS769" s="36"/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8"/>
      <c r="BF769" s="38"/>
      <c r="BG769" s="37"/>
      <c r="BH769" s="26"/>
      <c r="BI769" s="26"/>
      <c r="BJ769" s="26">
        <v>1</v>
      </c>
      <c r="BK769" s="26"/>
      <c r="BL769" s="26"/>
      <c r="BM769" s="26"/>
      <c r="BN769" s="26"/>
      <c r="BO769" s="37">
        <f t="shared" si="81"/>
        <v>0</v>
      </c>
      <c r="BP769" s="56">
        <f t="shared" si="82"/>
        <v>1</v>
      </c>
      <c r="BQ769" s="56">
        <f t="shared" si="83"/>
        <v>0</v>
      </c>
      <c r="BR769" s="57">
        <f t="shared" si="84"/>
        <v>0</v>
      </c>
      <c r="BS769" s="38"/>
      <c r="BT769" s="38"/>
      <c r="BU769" s="26"/>
      <c r="BV769" s="26"/>
      <c r="BW769" s="39">
        <f t="shared" si="85"/>
        <v>1</v>
      </c>
      <c r="BX769" s="78">
        <v>3</v>
      </c>
      <c r="BY769" s="63">
        <v>7</v>
      </c>
      <c r="BZ769" s="7"/>
      <c r="CA769" s="8"/>
      <c r="CB769" s="7"/>
      <c r="CC769" s="7"/>
    </row>
    <row r="770" spans="1:81" ht="16" x14ac:dyDescent="0.2">
      <c r="A770" s="109" t="s">
        <v>353</v>
      </c>
      <c r="B770" s="26">
        <v>35</v>
      </c>
      <c r="C770" s="106" t="s">
        <v>223</v>
      </c>
      <c r="D770" s="38">
        <v>3</v>
      </c>
      <c r="E770" s="38">
        <v>2</v>
      </c>
      <c r="F770" s="38">
        <v>2</v>
      </c>
      <c r="G770" s="38" t="s">
        <v>51</v>
      </c>
      <c r="H770" s="38">
        <v>4</v>
      </c>
      <c r="I770" s="38" t="s">
        <v>51</v>
      </c>
      <c r="J770" s="38"/>
      <c r="K770" s="38">
        <v>5</v>
      </c>
      <c r="L770" s="38">
        <v>6</v>
      </c>
      <c r="M770" s="40"/>
      <c r="N770" s="36"/>
      <c r="O770" s="36" t="s">
        <v>38</v>
      </c>
      <c r="P770" s="36">
        <f>12.5/16</f>
        <v>0.78125</v>
      </c>
      <c r="Q770" s="36"/>
      <c r="R770" s="36"/>
      <c r="S770" s="36" t="s">
        <v>38</v>
      </c>
      <c r="T770" s="36">
        <f>15.5/16</f>
        <v>0.96875</v>
      </c>
      <c r="U770" s="36"/>
      <c r="V770" s="36"/>
      <c r="W770" s="36" t="s">
        <v>39</v>
      </c>
      <c r="X770" s="36">
        <f>9.5/16</f>
        <v>0.59375</v>
      </c>
      <c r="Y770" s="36"/>
      <c r="Z770" s="36"/>
      <c r="AA770" s="36"/>
      <c r="AB770" s="36"/>
      <c r="AC770" s="36"/>
      <c r="AD770" s="36"/>
      <c r="AE770" s="36" t="s">
        <v>70</v>
      </c>
      <c r="AF770" s="36">
        <f>11.5/16</f>
        <v>0.71875</v>
      </c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 t="s">
        <v>39</v>
      </c>
      <c r="AR770" s="36">
        <f>8.5/16</f>
        <v>0.53125</v>
      </c>
      <c r="AS770" s="36" t="s">
        <v>38</v>
      </c>
      <c r="AT770" s="36">
        <f>5.5/16</f>
        <v>0.34375</v>
      </c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8"/>
      <c r="BF770" s="38"/>
      <c r="BG770" s="37">
        <v>2</v>
      </c>
      <c r="BH770" s="26">
        <v>1</v>
      </c>
      <c r="BI770" s="26"/>
      <c r="BJ770" s="26">
        <v>2</v>
      </c>
      <c r="BK770" s="26"/>
      <c r="BL770" s="26"/>
      <c r="BM770" s="26"/>
      <c r="BN770" s="26"/>
      <c r="BO770" s="37">
        <f t="shared" si="81"/>
        <v>2</v>
      </c>
      <c r="BP770" s="56">
        <f t="shared" si="82"/>
        <v>3</v>
      </c>
      <c r="BQ770" s="56">
        <f t="shared" si="83"/>
        <v>1</v>
      </c>
      <c r="BR770" s="57">
        <f t="shared" si="84"/>
        <v>0</v>
      </c>
      <c r="BS770" s="38">
        <v>1</v>
      </c>
      <c r="BT770" s="38"/>
      <c r="BU770" s="26"/>
      <c r="BV770" s="26"/>
      <c r="BW770" s="39">
        <f t="shared" si="85"/>
        <v>6</v>
      </c>
      <c r="BX770" s="78">
        <v>2</v>
      </c>
      <c r="BY770" s="63">
        <v>1</v>
      </c>
      <c r="CB770" s="7"/>
      <c r="CC770" s="7"/>
    </row>
    <row r="771" spans="1:81" ht="16" x14ac:dyDescent="0.2">
      <c r="A771" s="109" t="s">
        <v>353</v>
      </c>
      <c r="B771" s="26">
        <v>35</v>
      </c>
      <c r="C771" s="106" t="s">
        <v>223</v>
      </c>
      <c r="D771" s="38">
        <v>4</v>
      </c>
      <c r="E771" s="38">
        <v>2</v>
      </c>
      <c r="F771" s="38">
        <v>2</v>
      </c>
      <c r="G771" s="38" t="s">
        <v>51</v>
      </c>
      <c r="H771" s="38">
        <v>4</v>
      </c>
      <c r="I771" s="38" t="s">
        <v>51</v>
      </c>
      <c r="J771" s="38" t="s">
        <v>41</v>
      </c>
      <c r="K771" s="38"/>
      <c r="L771" s="38">
        <v>6</v>
      </c>
      <c r="M771" s="40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 t="s">
        <v>38</v>
      </c>
      <c r="AX771" s="36">
        <f>15.5/16</f>
        <v>0.96875</v>
      </c>
      <c r="AY771" s="36"/>
      <c r="AZ771" s="36"/>
      <c r="BA771" s="36"/>
      <c r="BB771" s="36"/>
      <c r="BC771" s="36"/>
      <c r="BD771" s="36"/>
      <c r="BE771" s="38"/>
      <c r="BF771" s="38"/>
      <c r="BG771" s="37">
        <v>1</v>
      </c>
      <c r="BH771" s="26"/>
      <c r="BI771" s="26"/>
      <c r="BJ771" s="26"/>
      <c r="BK771" s="26"/>
      <c r="BL771" s="26"/>
      <c r="BM771" s="26"/>
      <c r="BN771" s="26"/>
      <c r="BO771" s="37">
        <f t="shared" si="81"/>
        <v>1</v>
      </c>
      <c r="BP771" s="56">
        <f t="shared" si="82"/>
        <v>0</v>
      </c>
      <c r="BQ771" s="56">
        <f t="shared" si="83"/>
        <v>0</v>
      </c>
      <c r="BR771" s="57">
        <f t="shared" si="84"/>
        <v>0</v>
      </c>
      <c r="BS771" s="38"/>
      <c r="BT771" s="38"/>
      <c r="BU771" s="26"/>
      <c r="BV771" s="26"/>
      <c r="BW771" s="39">
        <f t="shared" si="85"/>
        <v>1</v>
      </c>
      <c r="BX771" s="78">
        <v>1</v>
      </c>
      <c r="BY771" s="63">
        <v>10</v>
      </c>
      <c r="CB771" s="7"/>
      <c r="CC771" s="7"/>
    </row>
    <row r="772" spans="1:81" ht="16" x14ac:dyDescent="0.2">
      <c r="A772" s="109" t="s">
        <v>353</v>
      </c>
      <c r="B772" s="26">
        <v>35</v>
      </c>
      <c r="C772" s="106" t="s">
        <v>223</v>
      </c>
      <c r="D772" s="38">
        <v>5</v>
      </c>
      <c r="E772" s="38">
        <v>2</v>
      </c>
      <c r="F772" s="38">
        <v>1</v>
      </c>
      <c r="G772" s="38" t="s">
        <v>54</v>
      </c>
      <c r="H772" s="38">
        <v>2</v>
      </c>
      <c r="I772" s="38" t="s">
        <v>51</v>
      </c>
      <c r="J772" s="38"/>
      <c r="K772" s="38">
        <v>6</v>
      </c>
      <c r="L772" s="38">
        <v>6</v>
      </c>
      <c r="M772" s="40" t="s">
        <v>39</v>
      </c>
      <c r="N772" s="36">
        <f>5.5/16</f>
        <v>0.34375</v>
      </c>
      <c r="O772" s="36"/>
      <c r="P772" s="36"/>
      <c r="Q772" s="36"/>
      <c r="R772" s="36"/>
      <c r="S772" s="36"/>
      <c r="T772" s="36"/>
      <c r="U772" s="36"/>
      <c r="V772" s="36"/>
      <c r="W772" s="36" t="s">
        <v>43</v>
      </c>
      <c r="X772" s="36">
        <f>6/16</f>
        <v>0.375</v>
      </c>
      <c r="Y772" s="36" t="s">
        <v>48</v>
      </c>
      <c r="Z772" s="36">
        <f>7.5/16</f>
        <v>0.46875</v>
      </c>
      <c r="AA772" s="36" t="s">
        <v>38</v>
      </c>
      <c r="AB772" s="36">
        <f>7.5/16</f>
        <v>0.46875</v>
      </c>
      <c r="AC772" s="36"/>
      <c r="AD772" s="36"/>
      <c r="AE772" s="36"/>
      <c r="AF772" s="36"/>
      <c r="AG772" s="36" t="s">
        <v>57</v>
      </c>
      <c r="AH772" s="36">
        <f>9/16</f>
        <v>0.5625</v>
      </c>
      <c r="AI772" s="36"/>
      <c r="AJ772" s="36"/>
      <c r="AK772" s="36"/>
      <c r="AL772" s="36"/>
      <c r="AM772" s="36"/>
      <c r="AN772" s="36"/>
      <c r="AO772" s="36"/>
      <c r="AP772" s="36"/>
      <c r="AQ772" s="36" t="s">
        <v>38</v>
      </c>
      <c r="AR772" s="36">
        <f>6.5/16</f>
        <v>0.40625</v>
      </c>
      <c r="AS772" s="36" t="s">
        <v>39</v>
      </c>
      <c r="AT772" s="36">
        <f>10/16</f>
        <v>0.625</v>
      </c>
      <c r="AU772" s="36" t="s">
        <v>39</v>
      </c>
      <c r="AV772" s="36">
        <f>8/16</f>
        <v>0.5</v>
      </c>
      <c r="AW772" s="36"/>
      <c r="AX772" s="36"/>
      <c r="AY772" s="36"/>
      <c r="AZ772" s="36"/>
      <c r="BA772" s="36" t="s">
        <v>39</v>
      </c>
      <c r="BB772" s="36">
        <f>13.5/16</f>
        <v>0.84375</v>
      </c>
      <c r="BC772" s="36"/>
      <c r="BD772" s="36"/>
      <c r="BE772" s="38"/>
      <c r="BF772" s="38"/>
      <c r="BG772" s="37"/>
      <c r="BH772" s="26">
        <v>2</v>
      </c>
      <c r="BI772" s="26">
        <v>1</v>
      </c>
      <c r="BJ772" s="26">
        <v>3</v>
      </c>
      <c r="BK772" s="26"/>
      <c r="BL772" s="26">
        <v>1</v>
      </c>
      <c r="BM772" s="26"/>
      <c r="BN772" s="26">
        <v>1</v>
      </c>
      <c r="BO772" s="37">
        <f t="shared" si="81"/>
        <v>1</v>
      </c>
      <c r="BP772" s="56">
        <f t="shared" si="82"/>
        <v>5</v>
      </c>
      <c r="BQ772" s="56">
        <f t="shared" si="83"/>
        <v>1</v>
      </c>
      <c r="BR772" s="57">
        <f t="shared" si="84"/>
        <v>2</v>
      </c>
      <c r="BS772" s="38">
        <v>1</v>
      </c>
      <c r="BT772" s="38"/>
      <c r="BU772" s="26"/>
      <c r="BV772" s="26"/>
      <c r="BW772" s="39">
        <f t="shared" si="85"/>
        <v>9</v>
      </c>
      <c r="BX772" s="78">
        <v>2</v>
      </c>
      <c r="BY772" s="63">
        <v>1</v>
      </c>
      <c r="CB772" s="7"/>
      <c r="CC772" s="7"/>
    </row>
    <row r="773" spans="1:81" x14ac:dyDescent="0.2">
      <c r="A773" s="109" t="s">
        <v>353</v>
      </c>
      <c r="B773" s="26">
        <v>35</v>
      </c>
      <c r="C773" s="106" t="s">
        <v>223</v>
      </c>
      <c r="D773" s="38">
        <v>6</v>
      </c>
      <c r="E773" s="38">
        <v>2</v>
      </c>
      <c r="F773" s="38">
        <v>2</v>
      </c>
      <c r="G773" s="38" t="s">
        <v>51</v>
      </c>
      <c r="H773" s="38">
        <v>4</v>
      </c>
      <c r="I773" s="38" t="s">
        <v>51</v>
      </c>
      <c r="J773" s="38" t="s">
        <v>42</v>
      </c>
      <c r="K773" s="38"/>
      <c r="L773" s="38">
        <v>6</v>
      </c>
      <c r="M773" s="40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8"/>
      <c r="BF773" s="38"/>
      <c r="BG773" s="37"/>
      <c r="BH773" s="26"/>
      <c r="BI773" s="26"/>
      <c r="BJ773" s="26"/>
      <c r="BK773" s="26"/>
      <c r="BL773" s="26"/>
      <c r="BM773" s="26"/>
      <c r="BN773" s="26"/>
      <c r="BO773" s="37">
        <f t="shared" si="81"/>
        <v>0</v>
      </c>
      <c r="BP773" s="56">
        <f t="shared" si="82"/>
        <v>0</v>
      </c>
      <c r="BQ773" s="56">
        <f t="shared" si="83"/>
        <v>0</v>
      </c>
      <c r="BR773" s="57">
        <f t="shared" si="84"/>
        <v>0</v>
      </c>
      <c r="BS773" s="38"/>
      <c r="BT773" s="38"/>
      <c r="BU773" s="26"/>
      <c r="BV773" s="26"/>
      <c r="BW773" s="39">
        <f t="shared" si="85"/>
        <v>0</v>
      </c>
      <c r="BX773" s="78">
        <v>0</v>
      </c>
      <c r="BY773" s="63">
        <v>8</v>
      </c>
      <c r="CB773" s="7"/>
      <c r="CC773" s="7"/>
    </row>
    <row r="774" spans="1:81" ht="16" x14ac:dyDescent="0.2">
      <c r="A774" s="109" t="s">
        <v>353</v>
      </c>
      <c r="B774" s="26">
        <v>35</v>
      </c>
      <c r="C774" s="106" t="s">
        <v>223</v>
      </c>
      <c r="D774" s="38">
        <v>7</v>
      </c>
      <c r="E774" s="38">
        <v>2</v>
      </c>
      <c r="F774" s="38" t="s">
        <v>53</v>
      </c>
      <c r="G774" s="38" t="s">
        <v>50</v>
      </c>
      <c r="H774" s="38"/>
      <c r="I774" s="38"/>
      <c r="J774" s="38"/>
      <c r="K774" s="38">
        <v>8</v>
      </c>
      <c r="L774" s="38">
        <v>6</v>
      </c>
      <c r="M774" s="40" t="s">
        <v>39</v>
      </c>
      <c r="N774" s="36">
        <f>5.5/16</f>
        <v>0.34375</v>
      </c>
      <c r="O774" s="44" t="s">
        <v>70</v>
      </c>
      <c r="P774" s="36">
        <f>7.5/16</f>
        <v>0.46875</v>
      </c>
      <c r="Q774" s="36"/>
      <c r="R774" s="36"/>
      <c r="S774" s="44" t="s">
        <v>48</v>
      </c>
      <c r="T774" s="44">
        <v>0.5</v>
      </c>
      <c r="U774" s="36"/>
      <c r="V774" s="36"/>
      <c r="W774" s="36" t="s">
        <v>38</v>
      </c>
      <c r="X774" s="36">
        <f>7/16</f>
        <v>0.4375</v>
      </c>
      <c r="Y774" s="36" t="s">
        <v>48</v>
      </c>
      <c r="Z774" s="36">
        <f>7.5/16</f>
        <v>0.46875</v>
      </c>
      <c r="AA774" s="36"/>
      <c r="AB774" s="36"/>
      <c r="AC774" s="36"/>
      <c r="AD774" s="36"/>
      <c r="AE774" s="36"/>
      <c r="AF774" s="36"/>
      <c r="AG774" s="36" t="s">
        <v>57</v>
      </c>
      <c r="AH774" s="36">
        <f>10/16</f>
        <v>0.625</v>
      </c>
      <c r="AI774" s="36" t="s">
        <v>38</v>
      </c>
      <c r="AJ774" s="36">
        <f>20/16</f>
        <v>1.25</v>
      </c>
      <c r="AK774" s="36" t="s">
        <v>39</v>
      </c>
      <c r="AL774" s="36">
        <f>7.5/16</f>
        <v>0.46875</v>
      </c>
      <c r="AM774" s="36"/>
      <c r="AN774" s="36"/>
      <c r="AO774" s="36"/>
      <c r="AP774" s="36"/>
      <c r="AQ774" s="36" t="s">
        <v>38</v>
      </c>
      <c r="AR774" s="36">
        <f>6/16</f>
        <v>0.375</v>
      </c>
      <c r="AS774" s="36"/>
      <c r="AT774" s="36"/>
      <c r="AU774" s="36" t="s">
        <v>38</v>
      </c>
      <c r="AV774" s="36">
        <f>8/16</f>
        <v>0.5</v>
      </c>
      <c r="AW774" s="36" t="s">
        <v>39</v>
      </c>
      <c r="AX774" s="36">
        <f>5/16</f>
        <v>0.3125</v>
      </c>
      <c r="AY774" s="36"/>
      <c r="AZ774" s="36"/>
      <c r="BA774" s="36"/>
      <c r="BB774" s="36"/>
      <c r="BC774" s="36"/>
      <c r="BD774" s="36"/>
      <c r="BE774" s="38"/>
      <c r="BF774" s="38"/>
      <c r="BG774" s="37">
        <v>1</v>
      </c>
      <c r="BH774" s="26">
        <v>3</v>
      </c>
      <c r="BI774" s="26"/>
      <c r="BJ774" s="26">
        <v>3</v>
      </c>
      <c r="BK774" s="26"/>
      <c r="BL774" s="26">
        <v>2</v>
      </c>
      <c r="BM774" s="26"/>
      <c r="BN774" s="26">
        <v>1</v>
      </c>
      <c r="BO774" s="37">
        <f t="shared" ref="BO774:BO810" si="86">BG774+BI774+BU774</f>
        <v>1</v>
      </c>
      <c r="BP774" s="56">
        <f t="shared" ref="BP774:BP810" si="87">BH774+BJ774</f>
        <v>6</v>
      </c>
      <c r="BQ774" s="56">
        <f t="shared" ref="BQ774:BQ810" si="88">BK774+BM774+BV774+BS774</f>
        <v>1</v>
      </c>
      <c r="BR774" s="57">
        <f t="shared" ref="BR774:BR810" si="89">BL774+BN774+BT774</f>
        <v>3</v>
      </c>
      <c r="BS774" s="38">
        <v>1</v>
      </c>
      <c r="BT774" s="38"/>
      <c r="BU774" s="26"/>
      <c r="BV774" s="26"/>
      <c r="BW774" s="39">
        <f t="shared" ref="BW774:BW811" si="90">SUM(BO774:BR774)</f>
        <v>11</v>
      </c>
      <c r="BX774" s="78">
        <v>2</v>
      </c>
      <c r="BY774" s="63">
        <v>1</v>
      </c>
      <c r="CB774" s="7"/>
      <c r="CC774" s="7"/>
    </row>
    <row r="775" spans="1:81" ht="16" x14ac:dyDescent="0.2">
      <c r="A775" s="109" t="s">
        <v>353</v>
      </c>
      <c r="B775" s="26">
        <v>35</v>
      </c>
      <c r="C775" s="109" t="s">
        <v>224</v>
      </c>
      <c r="D775" s="38">
        <v>2</v>
      </c>
      <c r="E775" s="38">
        <v>2</v>
      </c>
      <c r="F775" s="38">
        <v>4</v>
      </c>
      <c r="G775" s="38" t="s">
        <v>56</v>
      </c>
      <c r="H775" s="38">
        <v>7</v>
      </c>
      <c r="I775" s="38" t="s">
        <v>50</v>
      </c>
      <c r="J775" s="38"/>
      <c r="K775" s="38">
        <v>8</v>
      </c>
      <c r="L775" s="38">
        <v>6</v>
      </c>
      <c r="M775" s="40"/>
      <c r="N775" s="36"/>
      <c r="O775" s="36"/>
      <c r="P775" s="36"/>
      <c r="Q775" s="36" t="s">
        <v>38</v>
      </c>
      <c r="R775" s="36">
        <f>8/16</f>
        <v>0.5</v>
      </c>
      <c r="S775" s="36" t="s">
        <v>38</v>
      </c>
      <c r="T775" s="36">
        <f>4.5/16</f>
        <v>0.28125</v>
      </c>
      <c r="U775" s="36" t="s">
        <v>38</v>
      </c>
      <c r="V775" s="36">
        <f>5.5/16</f>
        <v>0.34375</v>
      </c>
      <c r="W775" s="36" t="s">
        <v>38</v>
      </c>
      <c r="X775" s="36">
        <f>6/16</f>
        <v>0.375</v>
      </c>
      <c r="Y775" s="36"/>
      <c r="Z775" s="36"/>
      <c r="AA775" s="36" t="s">
        <v>39</v>
      </c>
      <c r="AB775" s="36">
        <f>11/16</f>
        <v>0.6875</v>
      </c>
      <c r="AC775" s="36" t="s">
        <v>39</v>
      </c>
      <c r="AD775" s="36">
        <f>6/16</f>
        <v>0.375</v>
      </c>
      <c r="AE775" s="36"/>
      <c r="AF775" s="36"/>
      <c r="AG775" s="36" t="s">
        <v>38</v>
      </c>
      <c r="AH775" s="36">
        <f>7/16</f>
        <v>0.4375</v>
      </c>
      <c r="AI775" s="36"/>
      <c r="AJ775" s="36"/>
      <c r="AK775" s="36" t="s">
        <v>39</v>
      </c>
      <c r="AL775" s="36">
        <f>8.5/16</f>
        <v>0.53125</v>
      </c>
      <c r="AM775" s="36" t="s">
        <v>38</v>
      </c>
      <c r="AN775" s="36">
        <f>5/16</f>
        <v>0.3125</v>
      </c>
      <c r="AO775" s="36" t="s">
        <v>39</v>
      </c>
      <c r="AP775" s="36">
        <f>5.5/16</f>
        <v>0.34375</v>
      </c>
      <c r="AQ775" s="36" t="s">
        <v>38</v>
      </c>
      <c r="AR775" s="36">
        <f>4.5/16</f>
        <v>0.28125</v>
      </c>
      <c r="AS775" s="36" t="s">
        <v>38</v>
      </c>
      <c r="AT775" s="36">
        <f>4.5/16</f>
        <v>0.28125</v>
      </c>
      <c r="AU775" s="36" t="s">
        <v>39</v>
      </c>
      <c r="AV775" s="36">
        <f>13/16</f>
        <v>0.8125</v>
      </c>
      <c r="AW775" s="36" t="s">
        <v>38</v>
      </c>
      <c r="AX775" s="36">
        <f>6.5/16</f>
        <v>0.40625</v>
      </c>
      <c r="AY775" s="36" t="s">
        <v>38</v>
      </c>
      <c r="AZ775" s="36">
        <f>6.5/16</f>
        <v>0.40625</v>
      </c>
      <c r="BA775" s="36" t="s">
        <v>39</v>
      </c>
      <c r="BB775" s="36">
        <f>7/16</f>
        <v>0.4375</v>
      </c>
      <c r="BC775" s="36"/>
      <c r="BD775" s="36"/>
      <c r="BE775" s="38"/>
      <c r="BF775" s="38"/>
      <c r="BG775" s="39"/>
      <c r="BH775" s="38">
        <v>7</v>
      </c>
      <c r="BI775" s="38">
        <v>1</v>
      </c>
      <c r="BJ775" s="38">
        <v>5</v>
      </c>
      <c r="BK775" s="38"/>
      <c r="BL775" s="38"/>
      <c r="BM775" s="38"/>
      <c r="BN775" s="38"/>
      <c r="BO775" s="37">
        <f t="shared" si="86"/>
        <v>1</v>
      </c>
      <c r="BP775" s="56">
        <f t="shared" si="87"/>
        <v>12</v>
      </c>
      <c r="BQ775" s="56">
        <f t="shared" si="88"/>
        <v>0</v>
      </c>
      <c r="BR775" s="57">
        <f t="shared" si="89"/>
        <v>0</v>
      </c>
      <c r="BS775" s="38"/>
      <c r="BT775" s="38"/>
      <c r="BU775" s="26"/>
      <c r="BV775" s="26"/>
      <c r="BW775" s="39">
        <f t="shared" si="90"/>
        <v>13</v>
      </c>
      <c r="BX775" s="78">
        <v>2</v>
      </c>
      <c r="BY775" s="63">
        <v>1</v>
      </c>
      <c r="BZ775" s="7"/>
      <c r="CA775" s="8"/>
      <c r="CB775" s="7"/>
      <c r="CC775" s="7"/>
    </row>
    <row r="776" spans="1:81" x14ac:dyDescent="0.2">
      <c r="A776" s="109" t="s">
        <v>353</v>
      </c>
      <c r="B776" s="26">
        <v>35</v>
      </c>
      <c r="C776" s="109" t="s">
        <v>224</v>
      </c>
      <c r="D776" s="38">
        <v>3</v>
      </c>
      <c r="E776" s="38">
        <v>2</v>
      </c>
      <c r="F776" s="38">
        <v>3</v>
      </c>
      <c r="G776" s="38" t="s">
        <v>56</v>
      </c>
      <c r="H776" s="38">
        <v>6</v>
      </c>
      <c r="I776" s="38" t="s">
        <v>51</v>
      </c>
      <c r="J776" s="38" t="s">
        <v>60</v>
      </c>
      <c r="K776" s="38"/>
      <c r="L776" s="38">
        <v>6</v>
      </c>
      <c r="M776" s="40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8"/>
      <c r="BF776" s="38"/>
      <c r="BG776" s="39"/>
      <c r="BH776" s="38"/>
      <c r="BI776" s="38"/>
      <c r="BJ776" s="38"/>
      <c r="BK776" s="38"/>
      <c r="BL776" s="38"/>
      <c r="BM776" s="38"/>
      <c r="BN776" s="38"/>
      <c r="BO776" s="37">
        <f t="shared" si="86"/>
        <v>0</v>
      </c>
      <c r="BP776" s="56">
        <f t="shared" si="87"/>
        <v>0</v>
      </c>
      <c r="BQ776" s="56">
        <f t="shared" si="88"/>
        <v>0</v>
      </c>
      <c r="BR776" s="57">
        <f t="shared" si="89"/>
        <v>0</v>
      </c>
      <c r="BS776" s="38"/>
      <c r="BT776" s="38"/>
      <c r="BU776" s="26"/>
      <c r="BV776" s="26"/>
      <c r="BW776" s="39">
        <f t="shared" si="90"/>
        <v>0</v>
      </c>
      <c r="BX776" s="78">
        <v>0</v>
      </c>
      <c r="BY776" s="63">
        <v>7</v>
      </c>
      <c r="BZ776" s="7"/>
      <c r="CA776" s="8"/>
      <c r="CB776" s="7"/>
      <c r="CC776" s="7"/>
    </row>
    <row r="777" spans="1:81" ht="16" x14ac:dyDescent="0.2">
      <c r="A777" s="109" t="s">
        <v>353</v>
      </c>
      <c r="B777" s="26">
        <v>35</v>
      </c>
      <c r="C777" s="109" t="s">
        <v>224</v>
      </c>
      <c r="D777" s="38">
        <v>4</v>
      </c>
      <c r="E777" s="38">
        <v>2</v>
      </c>
      <c r="F777" s="38">
        <v>2</v>
      </c>
      <c r="G777" s="38" t="s">
        <v>51</v>
      </c>
      <c r="H777" s="38">
        <v>5</v>
      </c>
      <c r="I777" s="38" t="s">
        <v>56</v>
      </c>
      <c r="J777" s="38"/>
      <c r="K777" s="38" t="s">
        <v>63</v>
      </c>
      <c r="L777" s="38">
        <v>6</v>
      </c>
      <c r="M777" s="40"/>
      <c r="N777" s="36"/>
      <c r="O777" s="36"/>
      <c r="P777" s="36"/>
      <c r="Q777" s="36"/>
      <c r="R777" s="36"/>
      <c r="S777" s="36" t="s">
        <v>39</v>
      </c>
      <c r="T777" s="36">
        <f>12/16</f>
        <v>0.75</v>
      </c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 t="s">
        <v>39</v>
      </c>
      <c r="AF777" s="36">
        <f>12.5/16</f>
        <v>0.78125</v>
      </c>
      <c r="AG777" s="36"/>
      <c r="AH777" s="36"/>
      <c r="AI777" s="36" t="s">
        <v>39</v>
      </c>
      <c r="AJ777" s="36">
        <f>11/16</f>
        <v>0.6875</v>
      </c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  <c r="BA777" s="36" t="s">
        <v>39</v>
      </c>
      <c r="BB777" s="36">
        <f>13/16</f>
        <v>0.8125</v>
      </c>
      <c r="BC777" s="36"/>
      <c r="BD777" s="36"/>
      <c r="BE777" s="38"/>
      <c r="BF777" s="38"/>
      <c r="BG777" s="39"/>
      <c r="BH777" s="38"/>
      <c r="BI777" s="38">
        <v>3</v>
      </c>
      <c r="BJ777" s="38">
        <v>1</v>
      </c>
      <c r="BK777" s="38"/>
      <c r="BL777" s="38"/>
      <c r="BM777" s="38"/>
      <c r="BN777" s="38"/>
      <c r="BO777" s="37">
        <f t="shared" si="86"/>
        <v>3</v>
      </c>
      <c r="BP777" s="56">
        <f t="shared" si="87"/>
        <v>1</v>
      </c>
      <c r="BQ777" s="56">
        <f t="shared" si="88"/>
        <v>0</v>
      </c>
      <c r="BR777" s="57">
        <f t="shared" si="89"/>
        <v>0</v>
      </c>
      <c r="BS777" s="38"/>
      <c r="BT777" s="38"/>
      <c r="BU777" s="26"/>
      <c r="BV777" s="26"/>
      <c r="BW777" s="39">
        <f t="shared" si="90"/>
        <v>4</v>
      </c>
      <c r="BX777" s="78">
        <v>2</v>
      </c>
      <c r="BY777" s="63">
        <v>2</v>
      </c>
      <c r="BZ777" s="7"/>
      <c r="CA777" s="8"/>
      <c r="CB777" s="7"/>
      <c r="CC777" s="7"/>
    </row>
    <row r="778" spans="1:81" x14ac:dyDescent="0.2">
      <c r="A778" s="109" t="s">
        <v>353</v>
      </c>
      <c r="B778" s="26">
        <v>35</v>
      </c>
      <c r="C778" s="109" t="s">
        <v>224</v>
      </c>
      <c r="D778" s="38">
        <v>5</v>
      </c>
      <c r="E778" s="38">
        <v>2</v>
      </c>
      <c r="F778" s="38">
        <v>4</v>
      </c>
      <c r="G778" s="38" t="s">
        <v>50</v>
      </c>
      <c r="H778" s="38">
        <v>6</v>
      </c>
      <c r="I778" s="38" t="s">
        <v>50</v>
      </c>
      <c r="J778" s="38" t="s">
        <v>42</v>
      </c>
      <c r="K778" s="38"/>
      <c r="L778" s="38">
        <v>6</v>
      </c>
      <c r="M778" s="40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8"/>
      <c r="BF778" s="38"/>
      <c r="BG778" s="39"/>
      <c r="BH778" s="38"/>
      <c r="BI778" s="38"/>
      <c r="BJ778" s="38"/>
      <c r="BK778" s="38"/>
      <c r="BL778" s="38"/>
      <c r="BM778" s="38"/>
      <c r="BN778" s="38"/>
      <c r="BO778" s="37">
        <f t="shared" si="86"/>
        <v>0</v>
      </c>
      <c r="BP778" s="56">
        <f t="shared" si="87"/>
        <v>0</v>
      </c>
      <c r="BQ778" s="56">
        <f t="shared" si="88"/>
        <v>0</v>
      </c>
      <c r="BR778" s="57">
        <f t="shared" si="89"/>
        <v>0</v>
      </c>
      <c r="BS778" s="38"/>
      <c r="BT778" s="38"/>
      <c r="BU778" s="26"/>
      <c r="BV778" s="26"/>
      <c r="BW778" s="39">
        <f t="shared" si="90"/>
        <v>0</v>
      </c>
      <c r="BX778" s="78">
        <v>0</v>
      </c>
      <c r="BY778" s="64">
        <v>8</v>
      </c>
      <c r="BZ778" s="17"/>
      <c r="CA778" s="22"/>
      <c r="CB778" s="7"/>
      <c r="CC778" s="7"/>
    </row>
    <row r="779" spans="1:81" x14ac:dyDescent="0.2">
      <c r="A779" s="109" t="s">
        <v>353</v>
      </c>
      <c r="B779" s="26">
        <v>35</v>
      </c>
      <c r="C779" s="109" t="s">
        <v>224</v>
      </c>
      <c r="D779" s="38">
        <v>6</v>
      </c>
      <c r="E779" s="38">
        <v>2</v>
      </c>
      <c r="F779" s="38">
        <v>2</v>
      </c>
      <c r="G779" s="38" t="s">
        <v>51</v>
      </c>
      <c r="H779" s="38">
        <v>4</v>
      </c>
      <c r="I779" s="38" t="s">
        <v>51</v>
      </c>
      <c r="J779" s="38" t="s">
        <v>41</v>
      </c>
      <c r="K779" s="38"/>
      <c r="L779" s="38">
        <v>7</v>
      </c>
      <c r="M779" s="40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8"/>
      <c r="BF779" s="38"/>
      <c r="BG779" s="39"/>
      <c r="BH779" s="38"/>
      <c r="BI779" s="38"/>
      <c r="BJ779" s="38"/>
      <c r="BK779" s="38"/>
      <c r="BL779" s="38"/>
      <c r="BM779" s="38"/>
      <c r="BN779" s="38"/>
      <c r="BO779" s="37">
        <f t="shared" si="86"/>
        <v>0</v>
      </c>
      <c r="BP779" s="56">
        <f t="shared" si="87"/>
        <v>0</v>
      </c>
      <c r="BQ779" s="56">
        <f t="shared" si="88"/>
        <v>0</v>
      </c>
      <c r="BR779" s="57">
        <f t="shared" si="89"/>
        <v>0</v>
      </c>
      <c r="BS779" s="38"/>
      <c r="BT779" s="38"/>
      <c r="BU779" s="26"/>
      <c r="BV779" s="26"/>
      <c r="BW779" s="39">
        <f t="shared" si="90"/>
        <v>0</v>
      </c>
      <c r="BX779" s="78">
        <v>0</v>
      </c>
      <c r="BY779" s="64">
        <v>10</v>
      </c>
      <c r="BZ779" s="17"/>
      <c r="CA779" s="22"/>
      <c r="CB779" s="7"/>
      <c r="CC779" s="7"/>
    </row>
    <row r="780" spans="1:81" ht="16" x14ac:dyDescent="0.2">
      <c r="A780" s="109" t="s">
        <v>353</v>
      </c>
      <c r="B780" s="26">
        <v>35</v>
      </c>
      <c r="C780" s="109" t="s">
        <v>224</v>
      </c>
      <c r="D780" s="38">
        <v>8</v>
      </c>
      <c r="E780" s="38">
        <v>2</v>
      </c>
      <c r="F780" s="38">
        <v>3</v>
      </c>
      <c r="G780" s="38" t="s">
        <v>50</v>
      </c>
      <c r="H780" s="38">
        <v>7</v>
      </c>
      <c r="I780" s="38" t="s">
        <v>56</v>
      </c>
      <c r="J780" s="38"/>
      <c r="K780" s="38" t="s">
        <v>63</v>
      </c>
      <c r="L780" s="38">
        <v>6</v>
      </c>
      <c r="M780" s="40"/>
      <c r="N780" s="36"/>
      <c r="O780" s="36" t="s">
        <v>38</v>
      </c>
      <c r="P780" s="36">
        <f>5.5/16</f>
        <v>0.34375</v>
      </c>
      <c r="Q780" s="36"/>
      <c r="R780" s="36"/>
      <c r="S780" s="36" t="s">
        <v>38</v>
      </c>
      <c r="T780" s="36">
        <f>12.5/16</f>
        <v>0.78125</v>
      </c>
      <c r="U780" s="36"/>
      <c r="V780" s="36"/>
      <c r="W780" s="36" t="s">
        <v>39</v>
      </c>
      <c r="X780" s="36">
        <f>5.5/16</f>
        <v>0.34375</v>
      </c>
      <c r="Y780" s="36" t="s">
        <v>39</v>
      </c>
      <c r="Z780" s="36">
        <f>8.5/16</f>
        <v>0.53125</v>
      </c>
      <c r="AA780" s="36"/>
      <c r="AB780" s="36"/>
      <c r="AC780" s="36"/>
      <c r="AD780" s="36"/>
      <c r="AE780" s="36"/>
      <c r="AF780" s="36"/>
      <c r="AG780" s="36" t="s">
        <v>39</v>
      </c>
      <c r="AH780" s="36">
        <f>6/16</f>
        <v>0.375</v>
      </c>
      <c r="AI780" s="36" t="s">
        <v>39</v>
      </c>
      <c r="AJ780" s="36">
        <f>11.5/16</f>
        <v>0.71875</v>
      </c>
      <c r="AK780" s="36"/>
      <c r="AL780" s="36"/>
      <c r="AM780" s="36" t="s">
        <v>39</v>
      </c>
      <c r="AN780" s="36">
        <f>4.5/16</f>
        <v>0.28125</v>
      </c>
      <c r="AO780" s="36" t="s">
        <v>38</v>
      </c>
      <c r="AP780" s="36">
        <f>11/16</f>
        <v>0.6875</v>
      </c>
      <c r="AQ780" s="36"/>
      <c r="AR780" s="36"/>
      <c r="AS780" s="36"/>
      <c r="AT780" s="36"/>
      <c r="AU780" s="36"/>
      <c r="AV780" s="36"/>
      <c r="AW780" s="36" t="s">
        <v>38</v>
      </c>
      <c r="AX780" s="36">
        <f>8/16</f>
        <v>0.5</v>
      </c>
      <c r="AY780" s="36" t="s">
        <v>38</v>
      </c>
      <c r="AZ780" s="36">
        <f>5/16</f>
        <v>0.3125</v>
      </c>
      <c r="BA780" s="36"/>
      <c r="BB780" s="36"/>
      <c r="BC780" s="36"/>
      <c r="BD780" s="36"/>
      <c r="BE780" s="38"/>
      <c r="BF780" s="38"/>
      <c r="BG780" s="39">
        <v>1</v>
      </c>
      <c r="BH780" s="38">
        <v>4</v>
      </c>
      <c r="BI780" s="38">
        <v>1</v>
      </c>
      <c r="BJ780" s="38">
        <v>3</v>
      </c>
      <c r="BK780" s="38"/>
      <c r="BL780" s="38"/>
      <c r="BM780" s="38"/>
      <c r="BN780" s="38"/>
      <c r="BO780" s="37">
        <f t="shared" si="86"/>
        <v>2</v>
      </c>
      <c r="BP780" s="56">
        <f t="shared" si="87"/>
        <v>7</v>
      </c>
      <c r="BQ780" s="56">
        <f t="shared" si="88"/>
        <v>0</v>
      </c>
      <c r="BR780" s="57">
        <f t="shared" si="89"/>
        <v>0</v>
      </c>
      <c r="BS780" s="38"/>
      <c r="BT780" s="38"/>
      <c r="BU780" s="26"/>
      <c r="BV780" s="26"/>
      <c r="BW780" s="39">
        <f t="shared" si="90"/>
        <v>9</v>
      </c>
      <c r="BX780" s="78">
        <v>2</v>
      </c>
      <c r="BY780" s="64">
        <v>2</v>
      </c>
      <c r="BZ780" s="17"/>
      <c r="CA780" s="8"/>
      <c r="CB780" s="7"/>
      <c r="CC780" s="7"/>
    </row>
    <row r="781" spans="1:81" ht="16" x14ac:dyDescent="0.2">
      <c r="A781" s="109" t="s">
        <v>354</v>
      </c>
      <c r="B781" s="26">
        <v>38</v>
      </c>
      <c r="C781" s="109" t="s">
        <v>225</v>
      </c>
      <c r="D781" s="38">
        <v>1</v>
      </c>
      <c r="E781" s="38">
        <v>2</v>
      </c>
      <c r="F781" s="38">
        <v>2</v>
      </c>
      <c r="G781" s="38" t="s">
        <v>51</v>
      </c>
      <c r="H781" s="38">
        <v>4</v>
      </c>
      <c r="I781" s="38" t="s">
        <v>51</v>
      </c>
      <c r="J781" s="38"/>
      <c r="K781" s="38" t="s">
        <v>63</v>
      </c>
      <c r="L781" s="38">
        <v>7</v>
      </c>
      <c r="M781" s="40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 t="s">
        <v>39</v>
      </c>
      <c r="AD781" s="36">
        <f>12/16</f>
        <v>0.75</v>
      </c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 t="s">
        <v>40</v>
      </c>
      <c r="AR781" s="36">
        <f>9.5/16</f>
        <v>0.59375</v>
      </c>
      <c r="AS781" s="36"/>
      <c r="AT781" s="36"/>
      <c r="AU781" s="36"/>
      <c r="AV781" s="36"/>
      <c r="AW781" s="36"/>
      <c r="AX781" s="36"/>
      <c r="AY781" s="36"/>
      <c r="AZ781" s="36"/>
      <c r="BA781" s="36" t="s">
        <v>38</v>
      </c>
      <c r="BB781" s="36">
        <f>15/16</f>
        <v>0.9375</v>
      </c>
      <c r="BC781" s="36"/>
      <c r="BD781" s="36"/>
      <c r="BE781" s="38"/>
      <c r="BF781" s="38"/>
      <c r="BG781" s="39">
        <v>1</v>
      </c>
      <c r="BH781" s="38"/>
      <c r="BI781" s="38">
        <v>1</v>
      </c>
      <c r="BJ781" s="38"/>
      <c r="BK781" s="38"/>
      <c r="BL781" s="38"/>
      <c r="BM781" s="38"/>
      <c r="BN781" s="38">
        <v>1</v>
      </c>
      <c r="BO781" s="37">
        <f t="shared" si="86"/>
        <v>2</v>
      </c>
      <c r="BP781" s="56">
        <f t="shared" si="87"/>
        <v>0</v>
      </c>
      <c r="BQ781" s="56">
        <f t="shared" si="88"/>
        <v>0</v>
      </c>
      <c r="BR781" s="57">
        <f t="shared" si="89"/>
        <v>1</v>
      </c>
      <c r="BS781" s="38"/>
      <c r="BT781" s="38"/>
      <c r="BU781" s="26"/>
      <c r="BV781" s="26"/>
      <c r="BW781" s="39">
        <f t="shared" si="90"/>
        <v>3</v>
      </c>
      <c r="BX781" s="78">
        <v>2</v>
      </c>
      <c r="BY781" s="63">
        <v>2</v>
      </c>
      <c r="BZ781" s="7"/>
      <c r="CA781" s="8"/>
      <c r="CB781" s="7"/>
      <c r="CC781" s="7"/>
    </row>
    <row r="782" spans="1:81" ht="16" x14ac:dyDescent="0.2">
      <c r="A782" s="109" t="s">
        <v>354</v>
      </c>
      <c r="B782" s="26">
        <v>38</v>
      </c>
      <c r="C782" s="109" t="s">
        <v>225</v>
      </c>
      <c r="D782" s="38">
        <v>2</v>
      </c>
      <c r="E782" s="38">
        <v>2</v>
      </c>
      <c r="F782" s="38">
        <v>2</v>
      </c>
      <c r="G782" s="38" t="s">
        <v>51</v>
      </c>
      <c r="H782" s="38">
        <v>4</v>
      </c>
      <c r="I782" s="38" t="s">
        <v>51</v>
      </c>
      <c r="J782" s="38" t="s">
        <v>42</v>
      </c>
      <c r="K782" s="38"/>
      <c r="L782" s="38">
        <v>6</v>
      </c>
      <c r="M782" s="40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 t="s">
        <v>38</v>
      </c>
      <c r="AT782" s="36">
        <f>15/16</f>
        <v>0.9375</v>
      </c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8"/>
      <c r="BF782" s="38"/>
      <c r="BG782" s="39">
        <v>1</v>
      </c>
      <c r="BH782" s="38"/>
      <c r="BI782" s="38"/>
      <c r="BJ782" s="38"/>
      <c r="BK782" s="38"/>
      <c r="BL782" s="38"/>
      <c r="BM782" s="38"/>
      <c r="BN782" s="38"/>
      <c r="BO782" s="37">
        <f t="shared" si="86"/>
        <v>1</v>
      </c>
      <c r="BP782" s="56">
        <f t="shared" si="87"/>
        <v>0</v>
      </c>
      <c r="BQ782" s="56">
        <f t="shared" si="88"/>
        <v>0</v>
      </c>
      <c r="BR782" s="57">
        <f t="shared" si="89"/>
        <v>0</v>
      </c>
      <c r="BS782" s="38"/>
      <c r="BT782" s="38"/>
      <c r="BU782" s="26"/>
      <c r="BV782" s="26"/>
      <c r="BW782" s="39">
        <f t="shared" si="90"/>
        <v>1</v>
      </c>
      <c r="BX782" s="78">
        <v>1</v>
      </c>
      <c r="BY782" s="63">
        <v>8</v>
      </c>
      <c r="BZ782" s="7"/>
      <c r="CA782" s="8"/>
      <c r="CB782" s="7"/>
      <c r="CC782" s="7"/>
    </row>
    <row r="783" spans="1:81" x14ac:dyDescent="0.2">
      <c r="A783" s="109" t="s">
        <v>354</v>
      </c>
      <c r="B783" s="26">
        <v>38</v>
      </c>
      <c r="C783" s="109" t="s">
        <v>225</v>
      </c>
      <c r="D783" s="38">
        <v>3</v>
      </c>
      <c r="E783" s="38">
        <v>2</v>
      </c>
      <c r="F783" s="38">
        <v>2</v>
      </c>
      <c r="G783" s="38" t="s">
        <v>51</v>
      </c>
      <c r="H783" s="38">
        <v>4</v>
      </c>
      <c r="I783" s="38" t="s">
        <v>51</v>
      </c>
      <c r="J783" s="38" t="s">
        <v>65</v>
      </c>
      <c r="K783" s="38"/>
      <c r="L783" s="38">
        <v>5</v>
      </c>
      <c r="M783" s="40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8"/>
      <c r="BF783" s="38"/>
      <c r="BG783" s="39"/>
      <c r="BH783" s="38"/>
      <c r="BI783" s="38"/>
      <c r="BJ783" s="38"/>
      <c r="BK783" s="38"/>
      <c r="BL783" s="38"/>
      <c r="BM783" s="38"/>
      <c r="BN783" s="38"/>
      <c r="BO783" s="37">
        <f t="shared" si="86"/>
        <v>0</v>
      </c>
      <c r="BP783" s="56">
        <f t="shared" si="87"/>
        <v>0</v>
      </c>
      <c r="BQ783" s="56">
        <f t="shared" si="88"/>
        <v>0</v>
      </c>
      <c r="BR783" s="57">
        <f t="shared" si="89"/>
        <v>0</v>
      </c>
      <c r="BS783" s="38"/>
      <c r="BT783" s="38"/>
      <c r="BU783" s="26"/>
      <c r="BV783" s="26"/>
      <c r="BW783" s="39">
        <f t="shared" si="90"/>
        <v>0</v>
      </c>
      <c r="BX783" s="78">
        <v>0</v>
      </c>
      <c r="BY783" s="63">
        <v>11</v>
      </c>
      <c r="BZ783" s="7"/>
      <c r="CA783" s="8"/>
      <c r="CB783" s="7"/>
      <c r="CC783" s="7"/>
    </row>
    <row r="784" spans="1:81" x14ac:dyDescent="0.2">
      <c r="A784" s="109" t="s">
        <v>354</v>
      </c>
      <c r="B784" s="26">
        <v>38</v>
      </c>
      <c r="C784" s="109" t="s">
        <v>225</v>
      </c>
      <c r="D784" s="38">
        <v>4</v>
      </c>
      <c r="E784" s="38">
        <v>2</v>
      </c>
      <c r="F784" s="38">
        <v>2</v>
      </c>
      <c r="G784" s="38" t="s">
        <v>51</v>
      </c>
      <c r="H784" s="38">
        <v>6</v>
      </c>
      <c r="I784" s="38" t="s">
        <v>50</v>
      </c>
      <c r="J784" s="38"/>
      <c r="K784" s="38">
        <v>9</v>
      </c>
      <c r="L784" s="38">
        <v>7</v>
      </c>
      <c r="M784" s="40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8"/>
      <c r="BF784" s="38"/>
      <c r="BG784" s="39"/>
      <c r="BH784" s="38"/>
      <c r="BI784" s="38"/>
      <c r="BJ784" s="38"/>
      <c r="BK784" s="38"/>
      <c r="BL784" s="38"/>
      <c r="BM784" s="38"/>
      <c r="BO784" s="37">
        <f t="shared" si="86"/>
        <v>0</v>
      </c>
      <c r="BP784" s="56">
        <f t="shared" si="87"/>
        <v>0</v>
      </c>
      <c r="BQ784" s="56">
        <f t="shared" si="88"/>
        <v>0</v>
      </c>
      <c r="BR784" s="57">
        <f t="shared" si="89"/>
        <v>0</v>
      </c>
      <c r="BS784" s="38"/>
      <c r="BT784" s="38"/>
      <c r="BU784" s="26"/>
      <c r="BV784" s="26"/>
      <c r="BW784" s="39">
        <f t="shared" si="90"/>
        <v>0</v>
      </c>
      <c r="BX784" s="78">
        <v>0</v>
      </c>
      <c r="BY784" s="63">
        <v>1</v>
      </c>
    </row>
    <row r="785" spans="1:81" ht="16" x14ac:dyDescent="0.2">
      <c r="A785" s="109" t="s">
        <v>354</v>
      </c>
      <c r="B785" s="26">
        <v>39</v>
      </c>
      <c r="C785" s="109" t="s">
        <v>226</v>
      </c>
      <c r="D785" s="38">
        <v>1</v>
      </c>
      <c r="E785" s="38">
        <v>2</v>
      </c>
      <c r="F785" s="38">
        <v>2</v>
      </c>
      <c r="G785" s="38" t="s">
        <v>51</v>
      </c>
      <c r="H785" s="38">
        <v>5</v>
      </c>
      <c r="I785" s="38" t="s">
        <v>56</v>
      </c>
      <c r="J785" s="38" t="s">
        <v>42</v>
      </c>
      <c r="K785" s="38"/>
      <c r="L785" s="38">
        <v>6</v>
      </c>
      <c r="M785" s="40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  <c r="AW785" s="36" t="s">
        <v>38</v>
      </c>
      <c r="AX785" s="36">
        <f>14/16</f>
        <v>0.875</v>
      </c>
      <c r="AY785" s="36"/>
      <c r="AZ785" s="36"/>
      <c r="BA785" s="36" t="s">
        <v>38</v>
      </c>
      <c r="BB785" s="36">
        <f>17/16</f>
        <v>1.0625</v>
      </c>
      <c r="BC785" s="36"/>
      <c r="BD785" s="36"/>
      <c r="BE785" s="38"/>
      <c r="BF785" s="38"/>
      <c r="BG785" s="37">
        <v>2</v>
      </c>
      <c r="BH785" s="26"/>
      <c r="BI785" s="26"/>
      <c r="BJ785" s="26"/>
      <c r="BK785" s="26"/>
      <c r="BL785" s="26"/>
      <c r="BM785" s="26"/>
      <c r="BN785" s="26"/>
      <c r="BO785" s="37">
        <f t="shared" si="86"/>
        <v>2</v>
      </c>
      <c r="BP785" s="56">
        <f t="shared" si="87"/>
        <v>0</v>
      </c>
      <c r="BQ785" s="56">
        <f t="shared" si="88"/>
        <v>0</v>
      </c>
      <c r="BR785" s="57">
        <f t="shared" si="89"/>
        <v>0</v>
      </c>
      <c r="BS785" s="38"/>
      <c r="BT785" s="38"/>
      <c r="BU785" s="26"/>
      <c r="BV785" s="26"/>
      <c r="BW785" s="39">
        <f t="shared" si="90"/>
        <v>2</v>
      </c>
      <c r="BX785" s="78">
        <v>1</v>
      </c>
      <c r="BY785" s="63">
        <v>8</v>
      </c>
      <c r="BZ785" s="7"/>
      <c r="CA785" s="8"/>
      <c r="CB785" s="7"/>
      <c r="CC785" s="7"/>
    </row>
    <row r="786" spans="1:81" ht="16" x14ac:dyDescent="0.2">
      <c r="A786" s="109" t="s">
        <v>354</v>
      </c>
      <c r="B786" s="26">
        <v>39</v>
      </c>
      <c r="C786" s="109" t="s">
        <v>226</v>
      </c>
      <c r="D786" s="38">
        <v>2</v>
      </c>
      <c r="E786" s="38">
        <v>2</v>
      </c>
      <c r="F786" s="38">
        <v>2</v>
      </c>
      <c r="G786" s="38" t="s">
        <v>51</v>
      </c>
      <c r="H786" s="38">
        <v>4</v>
      </c>
      <c r="I786" s="38" t="s">
        <v>51</v>
      </c>
      <c r="J786" s="38" t="s">
        <v>41</v>
      </c>
      <c r="K786" s="38"/>
      <c r="L786" s="38">
        <v>6</v>
      </c>
      <c r="M786" s="40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 t="s">
        <v>38</v>
      </c>
      <c r="AR786" s="36">
        <f>17/16</f>
        <v>1.0625</v>
      </c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 t="s">
        <v>38</v>
      </c>
      <c r="BD786" s="36">
        <f>14.5/16</f>
        <v>0.90625</v>
      </c>
      <c r="BE786" s="38"/>
      <c r="BF786" s="38"/>
      <c r="BG786" s="37">
        <v>2</v>
      </c>
      <c r="BH786" s="26"/>
      <c r="BI786" s="26"/>
      <c r="BJ786" s="26"/>
      <c r="BK786" s="26"/>
      <c r="BL786" s="26"/>
      <c r="BM786" s="26"/>
      <c r="BN786" s="26"/>
      <c r="BO786" s="37">
        <f t="shared" si="86"/>
        <v>2</v>
      </c>
      <c r="BP786" s="56">
        <f t="shared" si="87"/>
        <v>0</v>
      </c>
      <c r="BQ786" s="56">
        <f t="shared" si="88"/>
        <v>0</v>
      </c>
      <c r="BR786" s="57">
        <f t="shared" si="89"/>
        <v>0</v>
      </c>
      <c r="BS786" s="38"/>
      <c r="BT786" s="38"/>
      <c r="BU786" s="26"/>
      <c r="BV786" s="26"/>
      <c r="BW786" s="39">
        <f t="shared" si="90"/>
        <v>2</v>
      </c>
      <c r="BX786" s="78">
        <v>1</v>
      </c>
      <c r="BY786" s="63">
        <v>10</v>
      </c>
      <c r="BZ786" s="7"/>
      <c r="CA786" s="8"/>
      <c r="CB786" s="7"/>
      <c r="CC786" s="7"/>
    </row>
    <row r="787" spans="1:81" ht="16" x14ac:dyDescent="0.2">
      <c r="A787" s="109" t="s">
        <v>354</v>
      </c>
      <c r="B787" s="26">
        <v>39</v>
      </c>
      <c r="C787" s="109" t="s">
        <v>227</v>
      </c>
      <c r="D787" s="26">
        <v>2</v>
      </c>
      <c r="E787" s="26">
        <v>2</v>
      </c>
      <c r="F787" s="26">
        <v>2</v>
      </c>
      <c r="G787" s="26" t="s">
        <v>51</v>
      </c>
      <c r="H787" s="26">
        <v>4</v>
      </c>
      <c r="I787" s="26" t="s">
        <v>51</v>
      </c>
      <c r="J787" s="26" t="s">
        <v>41</v>
      </c>
      <c r="K787" s="26"/>
      <c r="L787" s="26">
        <v>5</v>
      </c>
      <c r="M787" s="40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  <c r="BA787" s="36" t="s">
        <v>39</v>
      </c>
      <c r="BB787" s="36">
        <v>1</v>
      </c>
      <c r="BC787" s="36"/>
      <c r="BD787" s="36"/>
      <c r="BG787" s="39"/>
      <c r="BH787" s="38"/>
      <c r="BI787" s="38">
        <v>1</v>
      </c>
      <c r="BJ787" s="38"/>
      <c r="BK787" s="38"/>
      <c r="BL787" s="38"/>
      <c r="BM787" s="38"/>
      <c r="BN787" s="38"/>
      <c r="BO787" s="37">
        <f t="shared" si="86"/>
        <v>1</v>
      </c>
      <c r="BP787" s="56">
        <f t="shared" si="87"/>
        <v>0</v>
      </c>
      <c r="BQ787" s="56">
        <f t="shared" si="88"/>
        <v>0</v>
      </c>
      <c r="BR787" s="57">
        <f t="shared" si="89"/>
        <v>0</v>
      </c>
      <c r="BS787" s="38"/>
      <c r="BT787" s="38"/>
      <c r="BU787" s="26"/>
      <c r="BV787" s="26"/>
      <c r="BW787" s="39">
        <f t="shared" si="90"/>
        <v>1</v>
      </c>
      <c r="BX787" s="78">
        <v>1</v>
      </c>
      <c r="BY787" s="63">
        <v>10</v>
      </c>
      <c r="BZ787" s="7"/>
      <c r="CA787" s="8"/>
      <c r="CB787" s="7"/>
      <c r="CC787" s="7"/>
    </row>
    <row r="788" spans="1:81" ht="16" x14ac:dyDescent="0.2">
      <c r="A788" s="109" t="s">
        <v>354</v>
      </c>
      <c r="B788" s="26">
        <v>39</v>
      </c>
      <c r="C788" s="109" t="s">
        <v>227</v>
      </c>
      <c r="D788" s="26">
        <v>3</v>
      </c>
      <c r="E788" s="26">
        <v>2</v>
      </c>
      <c r="F788" s="26">
        <v>2</v>
      </c>
      <c r="G788" s="26" t="s">
        <v>51</v>
      </c>
      <c r="H788" s="26">
        <v>4</v>
      </c>
      <c r="I788" s="26" t="s">
        <v>51</v>
      </c>
      <c r="J788" s="26" t="s">
        <v>42</v>
      </c>
      <c r="K788" s="26"/>
      <c r="L788" s="26">
        <v>5</v>
      </c>
      <c r="M788" s="40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 t="s">
        <v>39</v>
      </c>
      <c r="AR788" s="36">
        <v>0.73</v>
      </c>
      <c r="AS788" s="36"/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G788" s="39"/>
      <c r="BH788" s="38"/>
      <c r="BI788" s="38">
        <v>1</v>
      </c>
      <c r="BJ788" s="38"/>
      <c r="BK788" s="38"/>
      <c r="BL788" s="38"/>
      <c r="BM788" s="38"/>
      <c r="BN788" s="38"/>
      <c r="BO788" s="37">
        <f t="shared" si="86"/>
        <v>1</v>
      </c>
      <c r="BP788" s="56">
        <f t="shared" si="87"/>
        <v>0</v>
      </c>
      <c r="BQ788" s="56">
        <f t="shared" si="88"/>
        <v>0</v>
      </c>
      <c r="BR788" s="57">
        <f t="shared" si="89"/>
        <v>0</v>
      </c>
      <c r="BS788" s="38"/>
      <c r="BT788" s="38"/>
      <c r="BU788" s="26"/>
      <c r="BV788" s="26"/>
      <c r="BW788" s="39">
        <f t="shared" si="90"/>
        <v>1</v>
      </c>
      <c r="BX788" s="78">
        <v>1</v>
      </c>
      <c r="BY788" s="63">
        <v>8</v>
      </c>
      <c r="BZ788" s="7"/>
      <c r="CA788" s="8"/>
      <c r="CB788" s="7"/>
      <c r="CC788" s="7"/>
    </row>
    <row r="789" spans="1:81" x14ac:dyDescent="0.2">
      <c r="A789" s="109" t="s">
        <v>355</v>
      </c>
      <c r="B789" s="26">
        <v>37</v>
      </c>
      <c r="C789" s="109" t="s">
        <v>228</v>
      </c>
      <c r="D789" s="38">
        <v>1</v>
      </c>
      <c r="E789" s="38">
        <v>2</v>
      </c>
      <c r="F789" s="38">
        <v>2</v>
      </c>
      <c r="G789" s="38" t="s">
        <v>51</v>
      </c>
      <c r="H789" s="38">
        <v>4</v>
      </c>
      <c r="I789" s="38" t="s">
        <v>51</v>
      </c>
      <c r="J789" s="38" t="s">
        <v>41</v>
      </c>
      <c r="K789" s="38"/>
      <c r="L789" s="38">
        <v>5</v>
      </c>
      <c r="M789" s="40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8"/>
      <c r="BF789" s="38"/>
      <c r="BG789" s="37"/>
      <c r="BH789" s="26"/>
      <c r="BI789" s="26"/>
      <c r="BJ789" s="26"/>
      <c r="BK789" s="26"/>
      <c r="BL789" s="26"/>
      <c r="BM789" s="26"/>
      <c r="BN789" s="26"/>
      <c r="BO789" s="37">
        <f t="shared" si="86"/>
        <v>0</v>
      </c>
      <c r="BP789" s="56">
        <f t="shared" si="87"/>
        <v>0</v>
      </c>
      <c r="BQ789" s="56">
        <f t="shared" si="88"/>
        <v>0</v>
      </c>
      <c r="BR789" s="57">
        <f t="shared" si="89"/>
        <v>0</v>
      </c>
      <c r="BS789" s="38"/>
      <c r="BT789" s="38"/>
      <c r="BU789" s="26"/>
      <c r="BV789" s="26"/>
      <c r="BW789" s="39">
        <f t="shared" si="90"/>
        <v>0</v>
      </c>
      <c r="BX789" s="78">
        <v>0</v>
      </c>
      <c r="BY789" s="63">
        <v>10</v>
      </c>
      <c r="BZ789" s="7"/>
      <c r="CA789" s="8"/>
      <c r="CB789" s="7"/>
      <c r="CC789" s="7"/>
    </row>
    <row r="790" spans="1:81" ht="16" x14ac:dyDescent="0.2">
      <c r="A790" s="109" t="s">
        <v>355</v>
      </c>
      <c r="B790" s="26">
        <v>37</v>
      </c>
      <c r="C790" s="109" t="s">
        <v>228</v>
      </c>
      <c r="D790" s="38">
        <v>2</v>
      </c>
      <c r="E790" s="38">
        <v>2</v>
      </c>
      <c r="F790" s="38">
        <v>2</v>
      </c>
      <c r="G790" s="38" t="s">
        <v>51</v>
      </c>
      <c r="H790" s="38">
        <v>4</v>
      </c>
      <c r="I790" s="38" t="s">
        <v>51</v>
      </c>
      <c r="J790" s="38" t="s">
        <v>41</v>
      </c>
      <c r="K790" s="38"/>
      <c r="L790" s="38">
        <v>6</v>
      </c>
      <c r="M790" s="40"/>
      <c r="N790" s="36"/>
      <c r="O790" s="36"/>
      <c r="P790" s="36"/>
      <c r="Q790" s="36"/>
      <c r="R790" s="36"/>
      <c r="S790" s="36"/>
      <c r="T790" s="36"/>
      <c r="U790" s="36" t="s">
        <v>40</v>
      </c>
      <c r="V790" s="36">
        <f>6/16</f>
        <v>0.375</v>
      </c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8"/>
      <c r="BF790" s="38"/>
      <c r="BG790" s="37"/>
      <c r="BH790" s="26"/>
      <c r="BI790" s="26"/>
      <c r="BJ790" s="26"/>
      <c r="BK790" s="26"/>
      <c r="BL790" s="26"/>
      <c r="BM790" s="26"/>
      <c r="BN790" s="26">
        <v>1</v>
      </c>
      <c r="BO790" s="37">
        <f t="shared" si="86"/>
        <v>0</v>
      </c>
      <c r="BP790" s="56">
        <f t="shared" si="87"/>
        <v>0</v>
      </c>
      <c r="BQ790" s="56">
        <f t="shared" si="88"/>
        <v>0</v>
      </c>
      <c r="BR790" s="57">
        <f t="shared" si="89"/>
        <v>1</v>
      </c>
      <c r="BS790" s="38"/>
      <c r="BT790" s="38"/>
      <c r="BU790" s="26"/>
      <c r="BV790" s="26"/>
      <c r="BW790" s="39">
        <f t="shared" si="90"/>
        <v>1</v>
      </c>
      <c r="BX790" s="78">
        <v>4</v>
      </c>
      <c r="BY790" s="63">
        <v>10</v>
      </c>
      <c r="BZ790" s="7"/>
      <c r="CA790" s="8"/>
      <c r="CB790" s="7"/>
      <c r="CC790" s="7"/>
    </row>
    <row r="791" spans="1:81" x14ac:dyDescent="0.2">
      <c r="A791" s="109" t="s">
        <v>355</v>
      </c>
      <c r="B791" s="26">
        <v>37</v>
      </c>
      <c r="C791" s="109" t="s">
        <v>228</v>
      </c>
      <c r="D791" s="38">
        <v>3</v>
      </c>
      <c r="E791" s="38">
        <v>2</v>
      </c>
      <c r="F791" s="38">
        <v>2</v>
      </c>
      <c r="G791" s="38" t="s">
        <v>51</v>
      </c>
      <c r="H791" s="38">
        <v>4</v>
      </c>
      <c r="I791" s="38" t="s">
        <v>51</v>
      </c>
      <c r="J791" s="38" t="s">
        <v>41</v>
      </c>
      <c r="K791" s="38"/>
      <c r="L791" s="38">
        <v>6</v>
      </c>
      <c r="M791" s="40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8"/>
      <c r="BF791" s="38"/>
      <c r="BG791" s="37"/>
      <c r="BH791" s="26"/>
      <c r="BI791" s="26"/>
      <c r="BJ791" s="26"/>
      <c r="BK791" s="26"/>
      <c r="BL791" s="26"/>
      <c r="BM791" s="26"/>
      <c r="BN791" s="26"/>
      <c r="BO791" s="37">
        <f t="shared" si="86"/>
        <v>0</v>
      </c>
      <c r="BP791" s="56">
        <f t="shared" si="87"/>
        <v>0</v>
      </c>
      <c r="BQ791" s="56">
        <f t="shared" si="88"/>
        <v>0</v>
      </c>
      <c r="BR791" s="57">
        <f t="shared" si="89"/>
        <v>0</v>
      </c>
      <c r="BS791" s="38"/>
      <c r="BT791" s="38"/>
      <c r="BU791" s="26"/>
      <c r="BV791" s="26"/>
      <c r="BW791" s="39">
        <f t="shared" si="90"/>
        <v>0</v>
      </c>
      <c r="BX791" s="78">
        <v>0</v>
      </c>
      <c r="BY791" s="63">
        <v>10</v>
      </c>
      <c r="BZ791" s="7"/>
      <c r="CA791" s="8"/>
      <c r="CB791" s="7"/>
      <c r="CC791" s="7"/>
    </row>
    <row r="792" spans="1:81" ht="16" x14ac:dyDescent="0.2">
      <c r="A792" s="109" t="s">
        <v>355</v>
      </c>
      <c r="B792" s="26">
        <v>37</v>
      </c>
      <c r="C792" s="109" t="s">
        <v>228</v>
      </c>
      <c r="D792" s="38">
        <v>4</v>
      </c>
      <c r="E792" s="38">
        <v>2</v>
      </c>
      <c r="F792" s="38">
        <v>2</v>
      </c>
      <c r="G792" s="38" t="s">
        <v>51</v>
      </c>
      <c r="H792" s="38">
        <v>4</v>
      </c>
      <c r="I792" s="38" t="s">
        <v>51</v>
      </c>
      <c r="J792" s="38" t="s">
        <v>37</v>
      </c>
      <c r="K792" s="38"/>
      <c r="L792" s="38">
        <v>6</v>
      </c>
      <c r="M792" s="40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 t="s">
        <v>39</v>
      </c>
      <c r="AP792" s="36">
        <f>7.5/16</f>
        <v>0.46875</v>
      </c>
      <c r="AQ792" s="36"/>
      <c r="AR792" s="36"/>
      <c r="AS792" s="36" t="s">
        <v>39</v>
      </c>
      <c r="AT792" s="36">
        <f>5/16</f>
        <v>0.3125</v>
      </c>
      <c r="AU792" s="36"/>
      <c r="AV792" s="36"/>
      <c r="AW792" s="36" t="s">
        <v>39</v>
      </c>
      <c r="AX792" s="36">
        <f>12.5/16</f>
        <v>0.78125</v>
      </c>
      <c r="AY792" s="36"/>
      <c r="AZ792" s="36"/>
      <c r="BA792" s="36"/>
      <c r="BB792" s="36"/>
      <c r="BC792" s="36"/>
      <c r="BD792" s="36"/>
      <c r="BE792" s="38"/>
      <c r="BF792" s="38"/>
      <c r="BG792" s="37"/>
      <c r="BH792" s="26"/>
      <c r="BI792" s="26">
        <v>1</v>
      </c>
      <c r="BJ792" s="26">
        <v>2</v>
      </c>
      <c r="BK792" s="26"/>
      <c r="BL792" s="26"/>
      <c r="BM792" s="26"/>
      <c r="BN792" s="26"/>
      <c r="BO792" s="37">
        <f t="shared" si="86"/>
        <v>1</v>
      </c>
      <c r="BP792" s="56">
        <f t="shared" si="87"/>
        <v>2</v>
      </c>
      <c r="BQ792" s="56">
        <f t="shared" si="88"/>
        <v>0</v>
      </c>
      <c r="BR792" s="57">
        <f t="shared" si="89"/>
        <v>0</v>
      </c>
      <c r="BS792" s="38"/>
      <c r="BT792" s="38"/>
      <c r="BU792" s="26"/>
      <c r="BV792" s="26"/>
      <c r="BW792" s="39">
        <f t="shared" si="90"/>
        <v>3</v>
      </c>
      <c r="BX792" s="78">
        <v>2</v>
      </c>
      <c r="BY792" s="63">
        <v>9</v>
      </c>
      <c r="BZ792" s="7"/>
      <c r="CA792" s="8"/>
      <c r="CB792" s="7"/>
      <c r="CC792" s="7"/>
    </row>
    <row r="793" spans="1:81" ht="16" x14ac:dyDescent="0.2">
      <c r="A793" s="109" t="s">
        <v>355</v>
      </c>
      <c r="B793" s="26">
        <v>37</v>
      </c>
      <c r="C793" s="109" t="s">
        <v>229</v>
      </c>
      <c r="D793" s="38">
        <v>1</v>
      </c>
      <c r="E793" s="38">
        <v>2</v>
      </c>
      <c r="F793" s="38">
        <v>2</v>
      </c>
      <c r="G793" s="38" t="s">
        <v>51</v>
      </c>
      <c r="H793" s="38">
        <v>4</v>
      </c>
      <c r="I793" s="38" t="s">
        <v>51</v>
      </c>
      <c r="J793" s="38"/>
      <c r="K793" s="38">
        <v>6</v>
      </c>
      <c r="L793" s="38">
        <v>6</v>
      </c>
      <c r="M793" s="40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 t="s">
        <v>39</v>
      </c>
      <c r="AH793" s="36">
        <f>14/16</f>
        <v>0.875</v>
      </c>
      <c r="AI793" s="36"/>
      <c r="AJ793" s="36"/>
      <c r="AK793" s="36"/>
      <c r="AL793" s="36"/>
      <c r="AM793" s="36"/>
      <c r="AN793" s="36"/>
      <c r="AO793" s="36"/>
      <c r="AP793" s="36"/>
      <c r="AQ793" s="36" t="s">
        <v>38</v>
      </c>
      <c r="AR793" s="36">
        <f>10/16</f>
        <v>0.625</v>
      </c>
      <c r="AS793" s="36"/>
      <c r="AT793" s="36"/>
      <c r="AU793" s="36"/>
      <c r="AV793" s="36"/>
      <c r="AW793" s="36"/>
      <c r="AX793" s="36"/>
      <c r="AY793" s="36" t="s">
        <v>38</v>
      </c>
      <c r="AZ793" s="36">
        <f>13.5/16</f>
        <v>0.84375</v>
      </c>
      <c r="BA793" s="36"/>
      <c r="BB793" s="36"/>
      <c r="BC793" s="36"/>
      <c r="BD793" s="36"/>
      <c r="BE793" s="38"/>
      <c r="BF793" s="38"/>
      <c r="BG793" s="37">
        <v>1</v>
      </c>
      <c r="BH793" s="26">
        <v>1</v>
      </c>
      <c r="BI793" s="26">
        <v>1</v>
      </c>
      <c r="BJ793" s="26"/>
      <c r="BK793" s="26"/>
      <c r="BL793" s="26"/>
      <c r="BM793" s="26"/>
      <c r="BN793" s="26"/>
      <c r="BO793" s="37">
        <f t="shared" si="86"/>
        <v>2</v>
      </c>
      <c r="BP793" s="56">
        <f t="shared" si="87"/>
        <v>1</v>
      </c>
      <c r="BQ793" s="56">
        <f t="shared" si="88"/>
        <v>0</v>
      </c>
      <c r="BR793" s="57">
        <f t="shared" si="89"/>
        <v>0</v>
      </c>
      <c r="BS793" s="38"/>
      <c r="BT793" s="38"/>
      <c r="BU793" s="26"/>
      <c r="BV793" s="26"/>
      <c r="BW793" s="39">
        <f t="shared" si="90"/>
        <v>3</v>
      </c>
      <c r="BX793" s="78">
        <v>2</v>
      </c>
      <c r="BY793" s="63">
        <v>1</v>
      </c>
      <c r="BZ793" s="7"/>
      <c r="CA793" s="8"/>
      <c r="CB793" s="7"/>
      <c r="CC793" s="7"/>
    </row>
    <row r="794" spans="1:81" x14ac:dyDescent="0.2">
      <c r="A794" s="109" t="s">
        <v>355</v>
      </c>
      <c r="B794" s="26">
        <v>37</v>
      </c>
      <c r="C794" s="109" t="s">
        <v>229</v>
      </c>
      <c r="D794" s="38">
        <v>2</v>
      </c>
      <c r="E794" s="38">
        <v>2</v>
      </c>
      <c r="F794" s="38">
        <v>2</v>
      </c>
      <c r="G794" s="38" t="s">
        <v>51</v>
      </c>
      <c r="H794" s="38">
        <v>4</v>
      </c>
      <c r="I794" s="38" t="s">
        <v>51</v>
      </c>
      <c r="J794" s="38" t="s">
        <v>42</v>
      </c>
      <c r="K794" s="38"/>
      <c r="L794" s="38">
        <v>6</v>
      </c>
      <c r="M794" s="40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8"/>
      <c r="BF794" s="38"/>
      <c r="BG794" s="37"/>
      <c r="BH794" s="26"/>
      <c r="BI794" s="26"/>
      <c r="BJ794" s="26"/>
      <c r="BK794" s="26"/>
      <c r="BL794" s="26"/>
      <c r="BM794" s="26"/>
      <c r="BN794" s="26"/>
      <c r="BO794" s="37">
        <f t="shared" si="86"/>
        <v>0</v>
      </c>
      <c r="BP794" s="56">
        <f t="shared" si="87"/>
        <v>0</v>
      </c>
      <c r="BQ794" s="56">
        <f t="shared" si="88"/>
        <v>0</v>
      </c>
      <c r="BR794" s="57">
        <f t="shared" si="89"/>
        <v>0</v>
      </c>
      <c r="BS794" s="38"/>
      <c r="BT794" s="38"/>
      <c r="BU794" s="26"/>
      <c r="BV794" s="26"/>
      <c r="BW794" s="39">
        <f t="shared" si="90"/>
        <v>0</v>
      </c>
      <c r="BX794" s="78">
        <v>0</v>
      </c>
      <c r="BY794" s="63">
        <v>8</v>
      </c>
      <c r="BZ794" s="7"/>
      <c r="CA794" s="8"/>
      <c r="CB794" s="7"/>
      <c r="CC794" s="7"/>
    </row>
    <row r="795" spans="1:81" ht="16" x14ac:dyDescent="0.2">
      <c r="A795" s="109" t="s">
        <v>355</v>
      </c>
      <c r="B795" s="26">
        <v>37</v>
      </c>
      <c r="C795" s="109" t="s">
        <v>229</v>
      </c>
      <c r="D795" s="38">
        <v>4</v>
      </c>
      <c r="E795" s="38">
        <v>2</v>
      </c>
      <c r="F795" s="38">
        <v>2</v>
      </c>
      <c r="G795" s="38" t="s">
        <v>51</v>
      </c>
      <c r="H795" s="38">
        <v>5</v>
      </c>
      <c r="I795" s="38" t="s">
        <v>56</v>
      </c>
      <c r="J795" s="38"/>
      <c r="K795" s="38">
        <v>10</v>
      </c>
      <c r="L795" s="38">
        <v>6</v>
      </c>
      <c r="M795" s="40"/>
      <c r="N795" s="36"/>
      <c r="O795" s="36"/>
      <c r="P795" s="36"/>
      <c r="Q795" s="36"/>
      <c r="R795" s="36"/>
      <c r="S795" s="36" t="s">
        <v>38</v>
      </c>
      <c r="T795" s="36">
        <f>7/16</f>
        <v>0.4375</v>
      </c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 t="s">
        <v>39</v>
      </c>
      <c r="AF795" s="36"/>
      <c r="AG795" s="36"/>
      <c r="AH795" s="36"/>
      <c r="AI795" s="36"/>
      <c r="AJ795" s="36"/>
      <c r="AK795" s="36"/>
      <c r="AL795" s="36"/>
      <c r="AM795" s="36" t="s">
        <v>39</v>
      </c>
      <c r="AN795" s="36">
        <f>12/16</f>
        <v>0.75</v>
      </c>
      <c r="AO795" s="36" t="s">
        <v>38</v>
      </c>
      <c r="AP795" s="36">
        <f>14.5/16</f>
        <v>0.90625</v>
      </c>
      <c r="AQ795" s="36"/>
      <c r="AR795" s="36"/>
      <c r="AS795" s="36"/>
      <c r="AT795" s="36"/>
      <c r="AU795" s="36"/>
      <c r="AV795" s="36"/>
      <c r="AW795" s="36"/>
      <c r="AX795" s="36"/>
      <c r="AY795" s="36"/>
      <c r="AZ795" s="36"/>
      <c r="BA795" s="36" t="s">
        <v>39</v>
      </c>
      <c r="BB795" s="36">
        <f>16/16</f>
        <v>1</v>
      </c>
      <c r="BC795" s="36"/>
      <c r="BD795" s="36"/>
      <c r="BE795" s="38"/>
      <c r="BF795" s="38"/>
      <c r="BG795" s="37">
        <v>1</v>
      </c>
      <c r="BH795" s="26">
        <v>1</v>
      </c>
      <c r="BI795" s="26">
        <v>2</v>
      </c>
      <c r="BJ795" s="26">
        <v>1</v>
      </c>
      <c r="BK795" s="26"/>
      <c r="BL795" s="26"/>
      <c r="BM795" s="26"/>
      <c r="BN795" s="26"/>
      <c r="BO795" s="37">
        <f t="shared" si="86"/>
        <v>3</v>
      </c>
      <c r="BP795" s="56">
        <f t="shared" si="87"/>
        <v>2</v>
      </c>
      <c r="BQ795" s="56">
        <f t="shared" si="88"/>
        <v>0</v>
      </c>
      <c r="BR795" s="57">
        <f t="shared" si="89"/>
        <v>0</v>
      </c>
      <c r="BS795" s="38"/>
      <c r="BT795" s="38"/>
      <c r="BU795" s="26"/>
      <c r="BV795" s="26"/>
      <c r="BW795" s="39">
        <f t="shared" si="90"/>
        <v>5</v>
      </c>
      <c r="BX795" s="78">
        <v>2</v>
      </c>
      <c r="BY795" s="63">
        <v>1</v>
      </c>
      <c r="BZ795" s="7"/>
      <c r="CA795" s="8"/>
      <c r="CB795" s="7"/>
      <c r="CC795" s="7"/>
    </row>
    <row r="796" spans="1:81" ht="16" x14ac:dyDescent="0.2">
      <c r="A796" s="109" t="s">
        <v>355</v>
      </c>
      <c r="B796" s="26">
        <v>37</v>
      </c>
      <c r="C796" s="109" t="s">
        <v>229</v>
      </c>
      <c r="D796" s="38">
        <v>5</v>
      </c>
      <c r="E796" s="38">
        <v>2</v>
      </c>
      <c r="F796" s="38">
        <v>2</v>
      </c>
      <c r="G796" s="38" t="s">
        <v>51</v>
      </c>
      <c r="H796" s="38">
        <v>4</v>
      </c>
      <c r="I796" s="38" t="s">
        <v>51</v>
      </c>
      <c r="J796" s="38"/>
      <c r="K796" s="38">
        <v>10</v>
      </c>
      <c r="L796" s="38">
        <v>6</v>
      </c>
      <c r="M796" s="40"/>
      <c r="N796" s="36"/>
      <c r="O796" s="36"/>
      <c r="P796" s="36"/>
      <c r="Q796" s="36"/>
      <c r="R796" s="36"/>
      <c r="S796" s="36"/>
      <c r="T796" s="36"/>
      <c r="U796" s="36" t="s">
        <v>39</v>
      </c>
      <c r="V796" s="36">
        <f>6/16</f>
        <v>0.375</v>
      </c>
      <c r="W796" s="36"/>
      <c r="X796" s="36"/>
      <c r="Y796" s="36"/>
      <c r="Z796" s="36"/>
      <c r="AA796" s="36" t="s">
        <v>39</v>
      </c>
      <c r="AB796" s="36">
        <f>14/16</f>
        <v>0.875</v>
      </c>
      <c r="AC796" s="36" t="s">
        <v>38</v>
      </c>
      <c r="AD796" s="36">
        <f>13.5/16</f>
        <v>0.84375</v>
      </c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  <c r="AW796" s="36" t="s">
        <v>38</v>
      </c>
      <c r="AX796" s="36">
        <f>10/16</f>
        <v>0.625</v>
      </c>
      <c r="AY796" s="36"/>
      <c r="AZ796" s="36"/>
      <c r="BA796" s="36" t="s">
        <v>38</v>
      </c>
      <c r="BB796" s="36">
        <f>11.5/16</f>
        <v>0.71875</v>
      </c>
      <c r="BC796" s="36"/>
      <c r="BD796" s="36"/>
      <c r="BE796" s="38"/>
      <c r="BF796" s="38"/>
      <c r="BG796" s="39">
        <v>2</v>
      </c>
      <c r="BH796" s="38">
        <v>1</v>
      </c>
      <c r="BI796" s="38">
        <v>1</v>
      </c>
      <c r="BJ796" s="38">
        <v>1</v>
      </c>
      <c r="BK796" s="38"/>
      <c r="BL796" s="38"/>
      <c r="BM796" s="38"/>
      <c r="BO796" s="37">
        <f t="shared" si="86"/>
        <v>3</v>
      </c>
      <c r="BP796" s="56">
        <f t="shared" si="87"/>
        <v>2</v>
      </c>
      <c r="BQ796" s="56">
        <f t="shared" si="88"/>
        <v>0</v>
      </c>
      <c r="BR796" s="57">
        <f t="shared" si="89"/>
        <v>0</v>
      </c>
      <c r="BS796" s="38"/>
      <c r="BT796" s="38"/>
      <c r="BU796" s="26"/>
      <c r="BV796" s="26"/>
      <c r="BW796" s="39">
        <f t="shared" si="90"/>
        <v>5</v>
      </c>
      <c r="BX796" s="78">
        <v>2</v>
      </c>
      <c r="BY796" s="63">
        <v>1</v>
      </c>
    </row>
    <row r="797" spans="1:81" x14ac:dyDescent="0.2">
      <c r="A797" s="109" t="s">
        <v>355</v>
      </c>
      <c r="B797" s="26">
        <v>37</v>
      </c>
      <c r="C797" s="109" t="s">
        <v>229</v>
      </c>
      <c r="D797" s="38">
        <v>6</v>
      </c>
      <c r="E797" s="38">
        <v>2</v>
      </c>
      <c r="F797" s="38">
        <v>2</v>
      </c>
      <c r="G797" s="38" t="s">
        <v>51</v>
      </c>
      <c r="H797" s="38">
        <v>4</v>
      </c>
      <c r="I797" s="38" t="s">
        <v>51</v>
      </c>
      <c r="J797" s="38" t="s">
        <v>42</v>
      </c>
      <c r="K797" s="38"/>
      <c r="L797" s="38">
        <v>6</v>
      </c>
      <c r="M797" s="40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8"/>
      <c r="BF797" s="38"/>
      <c r="BG797" s="39"/>
      <c r="BH797" s="38"/>
      <c r="BI797" s="38"/>
      <c r="BJ797" s="38"/>
      <c r="BK797" s="38"/>
      <c r="BL797" s="38"/>
      <c r="BM797" s="38"/>
      <c r="BN797" s="38"/>
      <c r="BO797" s="37">
        <f t="shared" si="86"/>
        <v>0</v>
      </c>
      <c r="BP797" s="56">
        <f t="shared" si="87"/>
        <v>0</v>
      </c>
      <c r="BQ797" s="56">
        <f t="shared" si="88"/>
        <v>0</v>
      </c>
      <c r="BR797" s="57">
        <f t="shared" si="89"/>
        <v>0</v>
      </c>
      <c r="BS797" s="38"/>
      <c r="BT797" s="38"/>
      <c r="BU797" s="26"/>
      <c r="BV797" s="26"/>
      <c r="BW797" s="39">
        <f t="shared" si="90"/>
        <v>0</v>
      </c>
      <c r="BX797" s="78">
        <v>0</v>
      </c>
      <c r="BY797" s="63">
        <v>8</v>
      </c>
      <c r="BZ797" s="7"/>
      <c r="CA797" s="8"/>
      <c r="CB797" s="7"/>
      <c r="CC797" s="7"/>
    </row>
    <row r="798" spans="1:81" ht="16" x14ac:dyDescent="0.2">
      <c r="A798" s="109" t="s">
        <v>355</v>
      </c>
      <c r="B798" s="26">
        <v>37</v>
      </c>
      <c r="C798" s="109" t="s">
        <v>229</v>
      </c>
      <c r="D798" s="38">
        <v>7</v>
      </c>
      <c r="E798" s="38">
        <v>2</v>
      </c>
      <c r="F798" s="38">
        <v>2</v>
      </c>
      <c r="G798" s="38" t="s">
        <v>51</v>
      </c>
      <c r="H798" s="38">
        <v>4</v>
      </c>
      <c r="I798" s="38" t="s">
        <v>51</v>
      </c>
      <c r="J798" s="38" t="s">
        <v>42</v>
      </c>
      <c r="K798" s="38"/>
      <c r="L798" s="38">
        <v>6</v>
      </c>
      <c r="M798" s="40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  <c r="AW798" s="36"/>
      <c r="AX798" s="36"/>
      <c r="AY798" s="36"/>
      <c r="AZ798" s="36"/>
      <c r="BA798" s="36" t="s">
        <v>38</v>
      </c>
      <c r="BB798" s="36">
        <f>15.5/16</f>
        <v>0.96875</v>
      </c>
      <c r="BC798" s="36"/>
      <c r="BD798" s="36"/>
      <c r="BE798" s="38"/>
      <c r="BF798" s="38"/>
      <c r="BG798" s="39">
        <v>1</v>
      </c>
      <c r="BH798" s="38"/>
      <c r="BI798" s="38"/>
      <c r="BJ798" s="38"/>
      <c r="BK798" s="38"/>
      <c r="BL798" s="38"/>
      <c r="BM798" s="38"/>
      <c r="BN798" s="38"/>
      <c r="BO798" s="37">
        <f t="shared" si="86"/>
        <v>1</v>
      </c>
      <c r="BP798" s="56">
        <f t="shared" si="87"/>
        <v>0</v>
      </c>
      <c r="BQ798" s="56">
        <f t="shared" si="88"/>
        <v>0</v>
      </c>
      <c r="BR798" s="57">
        <f t="shared" si="89"/>
        <v>0</v>
      </c>
      <c r="BS798" s="38"/>
      <c r="BT798" s="38"/>
      <c r="BU798" s="26"/>
      <c r="BV798" s="26"/>
      <c r="BW798" s="39">
        <f t="shared" si="90"/>
        <v>1</v>
      </c>
      <c r="BX798" s="78">
        <v>1</v>
      </c>
      <c r="BY798" s="63">
        <v>8</v>
      </c>
      <c r="BZ798" s="7"/>
      <c r="CA798" s="8"/>
      <c r="CB798" s="7"/>
      <c r="CC798" s="7"/>
    </row>
    <row r="799" spans="1:81" ht="16" x14ac:dyDescent="0.2">
      <c r="A799" s="109" t="s">
        <v>355</v>
      </c>
      <c r="B799" s="26">
        <v>37</v>
      </c>
      <c r="C799" s="109" t="s">
        <v>229</v>
      </c>
      <c r="D799" s="38">
        <v>8</v>
      </c>
      <c r="E799" s="38">
        <v>2</v>
      </c>
      <c r="F799" s="38">
        <v>2</v>
      </c>
      <c r="G799" s="38" t="s">
        <v>51</v>
      </c>
      <c r="H799" s="38">
        <v>4</v>
      </c>
      <c r="I799" s="38" t="s">
        <v>51</v>
      </c>
      <c r="J799" s="38"/>
      <c r="K799" s="38">
        <v>8</v>
      </c>
      <c r="L799" s="38">
        <v>6</v>
      </c>
      <c r="M799" s="40"/>
      <c r="N799" s="36"/>
      <c r="O799" s="36"/>
      <c r="P799" s="36"/>
      <c r="Q799" s="36" t="s">
        <v>55</v>
      </c>
      <c r="R799" s="36">
        <f>9/16</f>
        <v>0.5625</v>
      </c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 t="s">
        <v>38</v>
      </c>
      <c r="AR799" s="36">
        <f>11.5/16</f>
        <v>0.71875</v>
      </c>
      <c r="AS799" s="36" t="s">
        <v>48</v>
      </c>
      <c r="AT799" s="36">
        <f>7/16</f>
        <v>0.4375</v>
      </c>
      <c r="AU799" s="36"/>
      <c r="AV799" s="36"/>
      <c r="AW799" s="36" t="s">
        <v>38</v>
      </c>
      <c r="AX799" s="36">
        <f>9/16</f>
        <v>0.5625</v>
      </c>
      <c r="AY799" s="36"/>
      <c r="AZ799" s="36"/>
      <c r="BA799" s="36" t="s">
        <v>39</v>
      </c>
      <c r="BB799" s="36">
        <f>7/16</f>
        <v>0.4375</v>
      </c>
      <c r="BC799" s="36"/>
      <c r="BD799" s="36"/>
      <c r="BE799" s="38"/>
      <c r="BF799" s="38"/>
      <c r="BG799" s="39">
        <v>1</v>
      </c>
      <c r="BH799" s="38">
        <v>1</v>
      </c>
      <c r="BI799" s="38"/>
      <c r="BJ799" s="38">
        <v>1</v>
      </c>
      <c r="BK799" s="38"/>
      <c r="BL799" s="38">
        <v>2</v>
      </c>
      <c r="BM799" s="38"/>
      <c r="BN799" s="38"/>
      <c r="BO799" s="37">
        <f t="shared" si="86"/>
        <v>1</v>
      </c>
      <c r="BP799" s="56">
        <f t="shared" si="87"/>
        <v>2</v>
      </c>
      <c r="BQ799" s="56">
        <f t="shared" si="88"/>
        <v>0</v>
      </c>
      <c r="BR799" s="57">
        <f t="shared" si="89"/>
        <v>2</v>
      </c>
      <c r="BS799" s="38"/>
      <c r="BT799" s="38"/>
      <c r="BU799" s="26"/>
      <c r="BV799" s="26"/>
      <c r="BW799" s="39">
        <f t="shared" si="90"/>
        <v>5</v>
      </c>
      <c r="BX799" s="78">
        <v>2</v>
      </c>
      <c r="BY799" s="63">
        <v>1</v>
      </c>
      <c r="BZ799" s="7"/>
      <c r="CA799" s="8"/>
      <c r="CB799" s="7"/>
      <c r="CC799" s="7"/>
    </row>
    <row r="800" spans="1:81" ht="16" x14ac:dyDescent="0.2">
      <c r="A800" s="109" t="s">
        <v>356</v>
      </c>
      <c r="B800" s="26">
        <v>32</v>
      </c>
      <c r="C800" s="109" t="s">
        <v>230</v>
      </c>
      <c r="D800" s="38">
        <v>1</v>
      </c>
      <c r="E800" s="38">
        <v>2</v>
      </c>
      <c r="F800" s="38" t="s">
        <v>53</v>
      </c>
      <c r="G800" s="38" t="s">
        <v>50</v>
      </c>
      <c r="H800" s="38"/>
      <c r="I800" s="38"/>
      <c r="J800" s="38"/>
      <c r="K800" s="38" t="s">
        <v>63</v>
      </c>
      <c r="L800" s="38">
        <v>6</v>
      </c>
      <c r="M800" s="40"/>
      <c r="N800" s="36"/>
      <c r="O800" s="36"/>
      <c r="P800" s="36"/>
      <c r="Q800" s="36" t="s">
        <v>38</v>
      </c>
      <c r="R800" s="36">
        <f>6.5/16</f>
        <v>0.40625</v>
      </c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8"/>
      <c r="BF800" s="38"/>
      <c r="BG800" s="39"/>
      <c r="BH800" s="38">
        <v>1</v>
      </c>
      <c r="BI800" s="38"/>
      <c r="BJ800" s="38"/>
      <c r="BK800" s="38"/>
      <c r="BL800" s="38"/>
      <c r="BM800" s="38"/>
      <c r="BN800" s="38"/>
      <c r="BO800" s="37">
        <f t="shared" si="86"/>
        <v>0</v>
      </c>
      <c r="BP800" s="56">
        <f t="shared" si="87"/>
        <v>1</v>
      </c>
      <c r="BQ800" s="56">
        <f t="shared" si="88"/>
        <v>0</v>
      </c>
      <c r="BR800" s="57">
        <f t="shared" si="89"/>
        <v>0</v>
      </c>
      <c r="BS800" s="38"/>
      <c r="BT800" s="38"/>
      <c r="BU800" s="26"/>
      <c r="BV800" s="26"/>
      <c r="BW800" s="39">
        <f t="shared" si="90"/>
        <v>1</v>
      </c>
      <c r="BX800" s="78">
        <v>3</v>
      </c>
      <c r="BY800" s="63">
        <v>2</v>
      </c>
      <c r="BZ800" s="7"/>
      <c r="CA800" s="8"/>
      <c r="CB800" s="7"/>
      <c r="CC800" s="7"/>
    </row>
    <row r="801" spans="1:81" x14ac:dyDescent="0.2">
      <c r="A801" s="109" t="s">
        <v>356</v>
      </c>
      <c r="B801" s="26">
        <v>32</v>
      </c>
      <c r="C801" s="109" t="s">
        <v>230</v>
      </c>
      <c r="D801" s="38">
        <v>2</v>
      </c>
      <c r="E801" s="38">
        <v>2</v>
      </c>
      <c r="F801" s="38">
        <v>2</v>
      </c>
      <c r="G801" s="38" t="s">
        <v>51</v>
      </c>
      <c r="H801" s="38">
        <v>4</v>
      </c>
      <c r="I801" s="38" t="s">
        <v>51</v>
      </c>
      <c r="J801" s="38" t="s">
        <v>41</v>
      </c>
      <c r="K801" s="38"/>
      <c r="L801" s="38">
        <v>6</v>
      </c>
      <c r="M801" s="40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8"/>
      <c r="BF801" s="38"/>
      <c r="BG801" s="39"/>
      <c r="BH801" s="38"/>
      <c r="BI801" s="38"/>
      <c r="BJ801" s="38"/>
      <c r="BK801" s="38"/>
      <c r="BL801" s="38"/>
      <c r="BM801" s="38"/>
      <c r="BN801" s="38"/>
      <c r="BO801" s="37">
        <f t="shared" si="86"/>
        <v>0</v>
      </c>
      <c r="BP801" s="56">
        <f t="shared" si="87"/>
        <v>0</v>
      </c>
      <c r="BQ801" s="56">
        <f t="shared" si="88"/>
        <v>0</v>
      </c>
      <c r="BR801" s="57">
        <f t="shared" si="89"/>
        <v>0</v>
      </c>
      <c r="BS801" s="38"/>
      <c r="BT801" s="38"/>
      <c r="BU801" s="26"/>
      <c r="BV801" s="26"/>
      <c r="BW801" s="39">
        <f t="shared" si="90"/>
        <v>0</v>
      </c>
      <c r="BX801" s="78">
        <v>0</v>
      </c>
      <c r="BY801" s="63">
        <v>10</v>
      </c>
      <c r="BZ801" s="7"/>
      <c r="CA801" s="8"/>
      <c r="CB801" s="7"/>
      <c r="CC801" s="7"/>
    </row>
    <row r="802" spans="1:81" ht="16" x14ac:dyDescent="0.2">
      <c r="A802" s="109" t="s">
        <v>356</v>
      </c>
      <c r="B802" s="26">
        <v>32</v>
      </c>
      <c r="C802" s="109" t="s">
        <v>230</v>
      </c>
      <c r="D802" s="38">
        <v>4</v>
      </c>
      <c r="E802" s="38">
        <v>2</v>
      </c>
      <c r="F802" s="38">
        <v>1</v>
      </c>
      <c r="G802" s="38" t="s">
        <v>54</v>
      </c>
      <c r="H802" s="38">
        <v>3</v>
      </c>
      <c r="I802" s="38" t="s">
        <v>56</v>
      </c>
      <c r="J802" s="38"/>
      <c r="K802" s="38">
        <v>6</v>
      </c>
      <c r="L802" s="38">
        <v>6</v>
      </c>
      <c r="M802" s="40"/>
      <c r="N802" s="36"/>
      <c r="O802" s="36"/>
      <c r="P802" s="36"/>
      <c r="Q802" s="36"/>
      <c r="R802" s="36"/>
      <c r="S802" s="36" t="s">
        <v>40</v>
      </c>
      <c r="T802" s="36">
        <f>11/16</f>
        <v>0.6875</v>
      </c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  <c r="AW802" s="36" t="s">
        <v>39</v>
      </c>
      <c r="AX802" s="36">
        <f>8/16</f>
        <v>0.5</v>
      </c>
      <c r="AY802" s="36"/>
      <c r="AZ802" s="36"/>
      <c r="BA802" s="36"/>
      <c r="BB802" s="36"/>
      <c r="BC802" s="36"/>
      <c r="BD802" s="36"/>
      <c r="BE802" s="38"/>
      <c r="BF802" s="38"/>
      <c r="BG802" s="39"/>
      <c r="BH802" s="38"/>
      <c r="BI802" s="38"/>
      <c r="BJ802" s="38">
        <v>1</v>
      </c>
      <c r="BK802" s="38"/>
      <c r="BL802" s="38"/>
      <c r="BM802" s="38"/>
      <c r="BN802" s="38">
        <v>1</v>
      </c>
      <c r="BO802" s="37">
        <f t="shared" si="86"/>
        <v>0</v>
      </c>
      <c r="BP802" s="56">
        <f t="shared" si="87"/>
        <v>1</v>
      </c>
      <c r="BQ802" s="56">
        <f t="shared" si="88"/>
        <v>0</v>
      </c>
      <c r="BR802" s="57">
        <f t="shared" si="89"/>
        <v>1</v>
      </c>
      <c r="BS802" s="38"/>
      <c r="BT802" s="38"/>
      <c r="BU802" s="26"/>
      <c r="BV802" s="26"/>
      <c r="BW802" s="39">
        <f t="shared" si="90"/>
        <v>2</v>
      </c>
      <c r="BX802" s="78">
        <v>4</v>
      </c>
      <c r="BY802" s="63">
        <v>1</v>
      </c>
      <c r="BZ802" s="7"/>
      <c r="CA802" s="8"/>
      <c r="CB802" s="7"/>
      <c r="CC802" s="7"/>
    </row>
    <row r="803" spans="1:81" ht="16" x14ac:dyDescent="0.2">
      <c r="A803" s="109" t="s">
        <v>357</v>
      </c>
      <c r="B803" s="38">
        <v>44</v>
      </c>
      <c r="C803" s="111" t="s">
        <v>231</v>
      </c>
      <c r="D803" s="38">
        <v>1</v>
      </c>
      <c r="E803" s="38">
        <v>2</v>
      </c>
      <c r="F803" s="38">
        <v>3</v>
      </c>
      <c r="G803" s="38" t="s">
        <v>50</v>
      </c>
      <c r="H803" s="38">
        <v>5</v>
      </c>
      <c r="I803" s="50" t="s">
        <v>54</v>
      </c>
      <c r="J803" s="38" t="s">
        <v>60</v>
      </c>
      <c r="K803" s="38"/>
      <c r="L803" s="38">
        <v>6</v>
      </c>
      <c r="M803" s="40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 t="s">
        <v>38</v>
      </c>
      <c r="Z803" s="36">
        <f>14.5/16</f>
        <v>0.90625</v>
      </c>
      <c r="AA803" s="36" t="s">
        <v>39</v>
      </c>
      <c r="AB803" s="36">
        <f>16/16</f>
        <v>1</v>
      </c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  <c r="AW803" s="36" t="s">
        <v>39</v>
      </c>
      <c r="AX803" s="36">
        <f>14/16</f>
        <v>0.875</v>
      </c>
      <c r="AY803" s="36"/>
      <c r="AZ803" s="36"/>
      <c r="BA803" s="36"/>
      <c r="BB803" s="36"/>
      <c r="BC803" s="36"/>
      <c r="BD803" s="36"/>
      <c r="BE803" s="38"/>
      <c r="BF803" s="38"/>
      <c r="BG803" s="39">
        <v>1</v>
      </c>
      <c r="BH803" s="38"/>
      <c r="BI803" s="38">
        <v>2</v>
      </c>
      <c r="BJ803" s="38"/>
      <c r="BK803" s="38"/>
      <c r="BL803" s="38"/>
      <c r="BM803" s="38"/>
      <c r="BN803" s="38"/>
      <c r="BO803" s="37">
        <f t="shared" si="86"/>
        <v>3</v>
      </c>
      <c r="BP803" s="56">
        <f t="shared" si="87"/>
        <v>0</v>
      </c>
      <c r="BQ803" s="56">
        <f t="shared" si="88"/>
        <v>0</v>
      </c>
      <c r="BR803" s="57">
        <f t="shared" si="89"/>
        <v>0</v>
      </c>
      <c r="BS803" s="38"/>
      <c r="BT803" s="38"/>
      <c r="BU803" s="26"/>
      <c r="BV803" s="26"/>
      <c r="BW803" s="39">
        <f t="shared" si="90"/>
        <v>3</v>
      </c>
      <c r="BX803" s="78">
        <v>1</v>
      </c>
      <c r="BY803" s="63">
        <v>7</v>
      </c>
      <c r="BZ803" s="7"/>
      <c r="CA803" s="8"/>
      <c r="CB803" s="7"/>
      <c r="CC803" s="7"/>
    </row>
    <row r="804" spans="1:81" ht="16" x14ac:dyDescent="0.2">
      <c r="A804" s="109" t="s">
        <v>357</v>
      </c>
      <c r="B804" s="38">
        <v>44</v>
      </c>
      <c r="C804" s="111" t="s">
        <v>231</v>
      </c>
      <c r="D804" s="38">
        <v>3</v>
      </c>
      <c r="E804" s="38">
        <v>2</v>
      </c>
      <c r="F804" s="38">
        <v>2</v>
      </c>
      <c r="G804" s="38" t="s">
        <v>51</v>
      </c>
      <c r="H804" s="38">
        <v>4</v>
      </c>
      <c r="I804" s="38" t="s">
        <v>51</v>
      </c>
      <c r="J804" s="38"/>
      <c r="K804" s="26" t="s">
        <v>47</v>
      </c>
      <c r="L804" s="38">
        <v>6</v>
      </c>
      <c r="M804" s="40"/>
      <c r="N804" s="36"/>
      <c r="O804" s="36" t="s">
        <v>38</v>
      </c>
      <c r="P804" s="36">
        <f>15.5/16</f>
        <v>0.96875</v>
      </c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 t="s">
        <v>39</v>
      </c>
      <c r="AH804" s="36">
        <f>17.5/16</f>
        <v>1.09375</v>
      </c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  <c r="AW804" s="36" t="s">
        <v>38</v>
      </c>
      <c r="AX804" s="36">
        <f>17.5/16</f>
        <v>1.09375</v>
      </c>
      <c r="AY804" s="36" t="s">
        <v>38</v>
      </c>
      <c r="AZ804" s="36">
        <f>17.5/16</f>
        <v>1.09375</v>
      </c>
      <c r="BA804" s="36"/>
      <c r="BB804" s="36"/>
      <c r="BC804" s="36"/>
      <c r="BD804" s="36"/>
      <c r="BE804" s="38"/>
      <c r="BF804" s="38"/>
      <c r="BG804" s="39">
        <v>3</v>
      </c>
      <c r="BH804" s="38"/>
      <c r="BI804" s="38">
        <v>1</v>
      </c>
      <c r="BJ804" s="38"/>
      <c r="BK804" s="38"/>
      <c r="BL804" s="38"/>
      <c r="BM804" s="38"/>
      <c r="BN804" s="38"/>
      <c r="BO804" s="37">
        <f t="shared" si="86"/>
        <v>4</v>
      </c>
      <c r="BP804" s="56">
        <f t="shared" si="87"/>
        <v>0</v>
      </c>
      <c r="BQ804" s="56">
        <f t="shared" si="88"/>
        <v>0</v>
      </c>
      <c r="BR804" s="57">
        <f t="shared" si="89"/>
        <v>0</v>
      </c>
      <c r="BS804" s="38"/>
      <c r="BT804" s="38"/>
      <c r="BU804" s="26"/>
      <c r="BV804" s="26"/>
      <c r="BW804" s="39">
        <f t="shared" si="90"/>
        <v>4</v>
      </c>
      <c r="BX804" s="78">
        <v>1</v>
      </c>
      <c r="BY804" s="63">
        <v>3</v>
      </c>
      <c r="BZ804" s="7"/>
      <c r="CA804" s="8"/>
      <c r="CB804" s="7"/>
      <c r="CC804" s="7"/>
    </row>
    <row r="805" spans="1:81" ht="16" x14ac:dyDescent="0.2">
      <c r="A805" s="109" t="s">
        <v>358</v>
      </c>
      <c r="B805" s="38">
        <v>42</v>
      </c>
      <c r="C805" s="111" t="s">
        <v>232</v>
      </c>
      <c r="D805" s="38">
        <v>2</v>
      </c>
      <c r="E805" s="38">
        <v>2</v>
      </c>
      <c r="F805" s="38">
        <v>2</v>
      </c>
      <c r="G805" s="38" t="s">
        <v>51</v>
      </c>
      <c r="H805" s="38">
        <v>4</v>
      </c>
      <c r="I805" s="38" t="s">
        <v>51</v>
      </c>
      <c r="J805" s="38" t="s">
        <v>60</v>
      </c>
      <c r="K805" s="38"/>
      <c r="L805" s="38">
        <v>6</v>
      </c>
      <c r="M805" s="40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 t="s">
        <v>39</v>
      </c>
      <c r="AH805" s="36">
        <f>11/13</f>
        <v>0.84615384615384615</v>
      </c>
      <c r="AI805" s="36"/>
      <c r="AJ805" s="36"/>
      <c r="AK805" s="36"/>
      <c r="AL805" s="36"/>
      <c r="AM805" s="36"/>
      <c r="AN805" s="36"/>
      <c r="AO805" s="36"/>
      <c r="AP805" s="36"/>
      <c r="AQ805" s="36" t="s">
        <v>38</v>
      </c>
      <c r="AR805" s="36">
        <f>13/13</f>
        <v>1</v>
      </c>
      <c r="AS805" s="36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8"/>
      <c r="BF805" s="38"/>
      <c r="BG805" s="39">
        <v>1</v>
      </c>
      <c r="BH805" s="38"/>
      <c r="BI805" s="38">
        <v>1</v>
      </c>
      <c r="BJ805" s="38"/>
      <c r="BK805" s="38"/>
      <c r="BL805" s="38"/>
      <c r="BM805" s="38"/>
      <c r="BN805" s="38"/>
      <c r="BO805" s="37">
        <f t="shared" si="86"/>
        <v>2</v>
      </c>
      <c r="BP805" s="56">
        <f t="shared" si="87"/>
        <v>0</v>
      </c>
      <c r="BQ805" s="56">
        <f t="shared" si="88"/>
        <v>0</v>
      </c>
      <c r="BR805" s="57">
        <f t="shared" si="89"/>
        <v>0</v>
      </c>
      <c r="BS805" s="38"/>
      <c r="BT805" s="38"/>
      <c r="BU805" s="26"/>
      <c r="BV805" s="26"/>
      <c r="BW805" s="39">
        <f t="shared" si="90"/>
        <v>2</v>
      </c>
      <c r="BX805" s="78">
        <v>1</v>
      </c>
      <c r="BY805" s="63">
        <v>7</v>
      </c>
      <c r="BZ805" s="7"/>
      <c r="CA805" s="8"/>
      <c r="CB805" s="7"/>
      <c r="CC805" s="7"/>
    </row>
    <row r="806" spans="1:81" ht="16" x14ac:dyDescent="0.2">
      <c r="A806" s="109" t="s">
        <v>358</v>
      </c>
      <c r="B806" s="38">
        <v>42</v>
      </c>
      <c r="C806" s="111" t="s">
        <v>232</v>
      </c>
      <c r="D806" s="38">
        <v>3</v>
      </c>
      <c r="E806" s="38">
        <v>2</v>
      </c>
      <c r="F806" s="38">
        <v>2</v>
      </c>
      <c r="G806" s="38" t="s">
        <v>51</v>
      </c>
      <c r="H806" s="38">
        <v>4</v>
      </c>
      <c r="I806" s="38" t="s">
        <v>51</v>
      </c>
      <c r="J806" s="38" t="s">
        <v>37</v>
      </c>
      <c r="K806" s="38"/>
      <c r="L806" s="38">
        <v>6</v>
      </c>
      <c r="M806" s="40"/>
      <c r="N806" s="36"/>
      <c r="O806" s="36" t="s">
        <v>38</v>
      </c>
      <c r="P806" s="36">
        <v>0.35</v>
      </c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 t="s">
        <v>39</v>
      </c>
      <c r="AF806" s="36">
        <f>14.5/13</f>
        <v>1.1153846153846154</v>
      </c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  <c r="AW806" s="36" t="s">
        <v>39</v>
      </c>
      <c r="AX806" s="36">
        <f>9/13</f>
        <v>0.69230769230769229</v>
      </c>
      <c r="AY806" s="36"/>
      <c r="AZ806" s="36"/>
      <c r="BA806" s="36"/>
      <c r="BB806" s="36"/>
      <c r="BC806" s="36"/>
      <c r="BD806" s="36"/>
      <c r="BE806" s="38"/>
      <c r="BF806" s="38"/>
      <c r="BG806" s="39"/>
      <c r="BH806" s="38">
        <v>1</v>
      </c>
      <c r="BI806" s="38">
        <v>1</v>
      </c>
      <c r="BJ806" s="38">
        <v>1</v>
      </c>
      <c r="BK806" s="38"/>
      <c r="BL806" s="38"/>
      <c r="BM806" s="38"/>
      <c r="BN806" s="38"/>
      <c r="BO806" s="37">
        <f t="shared" si="86"/>
        <v>1</v>
      </c>
      <c r="BP806" s="56">
        <f t="shared" si="87"/>
        <v>2</v>
      </c>
      <c r="BQ806" s="56">
        <f t="shared" si="88"/>
        <v>0</v>
      </c>
      <c r="BR806" s="57">
        <f t="shared" si="89"/>
        <v>0</v>
      </c>
      <c r="BS806" s="38"/>
      <c r="BT806" s="38"/>
      <c r="BU806" s="26"/>
      <c r="BV806" s="26"/>
      <c r="BW806" s="39">
        <f t="shared" si="90"/>
        <v>3</v>
      </c>
      <c r="BX806" s="78">
        <v>2</v>
      </c>
      <c r="BY806" s="63">
        <v>9</v>
      </c>
      <c r="BZ806" s="7"/>
      <c r="CA806" s="8"/>
      <c r="CB806" s="7"/>
      <c r="CC806" s="7"/>
    </row>
    <row r="807" spans="1:81" ht="16" x14ac:dyDescent="0.2">
      <c r="A807" s="109" t="s">
        <v>358</v>
      </c>
      <c r="B807" s="38">
        <v>42</v>
      </c>
      <c r="C807" s="111" t="s">
        <v>232</v>
      </c>
      <c r="D807" s="38">
        <v>4</v>
      </c>
      <c r="E807" s="38">
        <v>2</v>
      </c>
      <c r="F807" s="38">
        <v>2</v>
      </c>
      <c r="G807" s="38" t="s">
        <v>51</v>
      </c>
      <c r="H807" s="38">
        <v>4</v>
      </c>
      <c r="I807" s="38" t="s">
        <v>51</v>
      </c>
      <c r="J807" s="38" t="s">
        <v>41</v>
      </c>
      <c r="K807" s="38"/>
      <c r="L807" s="38">
        <v>5</v>
      </c>
      <c r="M807" s="40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 t="s">
        <v>39</v>
      </c>
      <c r="AR807" s="36">
        <f>11/13</f>
        <v>0.84615384615384615</v>
      </c>
      <c r="AS807" s="36"/>
      <c r="AT807" s="36"/>
      <c r="AU807" s="36"/>
      <c r="AV807" s="36"/>
      <c r="AW807" s="36"/>
      <c r="AX807" s="36"/>
      <c r="AY807" s="36"/>
      <c r="AZ807" s="36"/>
      <c r="BA807" s="36" t="s">
        <v>39</v>
      </c>
      <c r="BB807" s="36">
        <f>13.5/13</f>
        <v>1.0384615384615385</v>
      </c>
      <c r="BC807" s="36"/>
      <c r="BD807" s="36"/>
      <c r="BE807" s="38"/>
      <c r="BF807" s="38"/>
      <c r="BG807" s="39"/>
      <c r="BH807" s="38"/>
      <c r="BI807" s="38">
        <v>2</v>
      </c>
      <c r="BJ807" s="38"/>
      <c r="BK807" s="38"/>
      <c r="BL807" s="38"/>
      <c r="BM807" s="38"/>
      <c r="BN807" s="38"/>
      <c r="BO807" s="37">
        <f t="shared" si="86"/>
        <v>2</v>
      </c>
      <c r="BP807" s="56">
        <f t="shared" si="87"/>
        <v>0</v>
      </c>
      <c r="BQ807" s="56">
        <f t="shared" si="88"/>
        <v>0</v>
      </c>
      <c r="BR807" s="57">
        <f t="shared" si="89"/>
        <v>0</v>
      </c>
      <c r="BS807" s="38"/>
      <c r="BT807" s="38"/>
      <c r="BU807" s="26"/>
      <c r="BV807" s="26"/>
      <c r="BW807" s="39">
        <f t="shared" si="90"/>
        <v>2</v>
      </c>
      <c r="BX807" s="78">
        <v>1</v>
      </c>
      <c r="BY807" s="63">
        <v>10</v>
      </c>
      <c r="BZ807" s="7"/>
      <c r="CA807" s="8"/>
      <c r="CB807" s="7"/>
      <c r="CC807" s="7"/>
    </row>
    <row r="808" spans="1:81" ht="16" x14ac:dyDescent="0.2">
      <c r="A808" s="109" t="s">
        <v>359</v>
      </c>
      <c r="B808" s="38">
        <v>44</v>
      </c>
      <c r="C808" s="111" t="s">
        <v>233</v>
      </c>
      <c r="D808" s="38">
        <v>1</v>
      </c>
      <c r="E808" s="38">
        <v>2</v>
      </c>
      <c r="F808" s="38">
        <v>2</v>
      </c>
      <c r="G808" s="38" t="s">
        <v>51</v>
      </c>
      <c r="H808" s="38">
        <v>4</v>
      </c>
      <c r="I808" s="38" t="s">
        <v>51</v>
      </c>
      <c r="J808" s="38" t="s">
        <v>41</v>
      </c>
      <c r="K808" s="38"/>
      <c r="L808" s="38">
        <v>5</v>
      </c>
      <c r="M808" s="40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 t="s">
        <v>38</v>
      </c>
      <c r="AP808" s="36">
        <f>9/16</f>
        <v>0.5625</v>
      </c>
      <c r="AQ808" s="36" t="s">
        <v>38</v>
      </c>
      <c r="AR808" s="36">
        <f>10/16</f>
        <v>0.625</v>
      </c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8"/>
      <c r="BF808" s="38"/>
      <c r="BG808" s="39"/>
      <c r="BH808" s="38">
        <v>2</v>
      </c>
      <c r="BI808" s="38"/>
      <c r="BJ808" s="38"/>
      <c r="BK808" s="38"/>
      <c r="BL808" s="38"/>
      <c r="BM808" s="38"/>
      <c r="BN808" s="38"/>
      <c r="BO808" s="37">
        <f t="shared" si="86"/>
        <v>0</v>
      </c>
      <c r="BP808" s="56">
        <f t="shared" si="87"/>
        <v>2</v>
      </c>
      <c r="BQ808" s="56">
        <f t="shared" si="88"/>
        <v>0</v>
      </c>
      <c r="BR808" s="57">
        <f t="shared" si="89"/>
        <v>0</v>
      </c>
      <c r="BS808" s="38"/>
      <c r="BT808" s="38"/>
      <c r="BU808" s="26"/>
      <c r="BV808" s="26"/>
      <c r="BW808" s="39">
        <f t="shared" si="90"/>
        <v>2</v>
      </c>
      <c r="BX808" s="78">
        <v>3</v>
      </c>
      <c r="BY808" s="63">
        <v>10</v>
      </c>
      <c r="BZ808" s="7"/>
      <c r="CA808" s="8"/>
      <c r="CB808" s="7"/>
      <c r="CC808" s="7"/>
    </row>
    <row r="809" spans="1:81" ht="16" x14ac:dyDescent="0.2">
      <c r="A809" s="109" t="s">
        <v>359</v>
      </c>
      <c r="B809" s="38">
        <v>44</v>
      </c>
      <c r="C809" s="111" t="s">
        <v>233</v>
      </c>
      <c r="D809" s="38">
        <v>3</v>
      </c>
      <c r="E809" s="38">
        <v>2</v>
      </c>
      <c r="F809" s="38">
        <v>2</v>
      </c>
      <c r="G809" s="38" t="s">
        <v>51</v>
      </c>
      <c r="H809" s="38">
        <v>4</v>
      </c>
      <c r="I809" s="38" t="s">
        <v>51</v>
      </c>
      <c r="J809" s="38" t="s">
        <v>41</v>
      </c>
      <c r="K809" s="38"/>
      <c r="L809" s="38">
        <v>6</v>
      </c>
      <c r="M809" s="40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  <c r="BA809" s="36" t="s">
        <v>39</v>
      </c>
      <c r="BB809" s="36">
        <f>17/16</f>
        <v>1.0625</v>
      </c>
      <c r="BC809" s="36"/>
      <c r="BD809" s="36"/>
      <c r="BE809" s="38"/>
      <c r="BF809" s="38"/>
      <c r="BG809" s="39"/>
      <c r="BH809" s="38"/>
      <c r="BI809" s="38">
        <v>1</v>
      </c>
      <c r="BJ809" s="38"/>
      <c r="BK809" s="38"/>
      <c r="BL809" s="38"/>
      <c r="BM809" s="38"/>
      <c r="BN809" s="38"/>
      <c r="BO809" s="37">
        <f t="shared" si="86"/>
        <v>1</v>
      </c>
      <c r="BP809" s="56">
        <f t="shared" si="87"/>
        <v>0</v>
      </c>
      <c r="BQ809" s="56">
        <f t="shared" si="88"/>
        <v>0</v>
      </c>
      <c r="BR809" s="57">
        <f t="shared" si="89"/>
        <v>0</v>
      </c>
      <c r="BS809" s="38"/>
      <c r="BT809" s="38"/>
      <c r="BU809" s="26"/>
      <c r="BV809" s="26"/>
      <c r="BW809" s="39">
        <f t="shared" si="90"/>
        <v>1</v>
      </c>
      <c r="BX809" s="78">
        <v>1</v>
      </c>
      <c r="BY809" s="63">
        <v>10</v>
      </c>
      <c r="BZ809" s="7"/>
      <c r="CA809" s="8"/>
      <c r="CB809" s="7"/>
      <c r="CC809" s="7"/>
    </row>
    <row r="810" spans="1:81" ht="16" x14ac:dyDescent="0.2">
      <c r="A810" s="109" t="s">
        <v>359</v>
      </c>
      <c r="B810" s="38">
        <v>44</v>
      </c>
      <c r="C810" s="111" t="s">
        <v>233</v>
      </c>
      <c r="D810" s="38">
        <v>4</v>
      </c>
      <c r="E810" s="38">
        <v>2</v>
      </c>
      <c r="F810" s="38">
        <v>2</v>
      </c>
      <c r="G810" s="38" t="s">
        <v>51</v>
      </c>
      <c r="H810" s="38">
        <v>4</v>
      </c>
      <c r="I810" s="38" t="s">
        <v>51</v>
      </c>
      <c r="J810" s="38" t="s">
        <v>45</v>
      </c>
      <c r="K810" s="38"/>
      <c r="L810" s="38">
        <v>7</v>
      </c>
      <c r="M810" s="40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 t="s">
        <v>39</v>
      </c>
      <c r="AB810" s="36">
        <f>15/16</f>
        <v>0.9375</v>
      </c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 t="s">
        <v>39</v>
      </c>
      <c r="AP810" s="36">
        <f>14/16</f>
        <v>0.875</v>
      </c>
      <c r="AQ810" s="36"/>
      <c r="AR810" s="36"/>
      <c r="AS810" s="36"/>
      <c r="AT810" s="36"/>
      <c r="AU810" s="36" t="s">
        <v>39</v>
      </c>
      <c r="AV810" s="36">
        <f>15/16</f>
        <v>0.9375</v>
      </c>
      <c r="AW810" s="36"/>
      <c r="AX810" s="36"/>
      <c r="AY810" s="36"/>
      <c r="AZ810" s="36"/>
      <c r="BA810" s="36"/>
      <c r="BB810" s="36"/>
      <c r="BC810" s="36"/>
      <c r="BD810" s="36"/>
      <c r="BE810" s="38"/>
      <c r="BF810" s="38"/>
      <c r="BG810" s="39"/>
      <c r="BH810" s="38"/>
      <c r="BI810" s="38">
        <v>3</v>
      </c>
      <c r="BJ810" s="38"/>
      <c r="BK810" s="38"/>
      <c r="BL810" s="38"/>
      <c r="BM810" s="38"/>
      <c r="BN810" s="38"/>
      <c r="BO810" s="37">
        <f t="shared" si="86"/>
        <v>3</v>
      </c>
      <c r="BP810" s="56">
        <f t="shared" si="87"/>
        <v>0</v>
      </c>
      <c r="BQ810" s="56">
        <f t="shared" si="88"/>
        <v>0</v>
      </c>
      <c r="BR810" s="57">
        <f t="shared" si="89"/>
        <v>0</v>
      </c>
      <c r="BS810" s="38"/>
      <c r="BT810" s="38"/>
      <c r="BU810" s="26"/>
      <c r="BV810" s="26"/>
      <c r="BW810" s="39">
        <f t="shared" si="90"/>
        <v>3</v>
      </c>
      <c r="BX810" s="78">
        <v>1</v>
      </c>
      <c r="BY810" s="63">
        <v>5</v>
      </c>
      <c r="BZ810" s="7"/>
      <c r="CA810" s="8"/>
      <c r="CB810" s="7"/>
      <c r="CC810" s="7"/>
    </row>
    <row r="811" spans="1:81" ht="16" x14ac:dyDescent="0.2">
      <c r="A811" s="109" t="s">
        <v>360</v>
      </c>
      <c r="B811" s="38">
        <v>42</v>
      </c>
      <c r="C811" s="109" t="s">
        <v>234</v>
      </c>
      <c r="D811" s="38">
        <v>2</v>
      </c>
      <c r="E811" s="38">
        <v>2</v>
      </c>
      <c r="F811" s="38">
        <v>2</v>
      </c>
      <c r="G811" s="38" t="s">
        <v>51</v>
      </c>
      <c r="H811" s="38">
        <v>4</v>
      </c>
      <c r="I811" s="38" t="s">
        <v>51</v>
      </c>
      <c r="J811" s="38" t="s">
        <v>65</v>
      </c>
      <c r="K811" s="38"/>
      <c r="L811" s="38">
        <v>5</v>
      </c>
      <c r="M811" s="40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 t="s">
        <v>39</v>
      </c>
      <c r="AV811" s="36">
        <v>1</v>
      </c>
      <c r="AW811" s="36"/>
      <c r="AX811" s="36"/>
      <c r="AY811" s="36"/>
      <c r="AZ811" s="36"/>
      <c r="BA811" s="36"/>
      <c r="BB811" s="36"/>
      <c r="BC811" s="36"/>
      <c r="BD811" s="36"/>
      <c r="BE811" s="38"/>
      <c r="BF811" s="38"/>
      <c r="BG811" s="39"/>
      <c r="BH811" s="38"/>
      <c r="BI811" s="38">
        <v>1</v>
      </c>
      <c r="BJ811" s="38"/>
      <c r="BK811" s="38"/>
      <c r="BL811" s="38"/>
      <c r="BM811" s="38"/>
      <c r="BN811" s="38"/>
      <c r="BO811" s="37">
        <f t="shared" ref="BO811" si="91">BG811+BI811+BU811</f>
        <v>1</v>
      </c>
      <c r="BP811" s="56">
        <f t="shared" ref="BP811" si="92">BH811+BJ811</f>
        <v>0</v>
      </c>
      <c r="BQ811" s="56">
        <f t="shared" ref="BQ811" si="93">BK811+BM811+BV811+BS811</f>
        <v>0</v>
      </c>
      <c r="BR811" s="57">
        <f t="shared" ref="BR811" si="94">BL811+BN811+BT811</f>
        <v>0</v>
      </c>
      <c r="BS811" s="38"/>
      <c r="BT811" s="38"/>
      <c r="BU811" s="26"/>
      <c r="BV811" s="26"/>
      <c r="BW811" s="39">
        <f t="shared" si="90"/>
        <v>1</v>
      </c>
      <c r="BX811" s="78">
        <v>1</v>
      </c>
      <c r="BY811" s="63">
        <v>11</v>
      </c>
      <c r="BZ811" s="7"/>
      <c r="CA811" s="8"/>
      <c r="CB811" s="7"/>
      <c r="CC811" s="7"/>
    </row>
    <row r="812" spans="1:81" ht="16" x14ac:dyDescent="0.2">
      <c r="A812" s="109" t="s">
        <v>360</v>
      </c>
      <c r="B812" s="38">
        <v>42</v>
      </c>
      <c r="C812" s="109" t="s">
        <v>234</v>
      </c>
      <c r="D812" s="38">
        <v>6</v>
      </c>
      <c r="E812" s="38">
        <v>2</v>
      </c>
      <c r="F812" s="38">
        <v>2</v>
      </c>
      <c r="G812" s="38" t="s">
        <v>51</v>
      </c>
      <c r="H812" s="38">
        <v>4</v>
      </c>
      <c r="I812" s="38" t="s">
        <v>51</v>
      </c>
      <c r="J812" s="38" t="s">
        <v>42</v>
      </c>
      <c r="K812" s="38"/>
      <c r="L812" s="38">
        <v>5</v>
      </c>
      <c r="M812" s="40" t="s">
        <v>39</v>
      </c>
      <c r="N812" s="36">
        <f>15/16</f>
        <v>0.9375</v>
      </c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 t="s">
        <v>38</v>
      </c>
      <c r="AD812" s="36">
        <f>7/16</f>
        <v>0.4375</v>
      </c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8"/>
      <c r="BF812" s="38"/>
      <c r="BG812" s="39"/>
      <c r="BH812" s="38">
        <v>1</v>
      </c>
      <c r="BI812" s="38">
        <v>1</v>
      </c>
      <c r="BJ812" s="38"/>
      <c r="BK812" s="38"/>
      <c r="BL812" s="38"/>
      <c r="BM812" s="38"/>
      <c r="BN812" s="38"/>
      <c r="BO812" s="37">
        <f t="shared" ref="BO812:BO827" si="95">BG812+BI812+BU812</f>
        <v>1</v>
      </c>
      <c r="BP812" s="56">
        <f t="shared" ref="BP812:BP827" si="96">BH812+BJ812</f>
        <v>1</v>
      </c>
      <c r="BQ812" s="56">
        <f t="shared" ref="BQ812:BQ827" si="97">BK812+BM812+BV812+BS812</f>
        <v>0</v>
      </c>
      <c r="BR812" s="57">
        <f t="shared" ref="BR812:BR827" si="98">BL812+BN812+BT812</f>
        <v>0</v>
      </c>
      <c r="BS812" s="38"/>
      <c r="BT812" s="38"/>
      <c r="BU812" s="26"/>
      <c r="BV812" s="26"/>
      <c r="BW812" s="39">
        <f t="shared" ref="BW812:BW828" si="99">SUM(BO812:BR812)</f>
        <v>2</v>
      </c>
      <c r="BX812" s="78">
        <v>2</v>
      </c>
      <c r="BY812" s="63">
        <v>8</v>
      </c>
      <c r="BZ812" s="7"/>
      <c r="CA812" s="8"/>
      <c r="CB812" s="7"/>
      <c r="CC812" s="7"/>
    </row>
    <row r="813" spans="1:81" ht="16" x14ac:dyDescent="0.2">
      <c r="A813" s="109" t="s">
        <v>361</v>
      </c>
      <c r="B813" s="38">
        <v>42</v>
      </c>
      <c r="C813" s="109" t="s">
        <v>235</v>
      </c>
      <c r="D813" s="38">
        <v>1</v>
      </c>
      <c r="E813" s="38">
        <v>2</v>
      </c>
      <c r="F813" s="38">
        <v>2</v>
      </c>
      <c r="G813" s="38" t="s">
        <v>51</v>
      </c>
      <c r="H813" s="38">
        <v>4</v>
      </c>
      <c r="I813" s="38" t="s">
        <v>51</v>
      </c>
      <c r="J813" s="38" t="s">
        <v>60</v>
      </c>
      <c r="K813" s="38"/>
      <c r="L813" s="38">
        <v>6</v>
      </c>
      <c r="M813" s="40" t="s">
        <v>39</v>
      </c>
      <c r="N813" s="36">
        <f>14/16</f>
        <v>0.875</v>
      </c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8"/>
      <c r="BF813" s="38"/>
      <c r="BG813" s="39"/>
      <c r="BH813" s="38"/>
      <c r="BI813" s="38">
        <v>1</v>
      </c>
      <c r="BJ813" s="38"/>
      <c r="BK813" s="38"/>
      <c r="BL813" s="38"/>
      <c r="BM813" s="38"/>
      <c r="BN813" s="38"/>
      <c r="BO813" s="37">
        <f t="shared" si="95"/>
        <v>1</v>
      </c>
      <c r="BP813" s="56">
        <f t="shared" si="96"/>
        <v>0</v>
      </c>
      <c r="BQ813" s="56">
        <f t="shared" si="97"/>
        <v>0</v>
      </c>
      <c r="BR813" s="57">
        <f t="shared" si="98"/>
        <v>0</v>
      </c>
      <c r="BS813" s="38"/>
      <c r="BT813" s="38"/>
      <c r="BU813" s="26"/>
      <c r="BV813" s="26"/>
      <c r="BW813" s="39">
        <f t="shared" si="99"/>
        <v>1</v>
      </c>
      <c r="BX813" s="78">
        <v>1</v>
      </c>
      <c r="BY813" s="63">
        <v>7</v>
      </c>
      <c r="BZ813" s="7"/>
      <c r="CA813" s="8"/>
      <c r="CB813" s="7"/>
      <c r="CC813" s="7"/>
    </row>
    <row r="814" spans="1:81" ht="16" x14ac:dyDescent="0.2">
      <c r="A814" s="109" t="s">
        <v>362</v>
      </c>
      <c r="B814" s="26">
        <v>43</v>
      </c>
      <c r="C814" s="109" t="s">
        <v>236</v>
      </c>
      <c r="D814" s="26">
        <v>1</v>
      </c>
      <c r="E814" s="26">
        <v>2</v>
      </c>
      <c r="F814" s="26" t="s">
        <v>53</v>
      </c>
      <c r="G814" s="26" t="s">
        <v>50</v>
      </c>
      <c r="H814" s="26"/>
      <c r="I814" s="26"/>
      <c r="J814" s="26" t="s">
        <v>44</v>
      </c>
      <c r="K814" s="26"/>
      <c r="L814" s="26">
        <v>7</v>
      </c>
      <c r="M814" s="40" t="s">
        <v>38</v>
      </c>
      <c r="N814" s="36">
        <f>5/14</f>
        <v>0.35714285714285715</v>
      </c>
      <c r="O814" s="36" t="s">
        <v>39</v>
      </c>
      <c r="P814" s="36">
        <f>11.5/14</f>
        <v>0.8214285714285714</v>
      </c>
      <c r="Q814" s="36"/>
      <c r="R814" s="36"/>
      <c r="S814" s="36" t="s">
        <v>39</v>
      </c>
      <c r="T814" s="36">
        <f>11/14</f>
        <v>0.7857142857142857</v>
      </c>
      <c r="U814" s="36" t="s">
        <v>38</v>
      </c>
      <c r="V814" s="36">
        <f>5/14</f>
        <v>0.35714285714285715</v>
      </c>
      <c r="W814" s="36"/>
      <c r="X814" s="36"/>
      <c r="Y814" s="36" t="s">
        <v>38</v>
      </c>
      <c r="Z814" s="36">
        <f>6.5/14</f>
        <v>0.4642857142857143</v>
      </c>
      <c r="AA814" s="36" t="s">
        <v>38</v>
      </c>
      <c r="AB814" s="36">
        <f>7/14</f>
        <v>0.5</v>
      </c>
      <c r="AC814" s="36" t="s">
        <v>38</v>
      </c>
      <c r="AD814" s="36">
        <f>6/14</f>
        <v>0.42857142857142855</v>
      </c>
      <c r="AE814" s="36"/>
      <c r="AF814" s="36"/>
      <c r="AG814" s="36" t="s">
        <v>38</v>
      </c>
      <c r="AH814" s="36">
        <f>5.5/14</f>
        <v>0.39285714285714285</v>
      </c>
      <c r="AI814" s="36" t="s">
        <v>38</v>
      </c>
      <c r="AJ814" s="36">
        <f>4.5/14</f>
        <v>0.32142857142857145</v>
      </c>
      <c r="AK814" s="36" t="s">
        <v>38</v>
      </c>
      <c r="AL814" s="36">
        <f>6.5/14</f>
        <v>0.4642857142857143</v>
      </c>
      <c r="AM814" s="36" t="s">
        <v>39</v>
      </c>
      <c r="AN814" s="36">
        <f>11.5/14</f>
        <v>0.8214285714285714</v>
      </c>
      <c r="AO814" s="36"/>
      <c r="AP814" s="36"/>
      <c r="AQ814" s="36"/>
      <c r="AR814" s="36"/>
      <c r="AS814" s="36"/>
      <c r="AT814" s="36"/>
      <c r="AU814" s="36" t="s">
        <v>39</v>
      </c>
      <c r="AV814" s="36">
        <f>11/18</f>
        <v>0.61111111111111116</v>
      </c>
      <c r="AW814" s="36"/>
      <c r="AX814" s="36"/>
      <c r="AY814" s="36" t="s">
        <v>38</v>
      </c>
      <c r="AZ814" s="36">
        <f>4/14</f>
        <v>0.2857142857142857</v>
      </c>
      <c r="BA814" s="36" t="s">
        <v>39</v>
      </c>
      <c r="BB814" s="36">
        <f>10/14</f>
        <v>0.7142857142857143</v>
      </c>
      <c r="BC814" s="36"/>
      <c r="BD814" s="36"/>
      <c r="BE814" s="26"/>
      <c r="BF814" s="26"/>
      <c r="BG814" s="43"/>
      <c r="BH814" s="41">
        <v>8</v>
      </c>
      <c r="BI814" s="41">
        <v>4</v>
      </c>
      <c r="BJ814" s="41">
        <v>1</v>
      </c>
      <c r="BO814" s="37">
        <f t="shared" si="95"/>
        <v>4</v>
      </c>
      <c r="BP814" s="56">
        <f t="shared" si="96"/>
        <v>9</v>
      </c>
      <c r="BQ814" s="56">
        <f t="shared" si="97"/>
        <v>0</v>
      </c>
      <c r="BR814" s="57">
        <f t="shared" si="98"/>
        <v>0</v>
      </c>
      <c r="BU814" s="26"/>
      <c r="BV814" s="26"/>
      <c r="BW814" s="39">
        <f t="shared" si="99"/>
        <v>13</v>
      </c>
      <c r="BX814" s="78">
        <v>2</v>
      </c>
      <c r="BY814" s="63">
        <v>4</v>
      </c>
      <c r="BZ814" s="7"/>
      <c r="CA814" s="8"/>
      <c r="CB814" s="7"/>
      <c r="CC814" s="7"/>
    </row>
    <row r="815" spans="1:81" ht="16" x14ac:dyDescent="0.2">
      <c r="A815" s="125" t="s">
        <v>362</v>
      </c>
      <c r="B815" s="26">
        <v>43</v>
      </c>
      <c r="C815" s="109" t="s">
        <v>236</v>
      </c>
      <c r="D815" s="26">
        <v>2</v>
      </c>
      <c r="E815" s="26">
        <v>2</v>
      </c>
      <c r="F815" s="26">
        <v>2</v>
      </c>
      <c r="G815" s="26" t="s">
        <v>51</v>
      </c>
      <c r="H815" s="26">
        <v>5</v>
      </c>
      <c r="I815" s="26" t="s">
        <v>50</v>
      </c>
      <c r="J815" s="26"/>
      <c r="K815" s="38" t="s">
        <v>63</v>
      </c>
      <c r="L815" s="26">
        <v>7</v>
      </c>
      <c r="M815" s="40"/>
      <c r="N815" s="36"/>
      <c r="O815" s="36"/>
      <c r="P815" s="36"/>
      <c r="Q815" s="36"/>
      <c r="R815" s="36"/>
      <c r="S815" s="36"/>
      <c r="T815" s="36"/>
      <c r="U815" s="36" t="s">
        <v>38</v>
      </c>
      <c r="V815" s="36">
        <f>13/14.5</f>
        <v>0.89655172413793105</v>
      </c>
      <c r="W815" s="36"/>
      <c r="X815" s="36"/>
      <c r="Y815" s="36"/>
      <c r="Z815" s="36"/>
      <c r="AA815" s="36"/>
      <c r="AB815" s="36"/>
      <c r="AC815" s="36"/>
      <c r="AD815" s="36"/>
      <c r="AE815" s="36" t="s">
        <v>39</v>
      </c>
      <c r="AF815" s="36">
        <f>14.5/14.5</f>
        <v>1</v>
      </c>
      <c r="AG815" s="36"/>
      <c r="AH815" s="36"/>
      <c r="AI815" s="36" t="s">
        <v>38</v>
      </c>
      <c r="AJ815" s="36">
        <f>17/14.5</f>
        <v>1.1724137931034482</v>
      </c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 t="s">
        <v>38</v>
      </c>
      <c r="AX815" s="36">
        <f>6.5/14.5</f>
        <v>0.44827586206896552</v>
      </c>
      <c r="AY815" s="36"/>
      <c r="AZ815" s="36"/>
      <c r="BA815" s="36" t="s">
        <v>39</v>
      </c>
      <c r="BB815" s="36">
        <f>16/14.5</f>
        <v>1.103448275862069</v>
      </c>
      <c r="BC815" s="36" t="s">
        <v>39</v>
      </c>
      <c r="BD815" s="36">
        <f>14.5/14.5</f>
        <v>1</v>
      </c>
      <c r="BE815" s="26"/>
      <c r="BF815" s="26"/>
      <c r="BG815" s="40">
        <v>2</v>
      </c>
      <c r="BH815" s="36">
        <v>1</v>
      </c>
      <c r="BI815" s="36">
        <v>3</v>
      </c>
      <c r="BJ815" s="36"/>
      <c r="BK815" s="36"/>
      <c r="BL815" s="36"/>
      <c r="BM815" s="36"/>
      <c r="BN815" s="36"/>
      <c r="BO815" s="37">
        <f t="shared" si="95"/>
        <v>5</v>
      </c>
      <c r="BP815" s="56">
        <f t="shared" si="96"/>
        <v>1</v>
      </c>
      <c r="BQ815" s="56">
        <f t="shared" si="97"/>
        <v>0</v>
      </c>
      <c r="BR815" s="57">
        <f t="shared" si="98"/>
        <v>0</v>
      </c>
      <c r="BS815" s="36"/>
      <c r="BT815" s="36"/>
      <c r="BU815" s="26"/>
      <c r="BV815" s="26"/>
      <c r="BW815" s="39">
        <f t="shared" si="99"/>
        <v>6</v>
      </c>
      <c r="BX815" s="78">
        <v>2</v>
      </c>
      <c r="BY815" s="65">
        <v>2</v>
      </c>
      <c r="BZ815" s="16"/>
      <c r="CA815" s="21"/>
      <c r="CB815" s="16"/>
      <c r="CC815" s="16"/>
    </row>
    <row r="816" spans="1:81" ht="16" x14ac:dyDescent="0.2">
      <c r="A816" s="109" t="s">
        <v>363</v>
      </c>
      <c r="B816" s="26">
        <v>41</v>
      </c>
      <c r="C816" s="109" t="s">
        <v>237</v>
      </c>
      <c r="D816" s="26">
        <v>3</v>
      </c>
      <c r="E816" s="26">
        <v>2</v>
      </c>
      <c r="F816" s="26">
        <v>2</v>
      </c>
      <c r="G816" s="26" t="s">
        <v>51</v>
      </c>
      <c r="H816" s="26">
        <v>4</v>
      </c>
      <c r="I816" s="26" t="s">
        <v>51</v>
      </c>
      <c r="J816" s="26" t="s">
        <v>41</v>
      </c>
      <c r="K816" s="26"/>
      <c r="L816" s="26">
        <v>5</v>
      </c>
      <c r="M816" s="40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 t="s">
        <v>40</v>
      </c>
      <c r="Z816" s="36">
        <v>0.38</v>
      </c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 t="s">
        <v>39</v>
      </c>
      <c r="AP816" s="36">
        <v>1</v>
      </c>
      <c r="AQ816" s="36"/>
      <c r="AR816" s="36"/>
      <c r="AS816" s="36"/>
      <c r="AT816" s="36"/>
      <c r="AU816" s="36"/>
      <c r="AV816" s="36"/>
      <c r="AW816" s="36"/>
      <c r="AX816" s="36"/>
      <c r="AY816" s="36"/>
      <c r="AZ816" s="36"/>
      <c r="BA816" s="36"/>
      <c r="BB816" s="36"/>
      <c r="BC816" s="36" t="s">
        <v>39</v>
      </c>
      <c r="BD816" s="36">
        <v>0.81</v>
      </c>
      <c r="BG816" s="37"/>
      <c r="BH816" s="26"/>
      <c r="BI816" s="26">
        <v>2</v>
      </c>
      <c r="BJ816" s="26"/>
      <c r="BK816" s="26"/>
      <c r="BL816" s="26"/>
      <c r="BM816" s="26"/>
      <c r="BN816" s="26">
        <v>1</v>
      </c>
      <c r="BO816" s="37">
        <f t="shared" si="95"/>
        <v>2</v>
      </c>
      <c r="BP816" s="56">
        <f t="shared" si="96"/>
        <v>0</v>
      </c>
      <c r="BQ816" s="56">
        <f t="shared" si="97"/>
        <v>0</v>
      </c>
      <c r="BR816" s="57">
        <f t="shared" si="98"/>
        <v>1</v>
      </c>
      <c r="BS816" s="38"/>
      <c r="BT816" s="38"/>
      <c r="BU816" s="26"/>
      <c r="BV816" s="26"/>
      <c r="BW816" s="39">
        <f t="shared" si="99"/>
        <v>3</v>
      </c>
      <c r="BX816" s="78">
        <v>2</v>
      </c>
      <c r="BY816" s="63">
        <v>10</v>
      </c>
      <c r="BZ816" s="7"/>
      <c r="CA816" s="8"/>
      <c r="CB816" s="7"/>
      <c r="CC816" s="7"/>
    </row>
    <row r="817" spans="1:81" ht="16" x14ac:dyDescent="0.2">
      <c r="A817" s="109" t="s">
        <v>363</v>
      </c>
      <c r="B817" s="26">
        <v>41</v>
      </c>
      <c r="C817" s="109" t="s">
        <v>237</v>
      </c>
      <c r="D817" s="26">
        <v>6</v>
      </c>
      <c r="E817" s="26">
        <v>2</v>
      </c>
      <c r="F817" s="26">
        <v>2</v>
      </c>
      <c r="G817" s="26" t="s">
        <v>51</v>
      </c>
      <c r="H817" s="26">
        <v>4</v>
      </c>
      <c r="I817" s="26" t="s">
        <v>51</v>
      </c>
      <c r="J817" s="26" t="s">
        <v>41</v>
      </c>
      <c r="K817" s="26"/>
      <c r="L817" s="26">
        <v>5</v>
      </c>
      <c r="M817" s="40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 t="s">
        <v>38</v>
      </c>
      <c r="AP817" s="36">
        <v>0.65</v>
      </c>
      <c r="AQ817" s="36" t="s">
        <v>38</v>
      </c>
      <c r="AR817" s="36">
        <v>0.23</v>
      </c>
      <c r="AS817" s="36"/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G817" s="37"/>
      <c r="BH817" s="26">
        <v>1</v>
      </c>
      <c r="BI817" s="26"/>
      <c r="BJ817" s="26"/>
      <c r="BK817" s="26"/>
      <c r="BL817" s="26"/>
      <c r="BM817" s="26"/>
      <c r="BN817" s="26"/>
      <c r="BO817" s="37">
        <f t="shared" si="95"/>
        <v>0</v>
      </c>
      <c r="BP817" s="56">
        <f t="shared" si="96"/>
        <v>1</v>
      </c>
      <c r="BQ817" s="56">
        <f t="shared" si="97"/>
        <v>0</v>
      </c>
      <c r="BR817" s="57">
        <f t="shared" si="98"/>
        <v>0</v>
      </c>
      <c r="BS817" s="38"/>
      <c r="BT817" s="38"/>
      <c r="BU817" s="26"/>
      <c r="BV817" s="26"/>
      <c r="BW817" s="39">
        <f t="shared" si="99"/>
        <v>1</v>
      </c>
      <c r="BX817" s="78">
        <v>3</v>
      </c>
      <c r="BY817" s="63">
        <v>10</v>
      </c>
      <c r="BZ817" s="7"/>
      <c r="CA817" s="8"/>
      <c r="CB817" s="7"/>
      <c r="CC817" s="7"/>
    </row>
    <row r="818" spans="1:81" ht="16" x14ac:dyDescent="0.2">
      <c r="A818" s="109" t="s">
        <v>364</v>
      </c>
      <c r="B818" s="26">
        <v>35</v>
      </c>
      <c r="C818" s="109" t="s">
        <v>238</v>
      </c>
      <c r="D818" s="26">
        <v>2</v>
      </c>
      <c r="E818" s="26">
        <v>2</v>
      </c>
      <c r="F818" s="26" t="s">
        <v>53</v>
      </c>
      <c r="G818" s="26" t="s">
        <v>50</v>
      </c>
      <c r="H818" s="26"/>
      <c r="I818" s="26"/>
      <c r="J818" s="26"/>
      <c r="K818" s="26">
        <v>7</v>
      </c>
      <c r="L818" s="26">
        <v>7</v>
      </c>
      <c r="M818" s="40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 t="s">
        <v>38</v>
      </c>
      <c r="AP818" s="36">
        <f>7.5/12</f>
        <v>0.625</v>
      </c>
      <c r="AQ818" s="36"/>
      <c r="AR818" s="36"/>
      <c r="AS818" s="36"/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26"/>
      <c r="BF818" s="26"/>
      <c r="BG818" s="37"/>
      <c r="BH818" s="26">
        <v>1</v>
      </c>
      <c r="BI818" s="26"/>
      <c r="BJ818" s="26"/>
      <c r="BK818" s="26"/>
      <c r="BL818" s="26"/>
      <c r="BM818" s="26"/>
      <c r="BN818" s="26"/>
      <c r="BO818" s="37">
        <f t="shared" si="95"/>
        <v>0</v>
      </c>
      <c r="BP818" s="56">
        <f t="shared" si="96"/>
        <v>1</v>
      </c>
      <c r="BQ818" s="56">
        <f t="shared" si="97"/>
        <v>0</v>
      </c>
      <c r="BR818" s="57">
        <f t="shared" si="98"/>
        <v>0</v>
      </c>
      <c r="BS818" s="38"/>
      <c r="BT818" s="38"/>
      <c r="BU818" s="26"/>
      <c r="BV818" s="26"/>
      <c r="BW818" s="39">
        <f t="shared" si="99"/>
        <v>1</v>
      </c>
      <c r="BX818" s="78">
        <v>3</v>
      </c>
      <c r="BY818" s="63">
        <v>1</v>
      </c>
      <c r="BZ818" s="7"/>
      <c r="CA818" s="8"/>
      <c r="CB818" s="7"/>
      <c r="CC818" s="7"/>
    </row>
    <row r="819" spans="1:81" ht="16" x14ac:dyDescent="0.2">
      <c r="A819" s="109" t="s">
        <v>364</v>
      </c>
      <c r="B819" s="26">
        <v>35</v>
      </c>
      <c r="C819" s="109" t="s">
        <v>238</v>
      </c>
      <c r="D819" s="26">
        <v>3</v>
      </c>
      <c r="E819" s="26">
        <v>2</v>
      </c>
      <c r="F819" s="26" t="s">
        <v>53</v>
      </c>
      <c r="G819" s="26" t="s">
        <v>50</v>
      </c>
      <c r="H819" s="26"/>
      <c r="I819" s="26"/>
      <c r="J819" s="26"/>
      <c r="K819" s="26">
        <v>7</v>
      </c>
      <c r="L819" s="26">
        <v>7</v>
      </c>
      <c r="M819" s="40"/>
      <c r="N819" s="36"/>
      <c r="O819" s="36" t="s">
        <v>55</v>
      </c>
      <c r="P819" s="36">
        <f>5/12</f>
        <v>0.41666666666666669</v>
      </c>
      <c r="Q819" s="36" t="s">
        <v>48</v>
      </c>
      <c r="R819" s="36">
        <f>17/12</f>
        <v>1.4166666666666667</v>
      </c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 t="s">
        <v>48</v>
      </c>
      <c r="AD819" s="36">
        <f>7.5/12</f>
        <v>0.625</v>
      </c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  <c r="AW819" s="36"/>
      <c r="AX819" s="36"/>
      <c r="AY819" s="36" t="s">
        <v>48</v>
      </c>
      <c r="AZ819" s="36">
        <f>7.5/12</f>
        <v>0.625</v>
      </c>
      <c r="BA819" s="36"/>
      <c r="BB819" s="36"/>
      <c r="BC819" s="36"/>
      <c r="BD819" s="36"/>
      <c r="BE819" s="26"/>
      <c r="BF819" s="26"/>
      <c r="BG819" s="37"/>
      <c r="BH819" s="26"/>
      <c r="BI819" s="26"/>
      <c r="BJ819" s="26"/>
      <c r="BK819" s="26">
        <v>1</v>
      </c>
      <c r="BL819" s="26">
        <v>3</v>
      </c>
      <c r="BM819" s="26"/>
      <c r="BN819" s="26"/>
      <c r="BO819" s="37">
        <f t="shared" si="95"/>
        <v>0</v>
      </c>
      <c r="BP819" s="56">
        <f t="shared" si="96"/>
        <v>0</v>
      </c>
      <c r="BQ819" s="56">
        <f t="shared" si="97"/>
        <v>1</v>
      </c>
      <c r="BR819" s="57">
        <f t="shared" si="98"/>
        <v>3</v>
      </c>
      <c r="BS819" s="38"/>
      <c r="BT819" s="38"/>
      <c r="BU819" s="26"/>
      <c r="BV819" s="26"/>
      <c r="BW819" s="39">
        <f t="shared" si="99"/>
        <v>4</v>
      </c>
      <c r="BX819" s="78">
        <v>4</v>
      </c>
      <c r="BY819" s="63">
        <v>1</v>
      </c>
      <c r="BZ819" s="7"/>
      <c r="CA819" s="8"/>
      <c r="CB819" s="7"/>
      <c r="CC819" s="7"/>
    </row>
    <row r="820" spans="1:81" ht="16" x14ac:dyDescent="0.2">
      <c r="A820" s="109" t="s">
        <v>364</v>
      </c>
      <c r="B820" s="26">
        <v>35</v>
      </c>
      <c r="C820" s="109" t="s">
        <v>238</v>
      </c>
      <c r="D820" s="26">
        <v>4</v>
      </c>
      <c r="E820" s="26">
        <v>2</v>
      </c>
      <c r="F820" s="26">
        <v>4</v>
      </c>
      <c r="G820" s="26" t="s">
        <v>50</v>
      </c>
      <c r="H820" s="26">
        <v>8</v>
      </c>
      <c r="I820" s="26" t="s">
        <v>51</v>
      </c>
      <c r="J820" s="26" t="s">
        <v>44</v>
      </c>
      <c r="K820" s="26"/>
      <c r="L820" s="26">
        <v>7</v>
      </c>
      <c r="M820" s="40"/>
      <c r="N820" s="36"/>
      <c r="O820" s="36" t="s">
        <v>57</v>
      </c>
      <c r="P820" s="36">
        <f>8/13</f>
        <v>0.61538461538461542</v>
      </c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 t="s">
        <v>40</v>
      </c>
      <c r="AL820" s="36">
        <f>8.5/13</f>
        <v>0.65384615384615385</v>
      </c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26"/>
      <c r="BF820" s="26"/>
      <c r="BG820" s="37"/>
      <c r="BH820" s="26"/>
      <c r="BI820" s="26"/>
      <c r="BJ820" s="26"/>
      <c r="BK820" s="26"/>
      <c r="BL820" s="26"/>
      <c r="BM820" s="26"/>
      <c r="BN820" s="26">
        <v>2</v>
      </c>
      <c r="BO820" s="37">
        <f t="shared" si="95"/>
        <v>0</v>
      </c>
      <c r="BP820" s="56">
        <f t="shared" si="96"/>
        <v>0</v>
      </c>
      <c r="BQ820" s="56">
        <f t="shared" si="97"/>
        <v>0</v>
      </c>
      <c r="BR820" s="57">
        <f t="shared" si="98"/>
        <v>2</v>
      </c>
      <c r="BS820" s="38"/>
      <c r="BT820" s="38"/>
      <c r="BU820" s="26"/>
      <c r="BV820" s="26"/>
      <c r="BW820" s="39">
        <f t="shared" si="99"/>
        <v>2</v>
      </c>
      <c r="BX820" s="78">
        <v>4</v>
      </c>
      <c r="BY820" s="63">
        <v>4</v>
      </c>
      <c r="BZ820" s="7"/>
      <c r="CA820" s="8"/>
      <c r="CB820" s="7"/>
      <c r="CC820" s="7"/>
    </row>
    <row r="821" spans="1:81" ht="16" x14ac:dyDescent="0.2">
      <c r="A821" s="109" t="s">
        <v>364</v>
      </c>
      <c r="B821" s="26">
        <v>35</v>
      </c>
      <c r="C821" s="109" t="s">
        <v>238</v>
      </c>
      <c r="D821" s="26">
        <v>9</v>
      </c>
      <c r="E821" s="26">
        <v>2</v>
      </c>
      <c r="F821" s="26">
        <v>2</v>
      </c>
      <c r="G821" s="26" t="s">
        <v>51</v>
      </c>
      <c r="H821" s="26">
        <v>4</v>
      </c>
      <c r="I821" s="26" t="s">
        <v>51</v>
      </c>
      <c r="J821" s="26" t="s">
        <v>41</v>
      </c>
      <c r="K821" s="26"/>
      <c r="L821" s="26">
        <v>6</v>
      </c>
      <c r="M821" s="40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 t="s">
        <v>39</v>
      </c>
      <c r="AP821" s="36">
        <f>7/13</f>
        <v>0.53846153846153844</v>
      </c>
      <c r="AQ821" s="36"/>
      <c r="AR821" s="36"/>
      <c r="AS821" s="36"/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26"/>
      <c r="BF821" s="26"/>
      <c r="BG821" s="37"/>
      <c r="BH821" s="26"/>
      <c r="BI821" s="26"/>
      <c r="BJ821" s="26">
        <v>1</v>
      </c>
      <c r="BK821" s="26"/>
      <c r="BL821" s="26"/>
      <c r="BM821" s="26"/>
      <c r="BN821" s="26"/>
      <c r="BO821" s="37">
        <f t="shared" si="95"/>
        <v>0</v>
      </c>
      <c r="BP821" s="56">
        <f t="shared" si="96"/>
        <v>1</v>
      </c>
      <c r="BQ821" s="56">
        <f t="shared" si="97"/>
        <v>0</v>
      </c>
      <c r="BR821" s="57">
        <f t="shared" si="98"/>
        <v>0</v>
      </c>
      <c r="BS821" s="38"/>
      <c r="BT821" s="38"/>
      <c r="BU821" s="26"/>
      <c r="BV821" s="26"/>
      <c r="BW821" s="39">
        <f t="shared" si="99"/>
        <v>1</v>
      </c>
      <c r="BX821" s="78">
        <v>3</v>
      </c>
      <c r="BY821" s="63">
        <v>10</v>
      </c>
      <c r="BZ821" s="7"/>
      <c r="CA821" s="8"/>
      <c r="CB821" s="7"/>
      <c r="CC821" s="7"/>
    </row>
    <row r="822" spans="1:81" ht="16" x14ac:dyDescent="0.2">
      <c r="A822" s="109" t="s">
        <v>364</v>
      </c>
      <c r="B822" s="26">
        <v>35</v>
      </c>
      <c r="C822" s="109" t="s">
        <v>238</v>
      </c>
      <c r="D822" s="26">
        <v>10</v>
      </c>
      <c r="E822" s="26">
        <v>2</v>
      </c>
      <c r="F822" s="26">
        <v>2</v>
      </c>
      <c r="G822" s="26" t="s">
        <v>51</v>
      </c>
      <c r="H822" s="26">
        <v>4</v>
      </c>
      <c r="I822" s="26" t="s">
        <v>51</v>
      </c>
      <c r="J822" s="26"/>
      <c r="K822" s="38" t="s">
        <v>63</v>
      </c>
      <c r="L822" s="26">
        <v>7</v>
      </c>
      <c r="M822" s="40"/>
      <c r="N822" s="36"/>
      <c r="O822" s="36" t="s">
        <v>39</v>
      </c>
      <c r="P822" s="36">
        <f>11.5/12</f>
        <v>0.95833333333333337</v>
      </c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26"/>
      <c r="BF822" s="26"/>
      <c r="BG822" s="37"/>
      <c r="BH822" s="26"/>
      <c r="BI822" s="26">
        <v>1</v>
      </c>
      <c r="BJ822" s="26"/>
      <c r="BK822" s="26"/>
      <c r="BL822" s="26"/>
      <c r="BM822" s="26"/>
      <c r="BN822" s="26"/>
      <c r="BO822" s="37">
        <f t="shared" si="95"/>
        <v>1</v>
      </c>
      <c r="BP822" s="56">
        <f t="shared" si="96"/>
        <v>0</v>
      </c>
      <c r="BQ822" s="56">
        <f t="shared" si="97"/>
        <v>0</v>
      </c>
      <c r="BR822" s="57">
        <f t="shared" si="98"/>
        <v>0</v>
      </c>
      <c r="BS822" s="38"/>
      <c r="BT822" s="38"/>
      <c r="BU822" s="26"/>
      <c r="BV822" s="26"/>
      <c r="BW822" s="39">
        <f t="shared" si="99"/>
        <v>1</v>
      </c>
      <c r="BX822" s="78">
        <v>1</v>
      </c>
      <c r="BY822" s="63">
        <v>2</v>
      </c>
      <c r="BZ822" s="7"/>
      <c r="CA822" s="8"/>
      <c r="CB822" s="7"/>
      <c r="CC822" s="7"/>
    </row>
    <row r="823" spans="1:81" x14ac:dyDescent="0.2">
      <c r="A823" s="109" t="s">
        <v>365</v>
      </c>
      <c r="B823" s="26">
        <v>36</v>
      </c>
      <c r="C823" s="109" t="s">
        <v>239</v>
      </c>
      <c r="D823" s="26">
        <v>1</v>
      </c>
      <c r="E823" s="26">
        <v>2</v>
      </c>
      <c r="F823" s="26">
        <v>2</v>
      </c>
      <c r="G823" s="26" t="s">
        <v>51</v>
      </c>
      <c r="H823" s="26">
        <v>4</v>
      </c>
      <c r="I823" s="26" t="s">
        <v>51</v>
      </c>
      <c r="J823" s="26" t="s">
        <v>65</v>
      </c>
      <c r="K823" s="26"/>
      <c r="L823" s="26">
        <v>5</v>
      </c>
      <c r="M823" s="40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26"/>
      <c r="BF823" s="26"/>
      <c r="BG823" s="37"/>
      <c r="BH823" s="26"/>
      <c r="BI823" s="26"/>
      <c r="BJ823" s="26"/>
      <c r="BK823" s="26"/>
      <c r="BL823" s="26"/>
      <c r="BM823" s="26"/>
      <c r="BO823" s="37">
        <f t="shared" si="95"/>
        <v>0</v>
      </c>
      <c r="BP823" s="56">
        <f t="shared" si="96"/>
        <v>0</v>
      </c>
      <c r="BQ823" s="56">
        <f t="shared" si="97"/>
        <v>0</v>
      </c>
      <c r="BR823" s="57">
        <f t="shared" si="98"/>
        <v>0</v>
      </c>
      <c r="BS823" s="38"/>
      <c r="BT823" s="38"/>
      <c r="BU823" s="26"/>
      <c r="BV823" s="26"/>
      <c r="BW823" s="39">
        <f t="shared" si="99"/>
        <v>0</v>
      </c>
      <c r="BX823" s="78">
        <v>0</v>
      </c>
      <c r="BY823" s="63">
        <v>11</v>
      </c>
    </row>
    <row r="824" spans="1:81" x14ac:dyDescent="0.2">
      <c r="A824" s="109" t="s">
        <v>365</v>
      </c>
      <c r="B824" s="26">
        <v>36</v>
      </c>
      <c r="C824" s="109" t="s">
        <v>239</v>
      </c>
      <c r="D824" s="26">
        <v>3</v>
      </c>
      <c r="E824" s="26">
        <v>2</v>
      </c>
      <c r="F824" s="26">
        <v>2</v>
      </c>
      <c r="G824" s="26" t="s">
        <v>51</v>
      </c>
      <c r="H824" s="26">
        <v>4</v>
      </c>
      <c r="I824" s="26" t="s">
        <v>51</v>
      </c>
      <c r="J824" s="26" t="s">
        <v>78</v>
      </c>
      <c r="K824" s="26"/>
      <c r="L824" s="26">
        <v>5</v>
      </c>
      <c r="M824" s="40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26"/>
      <c r="BF824" s="26"/>
      <c r="BG824" s="37"/>
      <c r="BH824" s="26"/>
      <c r="BI824" s="26"/>
      <c r="BJ824" s="26"/>
      <c r="BK824" s="26"/>
      <c r="BL824" s="26"/>
      <c r="BM824" s="26"/>
      <c r="BN824" s="26"/>
      <c r="BO824" s="37">
        <f t="shared" si="95"/>
        <v>0</v>
      </c>
      <c r="BP824" s="56">
        <f t="shared" si="96"/>
        <v>0</v>
      </c>
      <c r="BQ824" s="56">
        <f t="shared" si="97"/>
        <v>0</v>
      </c>
      <c r="BR824" s="57">
        <f t="shared" si="98"/>
        <v>0</v>
      </c>
      <c r="BS824" s="38"/>
      <c r="BT824" s="38"/>
      <c r="BU824" s="26"/>
      <c r="BV824" s="26"/>
      <c r="BW824" s="39">
        <f t="shared" si="99"/>
        <v>0</v>
      </c>
      <c r="BX824" s="78">
        <v>0</v>
      </c>
      <c r="BY824" s="63">
        <v>13</v>
      </c>
      <c r="BZ824" s="7"/>
      <c r="CA824" s="8"/>
      <c r="CB824" s="7"/>
      <c r="CC824" s="7"/>
    </row>
    <row r="825" spans="1:81" ht="16" x14ac:dyDescent="0.2">
      <c r="A825" s="109" t="s">
        <v>365</v>
      </c>
      <c r="B825" s="26">
        <v>36</v>
      </c>
      <c r="C825" s="109" t="s">
        <v>239</v>
      </c>
      <c r="D825" s="26">
        <v>5</v>
      </c>
      <c r="E825" s="26">
        <v>2</v>
      </c>
      <c r="F825" s="26">
        <v>2</v>
      </c>
      <c r="G825" s="26" t="s">
        <v>51</v>
      </c>
      <c r="H825" s="26">
        <v>5</v>
      </c>
      <c r="I825" s="26" t="s">
        <v>56</v>
      </c>
      <c r="J825" s="26"/>
      <c r="K825" s="26">
        <v>8</v>
      </c>
      <c r="L825" s="26">
        <v>6</v>
      </c>
      <c r="M825" s="40"/>
      <c r="N825" s="36"/>
      <c r="O825" s="36"/>
      <c r="P825" s="36"/>
      <c r="Q825" s="36"/>
      <c r="R825" s="36"/>
      <c r="S825" s="36" t="s">
        <v>39</v>
      </c>
      <c r="T825" s="36">
        <f>7/16</f>
        <v>0.4375</v>
      </c>
      <c r="U825" s="36"/>
      <c r="V825" s="36"/>
      <c r="W825" s="36"/>
      <c r="X825" s="36"/>
      <c r="Y825" s="36"/>
      <c r="Z825" s="36"/>
      <c r="AA825" s="36" t="s">
        <v>38</v>
      </c>
      <c r="AB825" s="36">
        <f>8/16</f>
        <v>0.5</v>
      </c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  <c r="AW825" s="36"/>
      <c r="AX825" s="36"/>
      <c r="AY825" s="36" t="s">
        <v>57</v>
      </c>
      <c r="AZ825" s="36">
        <f>7.5/16</f>
        <v>0.46875</v>
      </c>
      <c r="BA825" s="36"/>
      <c r="BB825" s="36"/>
      <c r="BC825" s="36"/>
      <c r="BD825" s="36"/>
      <c r="BE825" s="26"/>
      <c r="BF825" s="26"/>
      <c r="BG825" s="37"/>
      <c r="BH825" s="26">
        <v>1</v>
      </c>
      <c r="BI825" s="26"/>
      <c r="BJ825" s="26">
        <v>1</v>
      </c>
      <c r="BK825" s="26"/>
      <c r="BL825" s="26"/>
      <c r="BM825" s="26"/>
      <c r="BN825" s="26">
        <v>1</v>
      </c>
      <c r="BO825" s="37">
        <f t="shared" si="95"/>
        <v>0</v>
      </c>
      <c r="BP825" s="56">
        <f t="shared" si="96"/>
        <v>2</v>
      </c>
      <c r="BQ825" s="56">
        <f t="shared" si="97"/>
        <v>0</v>
      </c>
      <c r="BR825" s="57">
        <f t="shared" si="98"/>
        <v>1</v>
      </c>
      <c r="BS825" s="38"/>
      <c r="BT825" s="38"/>
      <c r="BU825" s="26"/>
      <c r="BV825" s="26"/>
      <c r="BW825" s="39">
        <f t="shared" si="99"/>
        <v>3</v>
      </c>
      <c r="BX825" s="78">
        <v>4</v>
      </c>
      <c r="BY825" s="63">
        <v>1</v>
      </c>
      <c r="BZ825" s="7"/>
      <c r="CA825" s="8"/>
      <c r="CB825" s="7"/>
      <c r="CC825" s="7"/>
    </row>
    <row r="826" spans="1:81" ht="16" x14ac:dyDescent="0.2">
      <c r="A826" s="109" t="s">
        <v>365</v>
      </c>
      <c r="B826" s="26">
        <v>36</v>
      </c>
      <c r="C826" s="109" t="s">
        <v>239</v>
      </c>
      <c r="D826" s="26">
        <v>6</v>
      </c>
      <c r="E826" s="26">
        <v>2</v>
      </c>
      <c r="F826" s="26">
        <v>2</v>
      </c>
      <c r="G826" s="26" t="s">
        <v>51</v>
      </c>
      <c r="H826" s="26">
        <v>4</v>
      </c>
      <c r="I826" s="26" t="s">
        <v>51</v>
      </c>
      <c r="J826" s="26"/>
      <c r="K826" s="38" t="s">
        <v>63</v>
      </c>
      <c r="L826" s="26">
        <v>6</v>
      </c>
      <c r="M826" s="40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 t="s">
        <v>38</v>
      </c>
      <c r="AN826" s="36">
        <f>11.5/16</f>
        <v>0.71875</v>
      </c>
      <c r="AO826" s="36"/>
      <c r="AP826" s="36"/>
      <c r="AQ826" s="36"/>
      <c r="AR826" s="36"/>
      <c r="AS826" s="36"/>
      <c r="AT826" s="36"/>
      <c r="AU826" s="36" t="s">
        <v>38</v>
      </c>
      <c r="AV826" s="36">
        <f>6.5/16</f>
        <v>0.40625</v>
      </c>
      <c r="AW826" s="36" t="s">
        <v>38</v>
      </c>
      <c r="AX826" s="36">
        <f>11.5/16</f>
        <v>0.71875</v>
      </c>
      <c r="AY826" s="36" t="s">
        <v>38</v>
      </c>
      <c r="AZ826" s="36">
        <f>12/16</f>
        <v>0.75</v>
      </c>
      <c r="BA826" s="36"/>
      <c r="BB826" s="36"/>
      <c r="BC826" s="36"/>
      <c r="BD826" s="36"/>
      <c r="BE826" s="26"/>
      <c r="BF826" s="26"/>
      <c r="BG826" s="37">
        <v>3</v>
      </c>
      <c r="BH826" s="26">
        <v>1</v>
      </c>
      <c r="BI826" s="26"/>
      <c r="BJ826" s="26"/>
      <c r="BK826" s="26"/>
      <c r="BL826" s="26"/>
      <c r="BM826" s="26"/>
      <c r="BO826" s="37">
        <f t="shared" si="95"/>
        <v>3</v>
      </c>
      <c r="BP826" s="56">
        <f t="shared" si="96"/>
        <v>1</v>
      </c>
      <c r="BQ826" s="56">
        <f t="shared" si="97"/>
        <v>0</v>
      </c>
      <c r="BR826" s="57">
        <f t="shared" si="98"/>
        <v>0</v>
      </c>
      <c r="BS826" s="38"/>
      <c r="BT826" s="38"/>
      <c r="BU826" s="26"/>
      <c r="BV826" s="26"/>
      <c r="BW826" s="39">
        <f t="shared" si="99"/>
        <v>4</v>
      </c>
      <c r="BX826" s="78">
        <v>2</v>
      </c>
      <c r="BY826" s="63">
        <v>2</v>
      </c>
    </row>
    <row r="827" spans="1:81" ht="16" x14ac:dyDescent="0.2">
      <c r="A827" s="109" t="s">
        <v>365</v>
      </c>
      <c r="B827" s="26">
        <v>36</v>
      </c>
      <c r="C827" s="109" t="s">
        <v>239</v>
      </c>
      <c r="D827" s="26">
        <v>8</v>
      </c>
      <c r="E827" s="26">
        <v>2</v>
      </c>
      <c r="F827" s="26">
        <v>2</v>
      </c>
      <c r="G827" s="26" t="s">
        <v>51</v>
      </c>
      <c r="H827" s="26">
        <v>6</v>
      </c>
      <c r="I827" s="26" t="s">
        <v>50</v>
      </c>
      <c r="J827" s="26"/>
      <c r="K827" s="26">
        <v>7</v>
      </c>
      <c r="L827" s="26">
        <v>6</v>
      </c>
      <c r="M827" s="40" t="s">
        <v>39</v>
      </c>
      <c r="N827" s="36">
        <f>6/16</f>
        <v>0.375</v>
      </c>
      <c r="O827" s="36" t="s">
        <v>38</v>
      </c>
      <c r="P827" s="36">
        <f>12/16</f>
        <v>0.75</v>
      </c>
      <c r="Q827" s="36" t="s">
        <v>70</v>
      </c>
      <c r="R827" s="36">
        <f>7.5/16</f>
        <v>0.46875</v>
      </c>
      <c r="S827" s="36" t="s">
        <v>38</v>
      </c>
      <c r="T827" s="36">
        <f>17/16</f>
        <v>1.0625</v>
      </c>
      <c r="U827" s="36"/>
      <c r="V827" s="36"/>
      <c r="W827" s="36" t="s">
        <v>38</v>
      </c>
      <c r="X827" s="36">
        <f>5/16</f>
        <v>0.3125</v>
      </c>
      <c r="Y827" s="36" t="s">
        <v>38</v>
      </c>
      <c r="Z827" s="36">
        <f>8/16</f>
        <v>0.5</v>
      </c>
      <c r="AA827" s="36" t="s">
        <v>39</v>
      </c>
      <c r="AB827" s="36">
        <f>8/16</f>
        <v>0.5</v>
      </c>
      <c r="AC827" s="36"/>
      <c r="AD827" s="36"/>
      <c r="AE827" s="36"/>
      <c r="AF827" s="36"/>
      <c r="AG827" s="36"/>
      <c r="AH827" s="36"/>
      <c r="AI827" s="36" t="s">
        <v>38</v>
      </c>
      <c r="AJ827" s="36">
        <f>7/16</f>
        <v>0.4375</v>
      </c>
      <c r="AK827" s="36"/>
      <c r="AL827" s="36"/>
      <c r="AM827" s="36"/>
      <c r="AN827" s="36"/>
      <c r="AO827" s="36" t="s">
        <v>38</v>
      </c>
      <c r="AP827" s="36">
        <f>21/16</f>
        <v>1.3125</v>
      </c>
      <c r="AQ827" s="36"/>
      <c r="AR827" s="36"/>
      <c r="AS827" s="36" t="s">
        <v>38</v>
      </c>
      <c r="AT827" s="36">
        <f>9/16</f>
        <v>0.5625</v>
      </c>
      <c r="AU827" s="36"/>
      <c r="AV827" s="36"/>
      <c r="AW827" s="36" t="s">
        <v>48</v>
      </c>
      <c r="AX827" s="36">
        <f>13/16</f>
        <v>0.8125</v>
      </c>
      <c r="AY827" s="36" t="s">
        <v>39</v>
      </c>
      <c r="AZ827" s="36">
        <f>10/16</f>
        <v>0.625</v>
      </c>
      <c r="BA827" s="36" t="s">
        <v>38</v>
      </c>
      <c r="BB827" s="36">
        <f>5.5/16</f>
        <v>0.34375</v>
      </c>
      <c r="BC827" s="36" t="s">
        <v>39</v>
      </c>
      <c r="BD827" s="36">
        <f>7.5/16</f>
        <v>0.46875</v>
      </c>
      <c r="BE827" s="26"/>
      <c r="BF827" s="26"/>
      <c r="BG827" s="37">
        <v>3</v>
      </c>
      <c r="BH827" s="26">
        <v>5</v>
      </c>
      <c r="BI827" s="26"/>
      <c r="BJ827" s="26">
        <v>4</v>
      </c>
      <c r="BK827" s="26">
        <v>1</v>
      </c>
      <c r="BL827" s="26"/>
      <c r="BM827" s="26"/>
      <c r="BN827" s="26"/>
      <c r="BO827" s="37">
        <f t="shared" si="95"/>
        <v>3</v>
      </c>
      <c r="BP827" s="56">
        <f t="shared" si="96"/>
        <v>9</v>
      </c>
      <c r="BQ827" s="56">
        <f t="shared" si="97"/>
        <v>2</v>
      </c>
      <c r="BR827" s="57">
        <f t="shared" si="98"/>
        <v>0</v>
      </c>
      <c r="BS827" s="38">
        <v>1</v>
      </c>
      <c r="BT827" s="38"/>
      <c r="BU827" s="26"/>
      <c r="BV827" s="26"/>
      <c r="BW827" s="39">
        <f t="shared" si="99"/>
        <v>14</v>
      </c>
      <c r="BX827" s="78">
        <v>2</v>
      </c>
      <c r="BY827" s="63">
        <v>1</v>
      </c>
      <c r="BZ827" s="7"/>
      <c r="CA827" s="8"/>
      <c r="CB827" s="7"/>
      <c r="CC827" s="7"/>
    </row>
    <row r="828" spans="1:81" x14ac:dyDescent="0.2">
      <c r="A828" s="109" t="s">
        <v>365</v>
      </c>
      <c r="B828" s="26">
        <v>36</v>
      </c>
      <c r="C828" s="109" t="s">
        <v>239</v>
      </c>
      <c r="D828" s="26">
        <v>9</v>
      </c>
      <c r="E828" s="26">
        <v>2</v>
      </c>
      <c r="F828" s="26">
        <v>2</v>
      </c>
      <c r="G828" s="26" t="s">
        <v>51</v>
      </c>
      <c r="H828" s="26">
        <v>7</v>
      </c>
      <c r="I828" s="26" t="s">
        <v>50</v>
      </c>
      <c r="J828" s="26"/>
      <c r="K828" s="26">
        <v>7</v>
      </c>
      <c r="L828" s="26">
        <v>6</v>
      </c>
      <c r="M828" s="37" t="s">
        <v>38</v>
      </c>
      <c r="N828" s="26">
        <f>7/16</f>
        <v>0.4375</v>
      </c>
      <c r="O828" s="26" t="s">
        <v>38</v>
      </c>
      <c r="P828" s="26">
        <f>14/16</f>
        <v>0.875</v>
      </c>
      <c r="Q828" s="26"/>
      <c r="R828" s="26"/>
      <c r="S828" s="26"/>
      <c r="T828" s="26"/>
      <c r="U828" s="26" t="s">
        <v>39</v>
      </c>
      <c r="V828" s="26">
        <f>14/16</f>
        <v>0.875</v>
      </c>
      <c r="W828" s="26"/>
      <c r="X828" s="26"/>
      <c r="Y828" s="26" t="s">
        <v>39</v>
      </c>
      <c r="Z828" s="26">
        <f>6.5/16</f>
        <v>0.40625</v>
      </c>
      <c r="AA828" s="26" t="s">
        <v>38</v>
      </c>
      <c r="AB828" s="26">
        <f>8/16</f>
        <v>0.5</v>
      </c>
      <c r="AC828" s="26" t="s">
        <v>38</v>
      </c>
      <c r="AD828" s="26">
        <f>29.5/16</f>
        <v>1.84375</v>
      </c>
      <c r="AE828" s="26"/>
      <c r="AF828" s="26"/>
      <c r="AG828" s="26" t="s">
        <v>39</v>
      </c>
      <c r="AH828" s="26">
        <f>19/16</f>
        <v>1.1875</v>
      </c>
      <c r="AI828" s="26" t="s">
        <v>39</v>
      </c>
      <c r="AJ828" s="26">
        <f>10.5/16</f>
        <v>0.65625</v>
      </c>
      <c r="AK828" s="26" t="s">
        <v>39</v>
      </c>
      <c r="AL828" s="26">
        <f>9/16</f>
        <v>0.5625</v>
      </c>
      <c r="AM828" s="26"/>
      <c r="AN828" s="26"/>
      <c r="AO828" s="26" t="s">
        <v>38</v>
      </c>
      <c r="AP828" s="26">
        <f>5/16</f>
        <v>0.3125</v>
      </c>
      <c r="AQ828" s="26" t="s">
        <v>38</v>
      </c>
      <c r="AR828" s="26">
        <f>11/16</f>
        <v>0.6875</v>
      </c>
      <c r="AS828" s="26" t="s">
        <v>38</v>
      </c>
      <c r="AT828" s="26">
        <f>9/16</f>
        <v>0.5625</v>
      </c>
      <c r="AU828" s="26" t="s">
        <v>39</v>
      </c>
      <c r="AV828" s="26">
        <f>12.5/16</f>
        <v>0.78125</v>
      </c>
      <c r="AW828" s="26" t="s">
        <v>38</v>
      </c>
      <c r="AX828" s="26">
        <f>8.5/16</f>
        <v>0.53125</v>
      </c>
      <c r="AY828" s="26"/>
      <c r="AZ828" s="26"/>
      <c r="BA828" s="26" t="s">
        <v>39</v>
      </c>
      <c r="BB828" s="26">
        <f>13.5/16</f>
        <v>0.84375</v>
      </c>
      <c r="BC828" s="26" t="s">
        <v>38</v>
      </c>
      <c r="BD828" s="26">
        <f>5.5/16</f>
        <v>0.34375</v>
      </c>
      <c r="BE828" s="26" t="s">
        <v>38</v>
      </c>
      <c r="BF828" s="26" t="s">
        <v>66</v>
      </c>
      <c r="BG828" s="37">
        <v>2</v>
      </c>
      <c r="BH828" s="26">
        <v>7</v>
      </c>
      <c r="BI828" s="26">
        <v>4</v>
      </c>
      <c r="BJ828" s="26">
        <v>3</v>
      </c>
      <c r="BK828" s="26"/>
      <c r="BL828" s="26"/>
      <c r="BM828" s="26"/>
      <c r="BN828" s="26"/>
      <c r="BO828" s="37">
        <f t="shared" ref="BO828" si="100">BG828+BI828+BU828</f>
        <v>7</v>
      </c>
      <c r="BP828" s="56">
        <f t="shared" ref="BP828" si="101">BH828+BJ828</f>
        <v>10</v>
      </c>
      <c r="BQ828" s="56">
        <f t="shared" ref="BQ828" si="102">BK828+BM828+BV828+BS828</f>
        <v>0</v>
      </c>
      <c r="BR828" s="57">
        <f t="shared" ref="BR828" si="103">BL828+BN828+BT828</f>
        <v>0</v>
      </c>
      <c r="BS828" s="38"/>
      <c r="BT828" s="38"/>
      <c r="BU828" s="26">
        <v>1</v>
      </c>
      <c r="BV828" s="26"/>
      <c r="BW828" s="39">
        <f t="shared" si="99"/>
        <v>17</v>
      </c>
      <c r="BX828" s="78">
        <v>2</v>
      </c>
      <c r="BY828" s="63">
        <v>1</v>
      </c>
      <c r="BZ828" s="7"/>
      <c r="CA828" s="8"/>
      <c r="CB828" s="7"/>
      <c r="CC828" s="7"/>
    </row>
    <row r="829" spans="1:81" x14ac:dyDescent="0.2">
      <c r="A829" s="109" t="s">
        <v>365</v>
      </c>
      <c r="B829" s="26">
        <v>36</v>
      </c>
      <c r="C829" s="109" t="s">
        <v>239</v>
      </c>
      <c r="D829" s="26">
        <v>10</v>
      </c>
      <c r="E829" s="26">
        <v>2</v>
      </c>
      <c r="F829" s="26">
        <v>2</v>
      </c>
      <c r="G829" s="26" t="s">
        <v>51</v>
      </c>
      <c r="H829" s="26">
        <v>4</v>
      </c>
      <c r="I829" s="26" t="s">
        <v>51</v>
      </c>
      <c r="J829" s="26" t="s">
        <v>65</v>
      </c>
      <c r="K829" s="26"/>
      <c r="L829" s="26">
        <v>5</v>
      </c>
      <c r="M829" s="40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26"/>
      <c r="BF829" s="26"/>
      <c r="BG829" s="37"/>
      <c r="BH829" s="26"/>
      <c r="BI829" s="26"/>
      <c r="BJ829" s="26"/>
      <c r="BK829" s="26"/>
      <c r="BL829" s="26"/>
      <c r="BM829" s="26"/>
      <c r="BN829" s="26"/>
      <c r="BO829" s="37">
        <f t="shared" ref="BO829:BO860" si="104">BG829+BI829+BU829</f>
        <v>0</v>
      </c>
      <c r="BP829" s="56">
        <f t="shared" ref="BP829:BP860" si="105">BH829+BJ829</f>
        <v>0</v>
      </c>
      <c r="BQ829" s="56">
        <f t="shared" ref="BQ829:BQ860" si="106">BK829+BM829+BV829+BS829</f>
        <v>0</v>
      </c>
      <c r="BR829" s="57">
        <f t="shared" ref="BR829:BR860" si="107">BL829+BN829+BT829</f>
        <v>0</v>
      </c>
      <c r="BS829" s="38"/>
      <c r="BT829" s="38"/>
      <c r="BU829" s="26"/>
      <c r="BV829" s="26"/>
      <c r="BW829" s="39">
        <f t="shared" ref="BW829:BW860" si="108">SUM(BO829:BR829)</f>
        <v>0</v>
      </c>
      <c r="BX829" s="78">
        <v>0</v>
      </c>
      <c r="BY829" s="63">
        <v>11</v>
      </c>
      <c r="BZ829" s="7"/>
      <c r="CA829" s="8"/>
      <c r="CB829" s="7"/>
      <c r="CC829" s="7"/>
    </row>
    <row r="830" spans="1:81" ht="16" x14ac:dyDescent="0.2">
      <c r="A830" s="109" t="s">
        <v>365</v>
      </c>
      <c r="B830" s="26">
        <v>36</v>
      </c>
      <c r="C830" s="109" t="s">
        <v>239</v>
      </c>
      <c r="D830" s="26">
        <v>13</v>
      </c>
      <c r="E830" s="26">
        <v>2</v>
      </c>
      <c r="F830" s="26">
        <v>2</v>
      </c>
      <c r="G830" s="26" t="s">
        <v>51</v>
      </c>
      <c r="H830" s="26">
        <v>3</v>
      </c>
      <c r="I830" s="26" t="s">
        <v>62</v>
      </c>
      <c r="J830" s="26"/>
      <c r="K830" s="26">
        <v>3</v>
      </c>
      <c r="L830" s="26">
        <v>6</v>
      </c>
      <c r="M830" s="40" t="s">
        <v>40</v>
      </c>
      <c r="N830" s="36">
        <f>12/16</f>
        <v>0.75</v>
      </c>
      <c r="O830" s="36" t="s">
        <v>48</v>
      </c>
      <c r="P830" s="36">
        <f>19/16</f>
        <v>1.1875</v>
      </c>
      <c r="Q830" s="36"/>
      <c r="R830" s="36"/>
      <c r="S830" s="36"/>
      <c r="T830" s="36"/>
      <c r="U830" s="36" t="s">
        <v>48</v>
      </c>
      <c r="V830" s="36">
        <f>10.5/16</f>
        <v>0.65625</v>
      </c>
      <c r="W830" s="36" t="s">
        <v>40</v>
      </c>
      <c r="X830" s="36">
        <f>11.5/16</f>
        <v>0.71875</v>
      </c>
      <c r="Y830" s="36" t="s">
        <v>48</v>
      </c>
      <c r="Z830" s="36">
        <f>9/16</f>
        <v>0.5625</v>
      </c>
      <c r="AA830" s="36" t="s">
        <v>40</v>
      </c>
      <c r="AB830" s="36">
        <f>11/16</f>
        <v>0.6875</v>
      </c>
      <c r="AC830" s="36" t="s">
        <v>48</v>
      </c>
      <c r="AD830" s="36">
        <f>20/16</f>
        <v>1.25</v>
      </c>
      <c r="AE830" s="36"/>
      <c r="AF830" s="36"/>
      <c r="AG830" s="36"/>
      <c r="AH830" s="36"/>
      <c r="AI830" s="36"/>
      <c r="AJ830" s="36"/>
      <c r="AK830" s="36" t="s">
        <v>48</v>
      </c>
      <c r="AL830" s="36">
        <f>19/16</f>
        <v>1.1875</v>
      </c>
      <c r="AM830" s="36" t="s">
        <v>39</v>
      </c>
      <c r="AN830" s="36">
        <f>10/16</f>
        <v>0.625</v>
      </c>
      <c r="AO830" s="36"/>
      <c r="AP830" s="36"/>
      <c r="AQ830" s="36"/>
      <c r="AR830" s="36"/>
      <c r="AS830" s="36"/>
      <c r="AT830" s="36"/>
      <c r="AU830" s="36" t="s">
        <v>43</v>
      </c>
      <c r="AV830" s="36">
        <f>11/16</f>
        <v>0.6875</v>
      </c>
      <c r="AW830" s="36"/>
      <c r="AX830" s="36"/>
      <c r="AY830" s="36"/>
      <c r="AZ830" s="36"/>
      <c r="BA830" s="36"/>
      <c r="BB830" s="36"/>
      <c r="BC830" s="36"/>
      <c r="BD830" s="36"/>
      <c r="BE830" s="26" t="s">
        <v>58</v>
      </c>
      <c r="BF830" s="26" t="s">
        <v>59</v>
      </c>
      <c r="BG830" s="37"/>
      <c r="BH830" s="26"/>
      <c r="BI830" s="26"/>
      <c r="BJ830" s="26">
        <v>1</v>
      </c>
      <c r="BK830" s="26">
        <v>3</v>
      </c>
      <c r="BL830" s="26">
        <v>2</v>
      </c>
      <c r="BM830" s="26">
        <v>2</v>
      </c>
      <c r="BN830" s="26">
        <v>1</v>
      </c>
      <c r="BO830" s="37">
        <f t="shared" si="104"/>
        <v>0</v>
      </c>
      <c r="BP830" s="56">
        <f t="shared" si="105"/>
        <v>1</v>
      </c>
      <c r="BQ830" s="56">
        <f t="shared" si="106"/>
        <v>7</v>
      </c>
      <c r="BR830" s="57">
        <f t="shared" si="107"/>
        <v>3</v>
      </c>
      <c r="BS830" s="38">
        <v>1</v>
      </c>
      <c r="BT830" s="38"/>
      <c r="BU830" s="26"/>
      <c r="BV830" s="26">
        <v>1</v>
      </c>
      <c r="BW830" s="39">
        <f t="shared" si="108"/>
        <v>11</v>
      </c>
      <c r="BX830" s="78">
        <v>4</v>
      </c>
      <c r="BY830" s="63">
        <v>1</v>
      </c>
      <c r="BZ830" s="7"/>
      <c r="CA830" s="8"/>
      <c r="CB830" s="7"/>
      <c r="CC830" s="7"/>
    </row>
    <row r="831" spans="1:81" ht="16" x14ac:dyDescent="0.2">
      <c r="A831" s="109" t="s">
        <v>365</v>
      </c>
      <c r="B831" s="26">
        <v>36</v>
      </c>
      <c r="C831" s="109" t="s">
        <v>239</v>
      </c>
      <c r="D831" s="26">
        <v>14</v>
      </c>
      <c r="E831" s="26">
        <v>2</v>
      </c>
      <c r="F831" s="26">
        <v>1</v>
      </c>
      <c r="G831" s="26" t="s">
        <v>54</v>
      </c>
      <c r="H831" s="26">
        <v>2</v>
      </c>
      <c r="I831" s="26" t="s">
        <v>51</v>
      </c>
      <c r="J831" s="26"/>
      <c r="K831" s="26">
        <v>7</v>
      </c>
      <c r="L831" s="26">
        <v>6</v>
      </c>
      <c r="M831" s="40" t="s">
        <v>38</v>
      </c>
      <c r="N831" s="36">
        <f>14/16</f>
        <v>0.875</v>
      </c>
      <c r="O831" s="36"/>
      <c r="P831" s="36"/>
      <c r="Q831" s="36" t="s">
        <v>39</v>
      </c>
      <c r="R831" s="36">
        <f>8.5/16</f>
        <v>0.53125</v>
      </c>
      <c r="S831" s="36"/>
      <c r="T831" s="36"/>
      <c r="U831" s="36"/>
      <c r="V831" s="36"/>
      <c r="W831" s="36" t="s">
        <v>38</v>
      </c>
      <c r="X831" s="36">
        <f>20.5/16</f>
        <v>1.28125</v>
      </c>
      <c r="Y831" s="36" t="s">
        <v>39</v>
      </c>
      <c r="Z831" s="36">
        <f>8.5/16</f>
        <v>0.53125</v>
      </c>
      <c r="AA831" s="36" t="s">
        <v>39</v>
      </c>
      <c r="AB831" s="36">
        <f>9.5/16</f>
        <v>0.59375</v>
      </c>
      <c r="AC831" s="36"/>
      <c r="AD831" s="36"/>
      <c r="AE831" s="36" t="s">
        <v>38</v>
      </c>
      <c r="AF831" s="36">
        <f>23/16</f>
        <v>1.4375</v>
      </c>
      <c r="AG831" s="36"/>
      <c r="AH831" s="36"/>
      <c r="AI831" s="36" t="s">
        <v>39</v>
      </c>
      <c r="AJ831" s="36">
        <f>10/16</f>
        <v>0.625</v>
      </c>
      <c r="AK831" s="36"/>
      <c r="AL831" s="36"/>
      <c r="AM831" s="36" t="s">
        <v>39</v>
      </c>
      <c r="AN831" s="36">
        <f>10/16</f>
        <v>0.625</v>
      </c>
      <c r="AO831" s="36" t="s">
        <v>39</v>
      </c>
      <c r="AP831" s="36">
        <f>13/16</f>
        <v>0.8125</v>
      </c>
      <c r="AQ831" s="36"/>
      <c r="AR831" s="36"/>
      <c r="AS831" s="36" t="s">
        <v>38</v>
      </c>
      <c r="AT831" s="36">
        <f>11/16</f>
        <v>0.6875</v>
      </c>
      <c r="AU831" s="36"/>
      <c r="AV831" s="36"/>
      <c r="AW831" s="36" t="s">
        <v>38</v>
      </c>
      <c r="AX831" s="36">
        <f>9/16</f>
        <v>0.5625</v>
      </c>
      <c r="AY831" s="36" t="s">
        <v>39</v>
      </c>
      <c r="AZ831" s="36">
        <f>6.5/16</f>
        <v>0.40625</v>
      </c>
      <c r="BA831" s="36" t="s">
        <v>39</v>
      </c>
      <c r="BB831" s="36">
        <f>12.5/16</f>
        <v>0.78125</v>
      </c>
      <c r="BC831" s="36" t="s">
        <v>39</v>
      </c>
      <c r="BD831" s="36">
        <f>8/16</f>
        <v>0.5</v>
      </c>
      <c r="BE831" s="26"/>
      <c r="BF831" s="26"/>
      <c r="BG831" s="37">
        <v>3</v>
      </c>
      <c r="BH831" s="26">
        <v>2</v>
      </c>
      <c r="BI831" s="26">
        <v>2</v>
      </c>
      <c r="BJ831" s="26">
        <v>7</v>
      </c>
      <c r="BK831" s="26"/>
      <c r="BL831" s="26"/>
      <c r="BM831" s="26"/>
      <c r="BN831" s="26"/>
      <c r="BO831" s="37">
        <f t="shared" si="104"/>
        <v>5</v>
      </c>
      <c r="BP831" s="56">
        <f t="shared" si="105"/>
        <v>9</v>
      </c>
      <c r="BQ831" s="56">
        <f t="shared" si="106"/>
        <v>0</v>
      </c>
      <c r="BR831" s="57">
        <f t="shared" si="107"/>
        <v>0</v>
      </c>
      <c r="BS831" s="38"/>
      <c r="BT831" s="38"/>
      <c r="BU831" s="26"/>
      <c r="BV831" s="26"/>
      <c r="BW831" s="39">
        <f t="shared" si="108"/>
        <v>14</v>
      </c>
      <c r="BX831" s="78">
        <v>2</v>
      </c>
      <c r="BY831" s="63">
        <v>1</v>
      </c>
      <c r="BZ831" s="7"/>
      <c r="CA831" s="8"/>
      <c r="CB831" s="7"/>
      <c r="CC831" s="7"/>
    </row>
    <row r="832" spans="1:81" x14ac:dyDescent="0.2">
      <c r="A832" s="109" t="s">
        <v>365</v>
      </c>
      <c r="B832" s="26">
        <v>36</v>
      </c>
      <c r="C832" s="109" t="s">
        <v>239</v>
      </c>
      <c r="D832" s="26">
        <v>15</v>
      </c>
      <c r="E832" s="26">
        <v>2</v>
      </c>
      <c r="F832" s="26">
        <v>2</v>
      </c>
      <c r="G832" s="26" t="s">
        <v>51</v>
      </c>
      <c r="H832" s="26">
        <v>4</v>
      </c>
      <c r="I832" s="26" t="s">
        <v>51</v>
      </c>
      <c r="J832" s="26" t="s">
        <v>41</v>
      </c>
      <c r="K832" s="26"/>
      <c r="L832" s="26">
        <v>5</v>
      </c>
      <c r="M832" s="40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26"/>
      <c r="BF832" s="26"/>
      <c r="BG832" s="37"/>
      <c r="BH832" s="26"/>
      <c r="BI832" s="26"/>
      <c r="BJ832" s="26"/>
      <c r="BK832" s="26"/>
      <c r="BL832" s="26"/>
      <c r="BM832" s="26"/>
      <c r="BO832" s="37">
        <f t="shared" si="104"/>
        <v>0</v>
      </c>
      <c r="BP832" s="56">
        <f t="shared" si="105"/>
        <v>0</v>
      </c>
      <c r="BQ832" s="56">
        <f t="shared" si="106"/>
        <v>0</v>
      </c>
      <c r="BR832" s="57">
        <f t="shared" si="107"/>
        <v>0</v>
      </c>
      <c r="BS832" s="38"/>
      <c r="BT832" s="38"/>
      <c r="BU832" s="26"/>
      <c r="BV832" s="26"/>
      <c r="BW832" s="39">
        <f t="shared" si="108"/>
        <v>0</v>
      </c>
      <c r="BX832" s="78">
        <v>0</v>
      </c>
      <c r="BY832" s="63">
        <v>10</v>
      </c>
    </row>
    <row r="833" spans="1:81" ht="16" x14ac:dyDescent="0.2">
      <c r="A833" s="109" t="s">
        <v>366</v>
      </c>
      <c r="B833" s="26">
        <v>42</v>
      </c>
      <c r="C833" s="109" t="s">
        <v>240</v>
      </c>
      <c r="D833" s="26">
        <v>1</v>
      </c>
      <c r="E833" s="26">
        <v>2</v>
      </c>
      <c r="F833" s="26">
        <v>2</v>
      </c>
      <c r="G833" s="26" t="s">
        <v>51</v>
      </c>
      <c r="H833" s="26">
        <v>4</v>
      </c>
      <c r="I833" s="26" t="s">
        <v>51</v>
      </c>
      <c r="J833" s="26" t="s">
        <v>41</v>
      </c>
      <c r="K833" s="26"/>
      <c r="L833" s="26">
        <v>5</v>
      </c>
      <c r="M833" s="40"/>
      <c r="N833" s="36"/>
      <c r="O833" s="36"/>
      <c r="P833" s="36"/>
      <c r="Q833" s="36" t="s">
        <v>57</v>
      </c>
      <c r="R833" s="36">
        <v>0.7</v>
      </c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 t="s">
        <v>39</v>
      </c>
      <c r="AD833" s="36">
        <v>1</v>
      </c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G833" s="39"/>
      <c r="BH833" s="38"/>
      <c r="BI833" s="38">
        <v>1</v>
      </c>
      <c r="BJ833" s="38"/>
      <c r="BK833" s="38"/>
      <c r="BL833" s="38"/>
      <c r="BM833" s="38">
        <v>1</v>
      </c>
      <c r="BN833" s="38"/>
      <c r="BO833" s="39">
        <f t="shared" si="104"/>
        <v>1</v>
      </c>
      <c r="BP833" s="58">
        <f t="shared" si="105"/>
        <v>0</v>
      </c>
      <c r="BQ833" s="56">
        <f t="shared" si="106"/>
        <v>1</v>
      </c>
      <c r="BR833" s="57">
        <f t="shared" si="107"/>
        <v>0</v>
      </c>
      <c r="BS833" s="38"/>
      <c r="BT833" s="38"/>
      <c r="BU833" s="26"/>
      <c r="BV833" s="26"/>
      <c r="BW833" s="39">
        <f t="shared" si="108"/>
        <v>2</v>
      </c>
      <c r="BX833" s="78">
        <v>2</v>
      </c>
      <c r="BY833" s="63">
        <v>10</v>
      </c>
      <c r="BZ833" s="7"/>
      <c r="CA833" s="8"/>
      <c r="CB833" s="7"/>
      <c r="CC833" s="7"/>
    </row>
    <row r="834" spans="1:81" ht="16" x14ac:dyDescent="0.2">
      <c r="A834" s="109" t="s">
        <v>366</v>
      </c>
      <c r="B834" s="26">
        <v>42</v>
      </c>
      <c r="C834" s="109" t="s">
        <v>240</v>
      </c>
      <c r="D834" s="26">
        <v>2</v>
      </c>
      <c r="E834" s="26">
        <v>2</v>
      </c>
      <c r="F834" s="26">
        <v>2</v>
      </c>
      <c r="G834" s="26" t="s">
        <v>51</v>
      </c>
      <c r="H834" s="26">
        <v>4</v>
      </c>
      <c r="I834" s="26" t="s">
        <v>51</v>
      </c>
      <c r="J834" s="26" t="s">
        <v>60</v>
      </c>
      <c r="K834" s="26"/>
      <c r="L834" s="26">
        <v>6</v>
      </c>
      <c r="M834" s="40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  <c r="AW834" s="36" t="s">
        <v>38</v>
      </c>
      <c r="AX834" s="36">
        <v>1.1299999999999999</v>
      </c>
      <c r="AY834" s="36"/>
      <c r="AZ834" s="36"/>
      <c r="BA834" s="36"/>
      <c r="BB834" s="36"/>
      <c r="BC834" s="36"/>
      <c r="BD834" s="36"/>
      <c r="BG834" s="51">
        <v>1</v>
      </c>
      <c r="BH834" s="49"/>
      <c r="BI834" s="49"/>
      <c r="BJ834" s="49"/>
      <c r="BK834" s="49"/>
      <c r="BL834" s="49"/>
      <c r="BM834" s="49"/>
      <c r="BN834" s="49"/>
      <c r="BO834" s="39">
        <f t="shared" si="104"/>
        <v>1</v>
      </c>
      <c r="BP834" s="58">
        <f t="shared" si="105"/>
        <v>0</v>
      </c>
      <c r="BQ834" s="56">
        <f t="shared" si="106"/>
        <v>0</v>
      </c>
      <c r="BR834" s="57">
        <f t="shared" si="107"/>
        <v>0</v>
      </c>
      <c r="BS834" s="38"/>
      <c r="BT834" s="38"/>
      <c r="BU834" s="26"/>
      <c r="BV834" s="26"/>
      <c r="BW834" s="39">
        <f t="shared" si="108"/>
        <v>1</v>
      </c>
      <c r="BX834" s="78">
        <v>1</v>
      </c>
      <c r="BY834" s="66">
        <v>7</v>
      </c>
      <c r="BZ834" s="24"/>
      <c r="CA834" s="25"/>
      <c r="CB834" s="7"/>
      <c r="CC834" s="7"/>
    </row>
    <row r="835" spans="1:81" ht="16" x14ac:dyDescent="0.2">
      <c r="A835" s="109" t="s">
        <v>366</v>
      </c>
      <c r="B835" s="26">
        <v>42</v>
      </c>
      <c r="C835" s="109" t="s">
        <v>240</v>
      </c>
      <c r="D835" s="26">
        <v>4</v>
      </c>
      <c r="E835" s="26">
        <v>2</v>
      </c>
      <c r="F835" s="26">
        <v>2</v>
      </c>
      <c r="G835" s="26" t="s">
        <v>51</v>
      </c>
      <c r="H835" s="26">
        <v>4</v>
      </c>
      <c r="I835" s="26" t="s">
        <v>51</v>
      </c>
      <c r="J835" s="26" t="s">
        <v>41</v>
      </c>
      <c r="K835" s="26"/>
      <c r="L835" s="26">
        <v>5</v>
      </c>
      <c r="M835" s="40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 t="s">
        <v>38</v>
      </c>
      <c r="AH835" s="36">
        <v>0.6</v>
      </c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 t="s">
        <v>39</v>
      </c>
      <c r="AV835" s="36">
        <v>0.27</v>
      </c>
      <c r="AW835" s="36"/>
      <c r="AX835" s="36"/>
      <c r="AY835" s="36"/>
      <c r="AZ835" s="36"/>
      <c r="BA835" s="36"/>
      <c r="BB835" s="36"/>
      <c r="BC835" s="36"/>
      <c r="BD835" s="36"/>
      <c r="BG835" s="39"/>
      <c r="BH835" s="38">
        <v>1</v>
      </c>
      <c r="BI835" s="38"/>
      <c r="BJ835" s="38"/>
      <c r="BK835" s="38"/>
      <c r="BL835" s="38"/>
      <c r="BM835" s="38"/>
      <c r="BN835" s="38"/>
      <c r="BO835" s="39">
        <f t="shared" si="104"/>
        <v>0</v>
      </c>
      <c r="BP835" s="58">
        <f t="shared" si="105"/>
        <v>1</v>
      </c>
      <c r="BQ835" s="56">
        <f t="shared" si="106"/>
        <v>0</v>
      </c>
      <c r="BR835" s="57">
        <f t="shared" si="107"/>
        <v>0</v>
      </c>
      <c r="BS835" s="38"/>
      <c r="BT835" s="38"/>
      <c r="BU835" s="26"/>
      <c r="BV835" s="26"/>
      <c r="BW835" s="39">
        <f t="shared" si="108"/>
        <v>1</v>
      </c>
      <c r="BX835" s="78">
        <v>3</v>
      </c>
      <c r="BY835" s="63">
        <v>10</v>
      </c>
      <c r="BZ835" s="7"/>
      <c r="CA835" s="8"/>
      <c r="CB835" s="7"/>
      <c r="CC835" s="7"/>
    </row>
    <row r="836" spans="1:81" ht="16" x14ac:dyDescent="0.2">
      <c r="A836" s="109" t="s">
        <v>366</v>
      </c>
      <c r="B836" s="26">
        <v>42</v>
      </c>
      <c r="C836" s="109" t="s">
        <v>240</v>
      </c>
      <c r="D836" s="26">
        <v>5</v>
      </c>
      <c r="E836" s="26">
        <v>2</v>
      </c>
      <c r="F836" s="26">
        <v>2</v>
      </c>
      <c r="G836" s="26" t="s">
        <v>51</v>
      </c>
      <c r="H836" s="26">
        <v>4</v>
      </c>
      <c r="I836" s="26" t="s">
        <v>51</v>
      </c>
      <c r="J836" s="26" t="s">
        <v>41</v>
      </c>
      <c r="K836" s="26"/>
      <c r="L836" s="26">
        <v>5</v>
      </c>
      <c r="M836" s="40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 t="s">
        <v>39</v>
      </c>
      <c r="AR836" s="36">
        <v>1</v>
      </c>
      <c r="AS836" s="36"/>
      <c r="AT836" s="36"/>
      <c r="AU836" s="36" t="s">
        <v>39</v>
      </c>
      <c r="AV836" s="36">
        <v>1</v>
      </c>
      <c r="AW836" s="36"/>
      <c r="AX836" s="36"/>
      <c r="AY836" s="36"/>
      <c r="AZ836" s="36"/>
      <c r="BA836" s="36" t="s">
        <v>38</v>
      </c>
      <c r="BB836" s="36">
        <v>1</v>
      </c>
      <c r="BC836" s="36"/>
      <c r="BD836" s="36"/>
      <c r="BG836" s="39">
        <v>1</v>
      </c>
      <c r="BH836" s="38"/>
      <c r="BI836" s="38">
        <v>2</v>
      </c>
      <c r="BJ836" s="38"/>
      <c r="BK836" s="38"/>
      <c r="BL836" s="38"/>
      <c r="BM836" s="38"/>
      <c r="BN836" s="38"/>
      <c r="BO836" s="39">
        <f t="shared" si="104"/>
        <v>3</v>
      </c>
      <c r="BP836" s="58">
        <f t="shared" si="105"/>
        <v>0</v>
      </c>
      <c r="BQ836" s="56">
        <f t="shared" si="106"/>
        <v>0</v>
      </c>
      <c r="BR836" s="57">
        <f t="shared" si="107"/>
        <v>0</v>
      </c>
      <c r="BS836" s="38"/>
      <c r="BT836" s="38"/>
      <c r="BU836" s="26"/>
      <c r="BV836" s="26"/>
      <c r="BW836" s="39">
        <f t="shared" si="108"/>
        <v>3</v>
      </c>
      <c r="BX836" s="78">
        <v>1</v>
      </c>
      <c r="BY836" s="63">
        <v>10</v>
      </c>
      <c r="BZ836" s="7"/>
      <c r="CA836" s="8"/>
      <c r="CB836" s="7"/>
      <c r="CC836" s="7"/>
    </row>
    <row r="837" spans="1:81" ht="16" x14ac:dyDescent="0.2">
      <c r="A837" s="109" t="s">
        <v>366</v>
      </c>
      <c r="B837" s="26">
        <v>42</v>
      </c>
      <c r="C837" s="109" t="s">
        <v>240</v>
      </c>
      <c r="D837" s="26">
        <v>6</v>
      </c>
      <c r="E837" s="26">
        <v>2</v>
      </c>
      <c r="F837" s="26">
        <v>3</v>
      </c>
      <c r="G837" s="26" t="s">
        <v>56</v>
      </c>
      <c r="H837" s="26">
        <v>5</v>
      </c>
      <c r="I837" s="26" t="s">
        <v>51</v>
      </c>
      <c r="J837" s="26" t="s">
        <v>41</v>
      </c>
      <c r="K837" s="26"/>
      <c r="L837" s="26">
        <v>5</v>
      </c>
      <c r="M837" s="40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 t="s">
        <v>39</v>
      </c>
      <c r="AF837" s="36">
        <v>0.67</v>
      </c>
      <c r="AG837" s="36" t="s">
        <v>38</v>
      </c>
      <c r="AH837" s="36">
        <v>1</v>
      </c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 t="s">
        <v>39</v>
      </c>
      <c r="AT837" s="36">
        <v>0.47</v>
      </c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G837" s="39">
        <v>1</v>
      </c>
      <c r="BH837" s="38"/>
      <c r="BI837" s="38"/>
      <c r="BJ837" s="38">
        <v>2</v>
      </c>
      <c r="BK837" s="38"/>
      <c r="BL837" s="38"/>
      <c r="BM837" s="38"/>
      <c r="BN837" s="38"/>
      <c r="BO837" s="37">
        <f t="shared" si="104"/>
        <v>1</v>
      </c>
      <c r="BP837" s="56">
        <f t="shared" si="105"/>
        <v>2</v>
      </c>
      <c r="BQ837" s="56">
        <f t="shared" si="106"/>
        <v>0</v>
      </c>
      <c r="BR837" s="57">
        <f t="shared" si="107"/>
        <v>0</v>
      </c>
      <c r="BS837" s="38"/>
      <c r="BT837" s="38"/>
      <c r="BU837" s="26"/>
      <c r="BV837" s="26"/>
      <c r="BW837" s="39">
        <f t="shared" si="108"/>
        <v>3</v>
      </c>
      <c r="BX837" s="78">
        <v>2</v>
      </c>
      <c r="BY837" s="63">
        <v>10</v>
      </c>
      <c r="BZ837" s="7"/>
      <c r="CA837" s="8"/>
      <c r="CB837" s="7"/>
      <c r="CC837" s="7"/>
    </row>
    <row r="838" spans="1:81" x14ac:dyDescent="0.2">
      <c r="A838" s="109" t="s">
        <v>366</v>
      </c>
      <c r="B838" s="26">
        <v>42</v>
      </c>
      <c r="C838" s="109" t="s">
        <v>240</v>
      </c>
      <c r="D838" s="26">
        <v>12</v>
      </c>
      <c r="E838" s="26">
        <v>2</v>
      </c>
      <c r="F838" s="26">
        <v>2</v>
      </c>
      <c r="G838" s="26" t="s">
        <v>51</v>
      </c>
      <c r="H838" s="26">
        <v>4</v>
      </c>
      <c r="I838" s="26" t="s">
        <v>51</v>
      </c>
      <c r="J838" s="26" t="s">
        <v>41</v>
      </c>
      <c r="K838" s="26"/>
      <c r="L838" s="26">
        <v>5</v>
      </c>
      <c r="M838" s="40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G838" s="39"/>
      <c r="BH838" s="38"/>
      <c r="BI838" s="38"/>
      <c r="BJ838" s="38"/>
      <c r="BK838" s="38"/>
      <c r="BL838" s="38"/>
      <c r="BM838" s="38"/>
      <c r="BN838" s="38"/>
      <c r="BO838" s="37">
        <f t="shared" si="104"/>
        <v>0</v>
      </c>
      <c r="BP838" s="56">
        <f t="shared" si="105"/>
        <v>0</v>
      </c>
      <c r="BQ838" s="56">
        <f t="shared" si="106"/>
        <v>0</v>
      </c>
      <c r="BR838" s="57">
        <f t="shared" si="107"/>
        <v>0</v>
      </c>
      <c r="BS838" s="38"/>
      <c r="BT838" s="38"/>
      <c r="BU838" s="26"/>
      <c r="BV838" s="26"/>
      <c r="BW838" s="39">
        <f t="shared" si="108"/>
        <v>0</v>
      </c>
      <c r="BX838" s="78">
        <v>0</v>
      </c>
      <c r="BY838" s="63">
        <v>10</v>
      </c>
      <c r="BZ838" s="7"/>
      <c r="CA838" s="8"/>
      <c r="CB838" s="7"/>
      <c r="CC838" s="7"/>
    </row>
    <row r="839" spans="1:81" ht="16" x14ac:dyDescent="0.2">
      <c r="A839" s="109" t="s">
        <v>366</v>
      </c>
      <c r="B839" s="26">
        <v>42</v>
      </c>
      <c r="C839" s="109" t="s">
        <v>240</v>
      </c>
      <c r="D839" s="26">
        <v>13</v>
      </c>
      <c r="E839" s="26">
        <v>2</v>
      </c>
      <c r="F839" s="26">
        <v>2</v>
      </c>
      <c r="G839" s="26" t="s">
        <v>51</v>
      </c>
      <c r="H839" s="26">
        <v>4</v>
      </c>
      <c r="I839" s="26" t="s">
        <v>51</v>
      </c>
      <c r="J839" s="26" t="s">
        <v>60</v>
      </c>
      <c r="K839" s="26"/>
      <c r="L839" s="26">
        <v>6</v>
      </c>
      <c r="M839" s="40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 t="s">
        <v>39</v>
      </c>
      <c r="BD839" s="36">
        <v>0.87</v>
      </c>
      <c r="BG839" s="39"/>
      <c r="BH839" s="38"/>
      <c r="BI839" s="38">
        <v>1</v>
      </c>
      <c r="BJ839" s="38"/>
      <c r="BK839" s="38"/>
      <c r="BL839" s="38"/>
      <c r="BM839" s="38"/>
      <c r="BN839" s="38"/>
      <c r="BO839" s="37">
        <f t="shared" si="104"/>
        <v>1</v>
      </c>
      <c r="BP839" s="56">
        <f t="shared" si="105"/>
        <v>0</v>
      </c>
      <c r="BQ839" s="56">
        <f t="shared" si="106"/>
        <v>0</v>
      </c>
      <c r="BR839" s="57">
        <f t="shared" si="107"/>
        <v>0</v>
      </c>
      <c r="BS839" s="38"/>
      <c r="BT839" s="38"/>
      <c r="BU839" s="26"/>
      <c r="BV839" s="26"/>
      <c r="BW839" s="39">
        <f t="shared" si="108"/>
        <v>1</v>
      </c>
      <c r="BX839" s="78">
        <v>1</v>
      </c>
      <c r="BY839" s="63">
        <v>7</v>
      </c>
      <c r="BZ839" s="7"/>
      <c r="CA839" s="25"/>
      <c r="CB839" s="7"/>
      <c r="CC839" s="7"/>
    </row>
    <row r="840" spans="1:81" ht="16" x14ac:dyDescent="0.2">
      <c r="A840" s="109" t="s">
        <v>366</v>
      </c>
      <c r="B840" s="26">
        <v>42</v>
      </c>
      <c r="C840" s="109" t="s">
        <v>240</v>
      </c>
      <c r="D840" s="26">
        <v>15</v>
      </c>
      <c r="E840" s="26">
        <v>2</v>
      </c>
      <c r="F840" s="26">
        <v>3</v>
      </c>
      <c r="G840" s="26" t="s">
        <v>56</v>
      </c>
      <c r="H840" s="26">
        <v>5</v>
      </c>
      <c r="I840" s="26" t="s">
        <v>51</v>
      </c>
      <c r="J840" s="26" t="s">
        <v>42</v>
      </c>
      <c r="K840" s="26"/>
      <c r="L840" s="26"/>
      <c r="M840" s="40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 t="s">
        <v>38</v>
      </c>
      <c r="AB840" s="36">
        <v>0.93</v>
      </c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G840" s="39">
        <v>1</v>
      </c>
      <c r="BH840" s="38"/>
      <c r="BI840" s="38"/>
      <c r="BJ840" s="38"/>
      <c r="BK840" s="38"/>
      <c r="BL840" s="38"/>
      <c r="BM840" s="38"/>
      <c r="BN840" s="38"/>
      <c r="BO840" s="37">
        <f t="shared" si="104"/>
        <v>1</v>
      </c>
      <c r="BP840" s="56">
        <f t="shared" si="105"/>
        <v>0</v>
      </c>
      <c r="BQ840" s="56">
        <f t="shared" si="106"/>
        <v>0</v>
      </c>
      <c r="BR840" s="57">
        <f t="shared" si="107"/>
        <v>0</v>
      </c>
      <c r="BS840" s="38"/>
      <c r="BT840" s="38"/>
      <c r="BU840" s="26"/>
      <c r="BV840" s="26"/>
      <c r="BW840" s="39">
        <f t="shared" si="108"/>
        <v>1</v>
      </c>
      <c r="BX840" s="78">
        <v>1</v>
      </c>
      <c r="BY840" s="63">
        <v>8</v>
      </c>
      <c r="BZ840" s="7"/>
      <c r="CA840" s="25"/>
      <c r="CB840" s="7"/>
      <c r="CC840" s="7"/>
    </row>
    <row r="841" spans="1:81" ht="16" x14ac:dyDescent="0.2">
      <c r="A841" s="109" t="s">
        <v>366</v>
      </c>
      <c r="B841" s="26">
        <v>42</v>
      </c>
      <c r="C841" s="109" t="s">
        <v>240</v>
      </c>
      <c r="D841" s="26">
        <v>16</v>
      </c>
      <c r="E841" s="26">
        <v>2</v>
      </c>
      <c r="F841" s="26">
        <v>2</v>
      </c>
      <c r="G841" s="26" t="s">
        <v>51</v>
      </c>
      <c r="H841" s="26">
        <v>4</v>
      </c>
      <c r="I841" s="26" t="s">
        <v>51</v>
      </c>
      <c r="J841" s="26" t="s">
        <v>41</v>
      </c>
      <c r="K841" s="26"/>
      <c r="L841" s="26">
        <v>5</v>
      </c>
      <c r="M841" s="40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 t="s">
        <v>39</v>
      </c>
      <c r="AL841" s="36">
        <v>1</v>
      </c>
      <c r="AM841" s="36"/>
      <c r="AN841" s="36"/>
      <c r="AO841" s="36"/>
      <c r="AP841" s="36"/>
      <c r="AQ841" s="36" t="s">
        <v>39</v>
      </c>
      <c r="AR841" s="36">
        <v>0.93</v>
      </c>
      <c r="AS841" s="36"/>
      <c r="AT841" s="36"/>
      <c r="AU841" s="36"/>
      <c r="AV841" s="36"/>
      <c r="AW841" s="36"/>
      <c r="AX841" s="36"/>
      <c r="AY841" s="36"/>
      <c r="AZ841" s="36"/>
      <c r="BA841" s="36" t="s">
        <v>39</v>
      </c>
      <c r="BB841" s="36">
        <v>0.9</v>
      </c>
      <c r="BC841" s="36"/>
      <c r="BD841" s="36"/>
      <c r="BG841" s="39"/>
      <c r="BH841" s="38"/>
      <c r="BI841" s="38">
        <v>3</v>
      </c>
      <c r="BJ841" s="38"/>
      <c r="BK841" s="38"/>
      <c r="BL841" s="38"/>
      <c r="BM841" s="38"/>
      <c r="BN841" s="38"/>
      <c r="BO841" s="37">
        <f t="shared" si="104"/>
        <v>3</v>
      </c>
      <c r="BP841" s="56">
        <f t="shared" si="105"/>
        <v>0</v>
      </c>
      <c r="BQ841" s="56">
        <f t="shared" si="106"/>
        <v>0</v>
      </c>
      <c r="BR841" s="57">
        <f t="shared" si="107"/>
        <v>0</v>
      </c>
      <c r="BS841" s="38"/>
      <c r="BT841" s="38"/>
      <c r="BU841" s="26"/>
      <c r="BV841" s="26"/>
      <c r="BW841" s="39">
        <f t="shared" si="108"/>
        <v>3</v>
      </c>
      <c r="BX841" s="78">
        <v>1</v>
      </c>
      <c r="BY841" s="63">
        <v>10</v>
      </c>
      <c r="BZ841" s="7"/>
      <c r="CA841" s="8"/>
      <c r="CB841" s="7"/>
      <c r="CC841" s="7"/>
    </row>
    <row r="842" spans="1:81" ht="16" x14ac:dyDescent="0.2">
      <c r="A842" s="109" t="s">
        <v>367</v>
      </c>
      <c r="B842" s="26">
        <v>34</v>
      </c>
      <c r="C842" s="109" t="s">
        <v>241</v>
      </c>
      <c r="D842" s="26">
        <v>4</v>
      </c>
      <c r="E842" s="26">
        <v>2</v>
      </c>
      <c r="F842" s="26">
        <v>2</v>
      </c>
      <c r="G842" s="26" t="s">
        <v>51</v>
      </c>
      <c r="H842" s="26">
        <v>4</v>
      </c>
      <c r="I842" s="26" t="s">
        <v>51</v>
      </c>
      <c r="J842" s="26" t="s">
        <v>45</v>
      </c>
      <c r="K842" s="26"/>
      <c r="L842" s="26">
        <v>6</v>
      </c>
      <c r="M842" s="40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 t="s">
        <v>57</v>
      </c>
      <c r="Z842" s="36">
        <f>14/15</f>
        <v>0.93333333333333335</v>
      </c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26" t="s">
        <v>39</v>
      </c>
      <c r="BF842" s="26" t="s">
        <v>46</v>
      </c>
      <c r="BG842" s="37"/>
      <c r="BH842" s="26"/>
      <c r="BI842" s="26"/>
      <c r="BJ842" s="26"/>
      <c r="BK842" s="26"/>
      <c r="BL842" s="26"/>
      <c r="BM842" s="26">
        <v>1</v>
      </c>
      <c r="BN842" s="26"/>
      <c r="BO842" s="37">
        <f t="shared" si="104"/>
        <v>1</v>
      </c>
      <c r="BP842" s="56">
        <f t="shared" si="105"/>
        <v>0</v>
      </c>
      <c r="BQ842" s="56">
        <f t="shared" si="106"/>
        <v>1</v>
      </c>
      <c r="BR842" s="57">
        <f t="shared" si="107"/>
        <v>0</v>
      </c>
      <c r="BS842" s="38"/>
      <c r="BT842" s="38"/>
      <c r="BU842" s="26">
        <v>1</v>
      </c>
      <c r="BV842" s="26"/>
      <c r="BW842" s="39">
        <f t="shared" si="108"/>
        <v>2</v>
      </c>
      <c r="BX842" s="78">
        <v>2</v>
      </c>
      <c r="BY842" s="63">
        <v>5</v>
      </c>
      <c r="CC842" s="7"/>
    </row>
    <row r="843" spans="1:81" x14ac:dyDescent="0.2">
      <c r="A843" s="109" t="s">
        <v>367</v>
      </c>
      <c r="B843" s="26">
        <v>34</v>
      </c>
      <c r="C843" s="109" t="s">
        <v>241</v>
      </c>
      <c r="D843" s="26">
        <v>5</v>
      </c>
      <c r="E843" s="26">
        <v>2</v>
      </c>
      <c r="F843" s="26">
        <v>2</v>
      </c>
      <c r="G843" s="26" t="s">
        <v>51</v>
      </c>
      <c r="H843" s="26">
        <v>5</v>
      </c>
      <c r="I843" s="26" t="s">
        <v>50</v>
      </c>
      <c r="J843" s="26" t="s">
        <v>42</v>
      </c>
      <c r="K843" s="26"/>
      <c r="L843" s="26">
        <v>5</v>
      </c>
      <c r="M843" s="40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26"/>
      <c r="BF843" s="26"/>
      <c r="BG843" s="37"/>
      <c r="BH843" s="26"/>
      <c r="BI843" s="26"/>
      <c r="BJ843" s="26"/>
      <c r="BK843" s="26"/>
      <c r="BL843" s="26"/>
      <c r="BM843" s="26"/>
      <c r="BN843" s="26"/>
      <c r="BO843" s="37">
        <f t="shared" si="104"/>
        <v>0</v>
      </c>
      <c r="BP843" s="56">
        <f t="shared" si="105"/>
        <v>0</v>
      </c>
      <c r="BQ843" s="56">
        <f t="shared" si="106"/>
        <v>0</v>
      </c>
      <c r="BR843" s="57">
        <f t="shared" si="107"/>
        <v>0</v>
      </c>
      <c r="BS843" s="38"/>
      <c r="BT843" s="38"/>
      <c r="BU843" s="26"/>
      <c r="BV843" s="26"/>
      <c r="BW843" s="39">
        <f t="shared" si="108"/>
        <v>0</v>
      </c>
      <c r="BX843" s="78">
        <v>0</v>
      </c>
      <c r="BY843" s="63">
        <v>8</v>
      </c>
      <c r="CB843" s="7"/>
      <c r="CC843" s="7"/>
    </row>
    <row r="844" spans="1:81" ht="16" x14ac:dyDescent="0.2">
      <c r="A844" s="109" t="s">
        <v>367</v>
      </c>
      <c r="B844" s="26">
        <v>34</v>
      </c>
      <c r="C844" s="109" t="s">
        <v>241</v>
      </c>
      <c r="D844" s="26">
        <v>9</v>
      </c>
      <c r="E844" s="26">
        <v>2</v>
      </c>
      <c r="F844" s="26">
        <v>2</v>
      </c>
      <c r="G844" s="26" t="s">
        <v>51</v>
      </c>
      <c r="H844" s="26">
        <v>4</v>
      </c>
      <c r="I844" s="26" t="s">
        <v>51</v>
      </c>
      <c r="J844" s="26" t="s">
        <v>65</v>
      </c>
      <c r="K844" s="26"/>
      <c r="L844" s="26">
        <v>5</v>
      </c>
      <c r="M844" s="40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 t="s">
        <v>38</v>
      </c>
      <c r="BD844" s="36">
        <f>6/15</f>
        <v>0.4</v>
      </c>
      <c r="BE844" s="26"/>
      <c r="BF844" s="26"/>
      <c r="BG844" s="37"/>
      <c r="BH844" s="26">
        <v>1</v>
      </c>
      <c r="BI844" s="26"/>
      <c r="BJ844" s="26"/>
      <c r="BK844" s="26"/>
      <c r="BL844" s="26"/>
      <c r="BM844" s="26"/>
      <c r="BN844" s="26"/>
      <c r="BO844" s="37">
        <f t="shared" si="104"/>
        <v>0</v>
      </c>
      <c r="BP844" s="56">
        <f t="shared" si="105"/>
        <v>1</v>
      </c>
      <c r="BQ844" s="56">
        <f t="shared" si="106"/>
        <v>0</v>
      </c>
      <c r="BR844" s="57">
        <f t="shared" si="107"/>
        <v>0</v>
      </c>
      <c r="BS844" s="38"/>
      <c r="BT844" s="38"/>
      <c r="BU844" s="26"/>
      <c r="BV844" s="26"/>
      <c r="BW844" s="39">
        <f t="shared" si="108"/>
        <v>1</v>
      </c>
      <c r="BX844" s="78">
        <v>3</v>
      </c>
      <c r="BY844" s="63">
        <v>11</v>
      </c>
      <c r="BZ844" s="7"/>
      <c r="CA844" s="8"/>
      <c r="CB844" s="7"/>
      <c r="CC844" s="7"/>
    </row>
    <row r="845" spans="1:81" ht="16" x14ac:dyDescent="0.2">
      <c r="A845" s="109" t="s">
        <v>367</v>
      </c>
      <c r="B845" s="26">
        <v>34</v>
      </c>
      <c r="C845" s="109" t="s">
        <v>241</v>
      </c>
      <c r="D845" s="26">
        <v>15</v>
      </c>
      <c r="E845" s="26">
        <v>2</v>
      </c>
      <c r="F845" s="26">
        <v>2</v>
      </c>
      <c r="G845" s="26" t="s">
        <v>51</v>
      </c>
      <c r="H845" s="26">
        <v>4</v>
      </c>
      <c r="I845" s="26" t="s">
        <v>51</v>
      </c>
      <c r="J845" s="26" t="s">
        <v>37</v>
      </c>
      <c r="K845" s="26"/>
      <c r="L845" s="26">
        <v>6</v>
      </c>
      <c r="M845" s="40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 t="s">
        <v>39</v>
      </c>
      <c r="AR845" s="36">
        <v>1</v>
      </c>
      <c r="AS845" s="36"/>
      <c r="AT845" s="36"/>
      <c r="AU845" s="36" t="s">
        <v>39</v>
      </c>
      <c r="AV845" s="36">
        <v>1</v>
      </c>
      <c r="AW845" s="36"/>
      <c r="AX845" s="36"/>
      <c r="AY845" s="36"/>
      <c r="AZ845" s="36"/>
      <c r="BA845" s="36"/>
      <c r="BB845" s="36"/>
      <c r="BC845" s="36"/>
      <c r="BD845" s="36"/>
      <c r="BE845" s="26"/>
      <c r="BF845" s="26"/>
      <c r="BG845" s="37"/>
      <c r="BH845" s="26"/>
      <c r="BI845" s="26">
        <v>2</v>
      </c>
      <c r="BJ845" s="26"/>
      <c r="BK845" s="26"/>
      <c r="BL845" s="26"/>
      <c r="BM845" s="26"/>
      <c r="BN845" s="26"/>
      <c r="BO845" s="37">
        <f t="shared" si="104"/>
        <v>2</v>
      </c>
      <c r="BP845" s="56">
        <f t="shared" si="105"/>
        <v>0</v>
      </c>
      <c r="BQ845" s="56">
        <f t="shared" si="106"/>
        <v>0</v>
      </c>
      <c r="BR845" s="57">
        <f t="shared" si="107"/>
        <v>0</v>
      </c>
      <c r="BS845" s="38"/>
      <c r="BT845" s="38"/>
      <c r="BU845" s="26"/>
      <c r="BV845" s="26"/>
      <c r="BW845" s="39">
        <f t="shared" si="108"/>
        <v>2</v>
      </c>
      <c r="BX845" s="78">
        <v>1</v>
      </c>
      <c r="BY845" s="63">
        <v>9</v>
      </c>
      <c r="CB845" s="7"/>
      <c r="CC845" s="7"/>
    </row>
    <row r="846" spans="1:81" ht="16" x14ac:dyDescent="0.2">
      <c r="A846" s="109" t="s">
        <v>367</v>
      </c>
      <c r="B846" s="26">
        <v>34</v>
      </c>
      <c r="C846" s="109" t="s">
        <v>242</v>
      </c>
      <c r="D846" s="26">
        <v>1</v>
      </c>
      <c r="E846" s="26">
        <v>2</v>
      </c>
      <c r="F846" s="26">
        <v>2</v>
      </c>
      <c r="G846" s="26" t="s">
        <v>51</v>
      </c>
      <c r="H846" s="26">
        <v>4</v>
      </c>
      <c r="I846" s="26" t="s">
        <v>51</v>
      </c>
      <c r="J846" s="26"/>
      <c r="K846" s="26" t="s">
        <v>47</v>
      </c>
      <c r="L846" s="26">
        <v>5</v>
      </c>
      <c r="M846" s="40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 t="s">
        <v>40</v>
      </c>
      <c r="AL846" s="36">
        <v>1</v>
      </c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  <c r="AW846" s="36" t="s">
        <v>38</v>
      </c>
      <c r="AX846" s="36">
        <v>0.59</v>
      </c>
      <c r="AY846" s="36"/>
      <c r="AZ846" s="36"/>
      <c r="BA846" s="36"/>
      <c r="BB846" s="36"/>
      <c r="BC846" s="36"/>
      <c r="BD846" s="36"/>
      <c r="BE846" s="26"/>
      <c r="BF846" s="26"/>
      <c r="BG846" s="37"/>
      <c r="BH846" s="26">
        <v>1</v>
      </c>
      <c r="BI846" s="26"/>
      <c r="BJ846" s="26"/>
      <c r="BK846" s="26"/>
      <c r="BL846" s="26"/>
      <c r="BM846" s="26">
        <v>1</v>
      </c>
      <c r="BN846" s="26"/>
      <c r="BO846" s="37">
        <f t="shared" si="104"/>
        <v>0</v>
      </c>
      <c r="BP846" s="56">
        <f t="shared" si="105"/>
        <v>1</v>
      </c>
      <c r="BQ846" s="56">
        <f t="shared" si="106"/>
        <v>1</v>
      </c>
      <c r="BR846" s="57">
        <f t="shared" si="107"/>
        <v>0</v>
      </c>
      <c r="BS846" s="38"/>
      <c r="BT846" s="38"/>
      <c r="BU846" s="26"/>
      <c r="BV846" s="26"/>
      <c r="BW846" s="39">
        <f t="shared" si="108"/>
        <v>2</v>
      </c>
      <c r="BX846" s="78">
        <v>4</v>
      </c>
      <c r="BY846" s="63">
        <v>3</v>
      </c>
      <c r="BZ846" s="7"/>
      <c r="CA846" s="8"/>
      <c r="CB846" s="7"/>
      <c r="CC846" s="7"/>
    </row>
    <row r="847" spans="1:81" x14ac:dyDescent="0.2">
      <c r="A847" s="109" t="s">
        <v>367</v>
      </c>
      <c r="B847" s="26">
        <v>34</v>
      </c>
      <c r="C847" s="109" t="s">
        <v>242</v>
      </c>
      <c r="D847" s="26">
        <v>2</v>
      </c>
      <c r="E847" s="26">
        <v>2</v>
      </c>
      <c r="F847" s="26">
        <v>2</v>
      </c>
      <c r="G847" s="26" t="s">
        <v>51</v>
      </c>
      <c r="H847" s="26">
        <v>4</v>
      </c>
      <c r="I847" s="26" t="s">
        <v>51</v>
      </c>
      <c r="J847" s="26" t="s">
        <v>42</v>
      </c>
      <c r="K847" s="26"/>
      <c r="L847" s="26">
        <v>5</v>
      </c>
      <c r="M847" s="40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G847" s="37"/>
      <c r="BH847" s="26"/>
      <c r="BI847" s="26"/>
      <c r="BJ847" s="26"/>
      <c r="BK847" s="26"/>
      <c r="BL847" s="26"/>
      <c r="BM847" s="26"/>
      <c r="BO847" s="37">
        <f t="shared" si="104"/>
        <v>0</v>
      </c>
      <c r="BP847" s="56">
        <f t="shared" si="105"/>
        <v>0</v>
      </c>
      <c r="BQ847" s="56">
        <f t="shared" si="106"/>
        <v>0</v>
      </c>
      <c r="BR847" s="57">
        <f t="shared" si="107"/>
        <v>0</v>
      </c>
      <c r="BU847" s="26"/>
      <c r="BV847" s="26"/>
      <c r="BW847" s="39">
        <f t="shared" si="108"/>
        <v>0</v>
      </c>
      <c r="BX847" s="78">
        <v>0</v>
      </c>
      <c r="BY847" s="63">
        <v>8</v>
      </c>
    </row>
    <row r="848" spans="1:81" ht="16" x14ac:dyDescent="0.2">
      <c r="A848" s="109" t="s">
        <v>367</v>
      </c>
      <c r="B848" s="26">
        <v>34</v>
      </c>
      <c r="C848" s="109" t="s">
        <v>242</v>
      </c>
      <c r="D848" s="26">
        <v>3</v>
      </c>
      <c r="E848" s="26">
        <v>2</v>
      </c>
      <c r="F848" s="26">
        <v>2</v>
      </c>
      <c r="G848" s="26" t="s">
        <v>51</v>
      </c>
      <c r="H848" s="26">
        <v>4</v>
      </c>
      <c r="I848" s="26" t="s">
        <v>51</v>
      </c>
      <c r="J848" s="26" t="s">
        <v>41</v>
      </c>
      <c r="K848" s="26"/>
      <c r="L848" s="26">
        <v>5</v>
      </c>
      <c r="M848" s="40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 t="s">
        <v>38</v>
      </c>
      <c r="AV848" s="36">
        <v>0.88</v>
      </c>
      <c r="AW848" s="36"/>
      <c r="AX848" s="36"/>
      <c r="AY848" s="36"/>
      <c r="AZ848" s="36"/>
      <c r="BA848" s="36"/>
      <c r="BB848" s="36"/>
      <c r="BC848" s="36"/>
      <c r="BD848" s="36"/>
      <c r="BG848" s="37">
        <v>1</v>
      </c>
      <c r="BH848" s="26"/>
      <c r="BI848" s="26"/>
      <c r="BJ848" s="26"/>
      <c r="BK848" s="26"/>
      <c r="BL848" s="26"/>
      <c r="BM848" s="26"/>
      <c r="BN848" s="26"/>
      <c r="BO848" s="37">
        <f t="shared" si="104"/>
        <v>1</v>
      </c>
      <c r="BP848" s="56">
        <f t="shared" si="105"/>
        <v>0</v>
      </c>
      <c r="BQ848" s="56">
        <f t="shared" si="106"/>
        <v>0</v>
      </c>
      <c r="BR848" s="57">
        <f t="shared" si="107"/>
        <v>0</v>
      </c>
      <c r="BS848" s="38"/>
      <c r="BT848" s="38"/>
      <c r="BU848" s="26"/>
      <c r="BV848" s="26"/>
      <c r="BW848" s="39">
        <f t="shared" si="108"/>
        <v>1</v>
      </c>
      <c r="BX848" s="78">
        <v>1</v>
      </c>
      <c r="BY848" s="63">
        <v>10</v>
      </c>
      <c r="BZ848" s="7"/>
      <c r="CA848" s="8"/>
      <c r="CB848" s="7"/>
      <c r="CC848" s="7"/>
    </row>
    <row r="849" spans="1:81" x14ac:dyDescent="0.2">
      <c r="A849" s="109" t="s">
        <v>367</v>
      </c>
      <c r="B849" s="26">
        <v>34</v>
      </c>
      <c r="C849" s="109" t="s">
        <v>242</v>
      </c>
      <c r="D849" s="26">
        <v>4</v>
      </c>
      <c r="E849" s="26">
        <v>2</v>
      </c>
      <c r="F849" s="26">
        <v>2</v>
      </c>
      <c r="G849" s="26" t="s">
        <v>51</v>
      </c>
      <c r="H849" s="26">
        <v>5</v>
      </c>
      <c r="I849" s="26" t="s">
        <v>56</v>
      </c>
      <c r="J849" s="26" t="s">
        <v>60</v>
      </c>
      <c r="K849" s="26"/>
      <c r="L849" s="26">
        <v>7</v>
      </c>
      <c r="M849" s="40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G849" s="37"/>
      <c r="BH849" s="26"/>
      <c r="BI849" s="26"/>
      <c r="BJ849" s="26"/>
      <c r="BK849" s="26"/>
      <c r="BL849" s="26"/>
      <c r="BM849" s="26"/>
      <c r="BN849" s="26"/>
      <c r="BO849" s="37">
        <f t="shared" si="104"/>
        <v>0</v>
      </c>
      <c r="BP849" s="56">
        <f t="shared" si="105"/>
        <v>0</v>
      </c>
      <c r="BQ849" s="56">
        <f t="shared" si="106"/>
        <v>0</v>
      </c>
      <c r="BR849" s="57">
        <f t="shared" si="107"/>
        <v>0</v>
      </c>
      <c r="BS849" s="38"/>
      <c r="BT849" s="38"/>
      <c r="BU849" s="26"/>
      <c r="BV849" s="26"/>
      <c r="BW849" s="39">
        <f t="shared" si="108"/>
        <v>0</v>
      </c>
      <c r="BX849" s="78">
        <v>0</v>
      </c>
      <c r="BY849" s="63">
        <v>7</v>
      </c>
      <c r="CB849" s="7"/>
      <c r="CC849" s="7"/>
    </row>
    <row r="850" spans="1:81" x14ac:dyDescent="0.2">
      <c r="A850" s="109" t="s">
        <v>367</v>
      </c>
      <c r="B850" s="26">
        <v>34</v>
      </c>
      <c r="C850" s="109" t="s">
        <v>242</v>
      </c>
      <c r="D850" s="26">
        <v>5</v>
      </c>
      <c r="E850" s="26">
        <v>2</v>
      </c>
      <c r="F850" s="26">
        <v>2</v>
      </c>
      <c r="G850" s="26" t="s">
        <v>51</v>
      </c>
      <c r="H850" s="26">
        <v>4</v>
      </c>
      <c r="I850" s="26" t="s">
        <v>51</v>
      </c>
      <c r="J850" s="26" t="s">
        <v>41</v>
      </c>
      <c r="K850" s="26"/>
      <c r="L850" s="26">
        <v>5</v>
      </c>
      <c r="M850" s="40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G850" s="37"/>
      <c r="BH850" s="26"/>
      <c r="BI850" s="26"/>
      <c r="BJ850" s="26"/>
      <c r="BK850" s="26"/>
      <c r="BL850" s="26"/>
      <c r="BM850" s="26"/>
      <c r="BN850" s="26"/>
      <c r="BO850" s="37">
        <f t="shared" si="104"/>
        <v>0</v>
      </c>
      <c r="BP850" s="56">
        <f t="shared" si="105"/>
        <v>0</v>
      </c>
      <c r="BQ850" s="56">
        <f t="shared" si="106"/>
        <v>0</v>
      </c>
      <c r="BR850" s="57">
        <f t="shared" si="107"/>
        <v>0</v>
      </c>
      <c r="BS850" s="38"/>
      <c r="BT850" s="38"/>
      <c r="BU850" s="26"/>
      <c r="BV850" s="26"/>
      <c r="BW850" s="39">
        <f t="shared" si="108"/>
        <v>0</v>
      </c>
      <c r="BX850" s="78">
        <v>0</v>
      </c>
      <c r="BY850" s="63">
        <v>10</v>
      </c>
      <c r="BZ850" s="7"/>
      <c r="CA850" s="8"/>
      <c r="CB850" s="7"/>
      <c r="CC850" s="7"/>
    </row>
    <row r="851" spans="1:81" ht="16" x14ac:dyDescent="0.2">
      <c r="A851" s="109" t="s">
        <v>367</v>
      </c>
      <c r="B851" s="26">
        <v>34</v>
      </c>
      <c r="C851" s="109" t="s">
        <v>242</v>
      </c>
      <c r="D851" s="26">
        <v>6</v>
      </c>
      <c r="E851" s="26">
        <v>2</v>
      </c>
      <c r="F851" s="26">
        <v>2</v>
      </c>
      <c r="G851" s="26" t="s">
        <v>51</v>
      </c>
      <c r="H851" s="26">
        <v>4</v>
      </c>
      <c r="I851" s="26" t="s">
        <v>51</v>
      </c>
      <c r="J851" s="26" t="s">
        <v>41</v>
      </c>
      <c r="K851" s="26"/>
      <c r="L851" s="26">
        <v>5</v>
      </c>
      <c r="M851" s="40"/>
      <c r="N851" s="36"/>
      <c r="O851" s="36"/>
      <c r="P851" s="36"/>
      <c r="Q851" s="36"/>
      <c r="R851" s="36"/>
      <c r="S851" s="36"/>
      <c r="T851" s="36"/>
      <c r="U851" s="36"/>
      <c r="V851" s="36"/>
      <c r="W851" s="36" t="s">
        <v>57</v>
      </c>
      <c r="X851" s="36">
        <v>0.62</v>
      </c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G851" s="37"/>
      <c r="BH851" s="26"/>
      <c r="BI851" s="26"/>
      <c r="BJ851" s="26"/>
      <c r="BK851" s="26"/>
      <c r="BL851" s="26"/>
      <c r="BM851" s="26"/>
      <c r="BN851" s="26">
        <v>1</v>
      </c>
      <c r="BO851" s="37">
        <f t="shared" si="104"/>
        <v>0</v>
      </c>
      <c r="BP851" s="56">
        <f t="shared" si="105"/>
        <v>0</v>
      </c>
      <c r="BQ851" s="56">
        <f t="shared" si="106"/>
        <v>0</v>
      </c>
      <c r="BR851" s="57">
        <f t="shared" si="107"/>
        <v>1</v>
      </c>
      <c r="BS851" s="38"/>
      <c r="BT851" s="38"/>
      <c r="BU851" s="26"/>
      <c r="BV851" s="26"/>
      <c r="BW851" s="39">
        <f t="shared" si="108"/>
        <v>1</v>
      </c>
      <c r="BX851" s="78">
        <v>4</v>
      </c>
      <c r="BY851" s="63">
        <v>10</v>
      </c>
      <c r="BZ851" s="7"/>
      <c r="CA851" s="8"/>
      <c r="CB851" s="7"/>
      <c r="CC851" s="7"/>
    </row>
    <row r="852" spans="1:81" x14ac:dyDescent="0.2">
      <c r="A852" s="109" t="s">
        <v>367</v>
      </c>
      <c r="B852" s="26">
        <v>34</v>
      </c>
      <c r="C852" s="109" t="s">
        <v>242</v>
      </c>
      <c r="D852" s="26">
        <v>7</v>
      </c>
      <c r="E852" s="26">
        <v>2</v>
      </c>
      <c r="F852" s="26">
        <v>2</v>
      </c>
      <c r="G852" s="26" t="s">
        <v>51</v>
      </c>
      <c r="H852" s="26">
        <v>4</v>
      </c>
      <c r="I852" s="26" t="s">
        <v>51</v>
      </c>
      <c r="J852" s="26" t="s">
        <v>41</v>
      </c>
      <c r="K852" s="26"/>
      <c r="L852" s="26">
        <v>5</v>
      </c>
      <c r="M852" s="40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G852" s="37"/>
      <c r="BH852" s="26"/>
      <c r="BI852" s="26"/>
      <c r="BJ852" s="26"/>
      <c r="BK852" s="26"/>
      <c r="BL852" s="26"/>
      <c r="BM852" s="26"/>
      <c r="BN852" s="26"/>
      <c r="BO852" s="37">
        <f t="shared" si="104"/>
        <v>0</v>
      </c>
      <c r="BP852" s="56">
        <f t="shared" si="105"/>
        <v>0</v>
      </c>
      <c r="BQ852" s="56">
        <f t="shared" si="106"/>
        <v>0</v>
      </c>
      <c r="BR852" s="57">
        <f t="shared" si="107"/>
        <v>0</v>
      </c>
      <c r="BS852" s="38"/>
      <c r="BT852" s="38"/>
      <c r="BU852" s="26"/>
      <c r="BV852" s="26"/>
      <c r="BW852" s="39">
        <f t="shared" si="108"/>
        <v>0</v>
      </c>
      <c r="BX852" s="78">
        <v>0</v>
      </c>
      <c r="BY852" s="63">
        <v>10</v>
      </c>
      <c r="BZ852" s="7"/>
      <c r="CA852" s="8"/>
      <c r="CB852" s="7"/>
      <c r="CC852" s="7"/>
    </row>
    <row r="853" spans="1:81" ht="16" x14ac:dyDescent="0.2">
      <c r="A853" s="109" t="s">
        <v>368</v>
      </c>
      <c r="B853" s="26">
        <v>45</v>
      </c>
      <c r="C853" s="109" t="s">
        <v>243</v>
      </c>
      <c r="D853" s="26">
        <v>1</v>
      </c>
      <c r="E853" s="26">
        <v>2</v>
      </c>
      <c r="F853" s="26">
        <v>2</v>
      </c>
      <c r="G853" s="26" t="s">
        <v>51</v>
      </c>
      <c r="H853" s="26">
        <v>4</v>
      </c>
      <c r="I853" s="26" t="s">
        <v>51</v>
      </c>
      <c r="J853" s="26" t="s">
        <v>41</v>
      </c>
      <c r="K853" s="26"/>
      <c r="L853" s="26">
        <v>5</v>
      </c>
      <c r="M853" s="40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 t="s">
        <v>38</v>
      </c>
      <c r="Z853" s="36">
        <f>14.5/15</f>
        <v>0.96666666666666667</v>
      </c>
      <c r="AA853" s="36"/>
      <c r="AB853" s="36"/>
      <c r="AC853" s="36"/>
      <c r="AD853" s="36"/>
      <c r="AE853" s="36" t="s">
        <v>39</v>
      </c>
      <c r="AF853" s="36">
        <f>15/15</f>
        <v>1</v>
      </c>
      <c r="AG853" s="36"/>
      <c r="AH853" s="36"/>
      <c r="AI853" s="36"/>
      <c r="AJ853" s="36"/>
      <c r="AK853" s="36"/>
      <c r="AL853" s="36"/>
      <c r="AM853" s="36" t="s">
        <v>38</v>
      </c>
      <c r="AN853" s="36">
        <f>14/15</f>
        <v>0.93333333333333335</v>
      </c>
      <c r="AO853" s="36"/>
      <c r="AP853" s="36"/>
      <c r="AQ853" s="36"/>
      <c r="AR853" s="36"/>
      <c r="AS853" s="36"/>
      <c r="AT853" s="36"/>
      <c r="AU853" s="36"/>
      <c r="AV853" s="36"/>
      <c r="AW853" s="36"/>
      <c r="AX853" s="36"/>
      <c r="AY853" s="36"/>
      <c r="AZ853" s="36"/>
      <c r="BA853" s="36"/>
      <c r="BB853" s="36"/>
      <c r="BC853" s="36" t="s">
        <v>39</v>
      </c>
      <c r="BD853" s="36">
        <f>15/15</f>
        <v>1</v>
      </c>
      <c r="BE853" s="26"/>
      <c r="BF853" s="26"/>
      <c r="BG853" s="37">
        <v>2</v>
      </c>
      <c r="BH853" s="26"/>
      <c r="BI853" s="26">
        <v>2</v>
      </c>
      <c r="BJ853" s="26"/>
      <c r="BK853" s="26"/>
      <c r="BL853" s="26"/>
      <c r="BM853" s="26"/>
      <c r="BO853" s="37">
        <f t="shared" si="104"/>
        <v>4</v>
      </c>
      <c r="BP853" s="56">
        <f t="shared" si="105"/>
        <v>0</v>
      </c>
      <c r="BQ853" s="56">
        <f t="shared" si="106"/>
        <v>0</v>
      </c>
      <c r="BR853" s="57">
        <f t="shared" si="107"/>
        <v>0</v>
      </c>
      <c r="BU853" s="26"/>
      <c r="BV853" s="26"/>
      <c r="BW853" s="39">
        <f t="shared" si="108"/>
        <v>4</v>
      </c>
      <c r="BX853" s="78">
        <v>1</v>
      </c>
      <c r="BY853" s="63">
        <v>10</v>
      </c>
    </row>
    <row r="854" spans="1:81" ht="16" x14ac:dyDescent="0.2">
      <c r="A854" s="109" t="s">
        <v>368</v>
      </c>
      <c r="B854" s="26">
        <v>45</v>
      </c>
      <c r="C854" s="109" t="s">
        <v>243</v>
      </c>
      <c r="D854" s="26">
        <v>2</v>
      </c>
      <c r="E854" s="26">
        <v>2</v>
      </c>
      <c r="F854" s="26">
        <v>2</v>
      </c>
      <c r="G854" s="26" t="s">
        <v>51</v>
      </c>
      <c r="H854" s="26">
        <v>4</v>
      </c>
      <c r="I854" s="26" t="s">
        <v>51</v>
      </c>
      <c r="J854" s="26" t="s">
        <v>69</v>
      </c>
      <c r="K854" s="26"/>
      <c r="L854" s="26">
        <v>5</v>
      </c>
      <c r="M854" s="40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 t="s">
        <v>38</v>
      </c>
      <c r="AN854" s="36">
        <f>15/15</f>
        <v>1</v>
      </c>
      <c r="AO854" s="36"/>
      <c r="AP854" s="36"/>
      <c r="AQ854" s="36"/>
      <c r="AR854" s="36"/>
      <c r="AS854" s="36"/>
      <c r="AT854" s="36"/>
      <c r="AU854" s="36"/>
      <c r="AV854" s="36"/>
      <c r="AW854" s="36" t="s">
        <v>38</v>
      </c>
      <c r="AX854" s="36">
        <f>12/15</f>
        <v>0.8</v>
      </c>
      <c r="AY854" s="36"/>
      <c r="AZ854" s="36"/>
      <c r="BA854" s="36"/>
      <c r="BB854" s="36"/>
      <c r="BC854" s="36"/>
      <c r="BD854" s="36"/>
      <c r="BE854" s="26"/>
      <c r="BF854" s="26"/>
      <c r="BG854" s="37">
        <v>2</v>
      </c>
      <c r="BH854" s="26"/>
      <c r="BI854" s="26"/>
      <c r="BJ854" s="26"/>
      <c r="BK854" s="26"/>
      <c r="BL854" s="26"/>
      <c r="BM854" s="26"/>
      <c r="BN854" s="26"/>
      <c r="BO854" s="37">
        <f t="shared" si="104"/>
        <v>2</v>
      </c>
      <c r="BP854" s="56">
        <f t="shared" si="105"/>
        <v>0</v>
      </c>
      <c r="BQ854" s="56">
        <f t="shared" si="106"/>
        <v>0</v>
      </c>
      <c r="BR854" s="57">
        <f t="shared" si="107"/>
        <v>0</v>
      </c>
      <c r="BS854" s="38"/>
      <c r="BT854" s="38"/>
      <c r="BU854" s="26"/>
      <c r="BV854" s="26"/>
      <c r="BW854" s="39">
        <f t="shared" si="108"/>
        <v>2</v>
      </c>
      <c r="BX854" s="78">
        <v>1</v>
      </c>
      <c r="BY854" s="63">
        <v>12</v>
      </c>
      <c r="BZ854" s="7"/>
      <c r="CA854" s="8"/>
      <c r="CB854" s="7"/>
      <c r="CC854" s="7"/>
    </row>
    <row r="855" spans="1:81" ht="16" x14ac:dyDescent="0.2">
      <c r="A855" s="109" t="s">
        <v>369</v>
      </c>
      <c r="B855" s="26">
        <v>42</v>
      </c>
      <c r="C855" s="109" t="s">
        <v>244</v>
      </c>
      <c r="D855" s="26">
        <v>1</v>
      </c>
      <c r="E855" s="26">
        <v>2</v>
      </c>
      <c r="F855" s="26">
        <v>2</v>
      </c>
      <c r="G855" s="26" t="s">
        <v>51</v>
      </c>
      <c r="H855" s="26">
        <v>5</v>
      </c>
      <c r="I855" s="26" t="s">
        <v>56</v>
      </c>
      <c r="J855" s="26" t="s">
        <v>37</v>
      </c>
      <c r="K855" s="26"/>
      <c r="L855" s="26">
        <v>6</v>
      </c>
      <c r="M855" s="40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 t="s">
        <v>39</v>
      </c>
      <c r="AL855" s="36">
        <f>13/13</f>
        <v>1</v>
      </c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26"/>
      <c r="BF855" s="26"/>
      <c r="BG855" s="37"/>
      <c r="BH855" s="26"/>
      <c r="BI855" s="26">
        <v>1</v>
      </c>
      <c r="BJ855" s="26"/>
      <c r="BK855" s="26"/>
      <c r="BL855" s="26"/>
      <c r="BM855" s="26"/>
      <c r="BO855" s="37">
        <f t="shared" si="104"/>
        <v>1</v>
      </c>
      <c r="BP855" s="56">
        <f t="shared" si="105"/>
        <v>0</v>
      </c>
      <c r="BQ855" s="56">
        <f t="shared" si="106"/>
        <v>0</v>
      </c>
      <c r="BR855" s="57">
        <f t="shared" si="107"/>
        <v>0</v>
      </c>
      <c r="BU855" s="26"/>
      <c r="BV855" s="26"/>
      <c r="BW855" s="39">
        <f t="shared" si="108"/>
        <v>1</v>
      </c>
      <c r="BX855" s="78">
        <v>1</v>
      </c>
      <c r="BY855" s="63">
        <v>9</v>
      </c>
    </row>
    <row r="856" spans="1:81" ht="16" x14ac:dyDescent="0.2">
      <c r="A856" s="125" t="s">
        <v>369</v>
      </c>
      <c r="B856" s="26">
        <v>42</v>
      </c>
      <c r="C856" s="109" t="s">
        <v>244</v>
      </c>
      <c r="D856" s="26">
        <v>2</v>
      </c>
      <c r="E856" s="26">
        <v>2</v>
      </c>
      <c r="F856" s="26">
        <v>2</v>
      </c>
      <c r="G856" s="26" t="s">
        <v>51</v>
      </c>
      <c r="H856" s="26">
        <v>5</v>
      </c>
      <c r="I856" s="26" t="s">
        <v>56</v>
      </c>
      <c r="J856" s="26"/>
      <c r="K856" s="26">
        <v>12</v>
      </c>
      <c r="L856" s="26">
        <v>7</v>
      </c>
      <c r="M856" s="40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 t="s">
        <v>38</v>
      </c>
      <c r="AR856" s="36">
        <v>1</v>
      </c>
      <c r="AS856" s="36"/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26"/>
      <c r="BF856" s="26"/>
      <c r="BG856" s="40">
        <v>1</v>
      </c>
      <c r="BH856" s="36"/>
      <c r="BI856" s="36"/>
      <c r="BJ856" s="36"/>
      <c r="BK856" s="36"/>
      <c r="BL856" s="36"/>
      <c r="BM856" s="36"/>
      <c r="BN856" s="36"/>
      <c r="BO856" s="37">
        <f t="shared" si="104"/>
        <v>1</v>
      </c>
      <c r="BP856" s="56">
        <f t="shared" si="105"/>
        <v>0</v>
      </c>
      <c r="BQ856" s="56">
        <f t="shared" si="106"/>
        <v>0</v>
      </c>
      <c r="BR856" s="57">
        <f t="shared" si="107"/>
        <v>0</v>
      </c>
      <c r="BS856" s="36"/>
      <c r="BT856" s="36"/>
      <c r="BU856" s="26"/>
      <c r="BV856" s="26"/>
      <c r="BW856" s="39">
        <f t="shared" si="108"/>
        <v>1</v>
      </c>
      <c r="BX856" s="78">
        <v>1</v>
      </c>
      <c r="BY856" s="65">
        <v>2</v>
      </c>
      <c r="BZ856" s="16"/>
      <c r="CA856" s="21"/>
      <c r="CB856" s="16"/>
      <c r="CC856" s="16"/>
    </row>
    <row r="857" spans="1:81" ht="16" x14ac:dyDescent="0.2">
      <c r="A857" s="125" t="s">
        <v>369</v>
      </c>
      <c r="B857" s="26">
        <v>42</v>
      </c>
      <c r="C857" s="109" t="s">
        <v>244</v>
      </c>
      <c r="D857" s="26">
        <v>3</v>
      </c>
      <c r="E857" s="26">
        <v>2</v>
      </c>
      <c r="F857" s="26">
        <v>2</v>
      </c>
      <c r="G857" s="26" t="s">
        <v>51</v>
      </c>
      <c r="H857" s="26">
        <v>4</v>
      </c>
      <c r="I857" s="26" t="s">
        <v>51</v>
      </c>
      <c r="J857" s="26" t="s">
        <v>69</v>
      </c>
      <c r="K857" s="26"/>
      <c r="L857" s="26">
        <v>6</v>
      </c>
      <c r="M857" s="40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26"/>
      <c r="BF857" s="26"/>
      <c r="BG857" s="40"/>
      <c r="BH857" s="36"/>
      <c r="BI857" s="36"/>
      <c r="BJ857" s="36"/>
      <c r="BK857" s="36"/>
      <c r="BL857" s="36"/>
      <c r="BM857" s="36"/>
      <c r="BN857" s="36"/>
      <c r="BO857" s="37">
        <f t="shared" si="104"/>
        <v>0</v>
      </c>
      <c r="BP857" s="56">
        <f t="shared" si="105"/>
        <v>0</v>
      </c>
      <c r="BQ857" s="56">
        <f t="shared" si="106"/>
        <v>0</v>
      </c>
      <c r="BR857" s="57">
        <f t="shared" si="107"/>
        <v>0</v>
      </c>
      <c r="BS857" s="36"/>
      <c r="BT857" s="36"/>
      <c r="BU857" s="26"/>
      <c r="BV857" s="26"/>
      <c r="BW857" s="39">
        <f t="shared" si="108"/>
        <v>0</v>
      </c>
      <c r="BX857" s="78">
        <v>0</v>
      </c>
      <c r="BY857" s="65">
        <v>12</v>
      </c>
      <c r="BZ857" s="16"/>
      <c r="CA857" s="21"/>
      <c r="CB857" s="16"/>
      <c r="CC857" s="16"/>
    </row>
    <row r="858" spans="1:81" x14ac:dyDescent="0.2">
      <c r="A858" s="109" t="s">
        <v>369</v>
      </c>
      <c r="B858" s="26">
        <v>42</v>
      </c>
      <c r="C858" s="109" t="s">
        <v>244</v>
      </c>
      <c r="D858" s="26">
        <v>4</v>
      </c>
      <c r="E858" s="26">
        <v>2</v>
      </c>
      <c r="F858" s="26">
        <v>3</v>
      </c>
      <c r="G858" s="26" t="s">
        <v>50</v>
      </c>
      <c r="H858" s="26">
        <v>6</v>
      </c>
      <c r="I858" s="26" t="s">
        <v>51</v>
      </c>
      <c r="J858" s="26" t="s">
        <v>60</v>
      </c>
      <c r="K858" s="26"/>
      <c r="L858" s="26">
        <v>7</v>
      </c>
      <c r="M858" s="40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26"/>
      <c r="BF858" s="26"/>
      <c r="BG858" s="37"/>
      <c r="BH858" s="26"/>
      <c r="BI858" s="26"/>
      <c r="BJ858" s="26"/>
      <c r="BK858" s="26"/>
      <c r="BL858" s="26"/>
      <c r="BM858" s="26"/>
      <c r="BO858" s="37">
        <f t="shared" si="104"/>
        <v>0</v>
      </c>
      <c r="BP858" s="56">
        <f t="shared" si="105"/>
        <v>0</v>
      </c>
      <c r="BQ858" s="56">
        <f t="shared" si="106"/>
        <v>0</v>
      </c>
      <c r="BR858" s="57">
        <f t="shared" si="107"/>
        <v>0</v>
      </c>
      <c r="BU858" s="26"/>
      <c r="BV858" s="26"/>
      <c r="BW858" s="39">
        <f t="shared" si="108"/>
        <v>0</v>
      </c>
      <c r="BX858" s="78">
        <v>0</v>
      </c>
      <c r="BY858" s="63">
        <v>7</v>
      </c>
    </row>
    <row r="859" spans="1:81" ht="16" x14ac:dyDescent="0.2">
      <c r="A859" s="109" t="s">
        <v>369</v>
      </c>
      <c r="B859" s="26">
        <v>42</v>
      </c>
      <c r="C859" s="109" t="s">
        <v>244</v>
      </c>
      <c r="D859" s="26">
        <v>6</v>
      </c>
      <c r="E859" s="26">
        <v>2</v>
      </c>
      <c r="F859" s="26">
        <v>2</v>
      </c>
      <c r="G859" s="26" t="s">
        <v>51</v>
      </c>
      <c r="H859" s="26">
        <v>6</v>
      </c>
      <c r="I859" s="26" t="s">
        <v>50</v>
      </c>
      <c r="J859" s="26" t="s">
        <v>41</v>
      </c>
      <c r="K859" s="26"/>
      <c r="L859" s="26">
        <v>5</v>
      </c>
      <c r="M859" s="40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 t="s">
        <v>48</v>
      </c>
      <c r="Z859" s="36">
        <f>13/13</f>
        <v>1</v>
      </c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 t="s">
        <v>39</v>
      </c>
      <c r="AN859" s="36">
        <f>6.5/13</f>
        <v>0.5</v>
      </c>
      <c r="AO859" s="36"/>
      <c r="AP859" s="36"/>
      <c r="AQ859" s="36"/>
      <c r="AR859" s="36"/>
      <c r="AS859" s="36" t="s">
        <v>39</v>
      </c>
      <c r="AT859" s="36">
        <f>8.5/13</f>
        <v>0.65384615384615385</v>
      </c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26"/>
      <c r="BF859" s="26"/>
      <c r="BG859" s="37"/>
      <c r="BH859" s="26"/>
      <c r="BI859" s="26"/>
      <c r="BJ859" s="26">
        <v>2</v>
      </c>
      <c r="BK859" s="26">
        <v>1</v>
      </c>
      <c r="BL859" s="26"/>
      <c r="BM859" s="26"/>
      <c r="BO859" s="37">
        <f t="shared" si="104"/>
        <v>0</v>
      </c>
      <c r="BP859" s="56">
        <f t="shared" si="105"/>
        <v>2</v>
      </c>
      <c r="BQ859" s="56">
        <f t="shared" si="106"/>
        <v>1</v>
      </c>
      <c r="BR859" s="57">
        <f t="shared" si="107"/>
        <v>0</v>
      </c>
      <c r="BU859" s="26"/>
      <c r="BV859" s="26"/>
      <c r="BW859" s="39">
        <f t="shared" si="108"/>
        <v>3</v>
      </c>
      <c r="BX859" s="78">
        <v>4</v>
      </c>
      <c r="BY859" s="63">
        <v>10</v>
      </c>
    </row>
    <row r="860" spans="1:81" ht="16" x14ac:dyDescent="0.2">
      <c r="A860" s="109" t="s">
        <v>369</v>
      </c>
      <c r="B860" s="26">
        <v>42</v>
      </c>
      <c r="C860" s="109" t="s">
        <v>244</v>
      </c>
      <c r="D860" s="26">
        <v>7</v>
      </c>
      <c r="E860" s="26">
        <v>2</v>
      </c>
      <c r="F860" s="26">
        <v>2</v>
      </c>
      <c r="G860" s="26" t="s">
        <v>51</v>
      </c>
      <c r="H860" s="26">
        <v>4</v>
      </c>
      <c r="I860" s="26" t="s">
        <v>51</v>
      </c>
      <c r="J860" s="26" t="s">
        <v>41</v>
      </c>
      <c r="K860" s="26"/>
      <c r="L860" s="26">
        <v>6</v>
      </c>
      <c r="M860" s="40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 t="s">
        <v>40</v>
      </c>
      <c r="AR860" s="36">
        <f>9/13</f>
        <v>0.69230769230769229</v>
      </c>
      <c r="AS860" s="36"/>
      <c r="AT860" s="36"/>
      <c r="AU860" s="36"/>
      <c r="AV860" s="36"/>
      <c r="AW860" s="36"/>
      <c r="AX860" s="36"/>
      <c r="AY860" s="36"/>
      <c r="AZ860" s="36"/>
      <c r="BA860" s="36" t="s">
        <v>39</v>
      </c>
      <c r="BB860" s="36">
        <f>12/13</f>
        <v>0.92307692307692313</v>
      </c>
      <c r="BC860" s="36"/>
      <c r="BD860" s="36"/>
      <c r="BE860" s="26"/>
      <c r="BF860" s="26"/>
      <c r="BG860" s="37"/>
      <c r="BH860" s="26"/>
      <c r="BI860" s="26">
        <v>1</v>
      </c>
      <c r="BJ860" s="26"/>
      <c r="BK860" s="26"/>
      <c r="BL860" s="26"/>
      <c r="BM860" s="26"/>
      <c r="BN860" s="41">
        <v>1</v>
      </c>
      <c r="BO860" s="37">
        <f t="shared" si="104"/>
        <v>1</v>
      </c>
      <c r="BP860" s="56">
        <f t="shared" si="105"/>
        <v>0</v>
      </c>
      <c r="BQ860" s="56">
        <f t="shared" si="106"/>
        <v>0</v>
      </c>
      <c r="BR860" s="57">
        <f t="shared" si="107"/>
        <v>1</v>
      </c>
      <c r="BU860" s="26"/>
      <c r="BV860" s="26"/>
      <c r="BW860" s="39">
        <f t="shared" si="108"/>
        <v>2</v>
      </c>
      <c r="BX860" s="78">
        <v>2</v>
      </c>
      <c r="BY860" s="63">
        <v>10</v>
      </c>
    </row>
    <row r="861" spans="1:81" ht="16" x14ac:dyDescent="0.2">
      <c r="A861" s="109" t="s">
        <v>369</v>
      </c>
      <c r="B861" s="26">
        <v>42</v>
      </c>
      <c r="C861" s="109" t="s">
        <v>244</v>
      </c>
      <c r="D861" s="26">
        <v>8</v>
      </c>
      <c r="E861" s="26">
        <v>2</v>
      </c>
      <c r="F861" s="26">
        <v>2</v>
      </c>
      <c r="G861" s="26" t="s">
        <v>51</v>
      </c>
      <c r="H861" s="26">
        <v>4</v>
      </c>
      <c r="I861" s="26" t="s">
        <v>51</v>
      </c>
      <c r="J861" s="26"/>
      <c r="K861" s="26" t="s">
        <v>47</v>
      </c>
      <c r="L861" s="26">
        <v>7</v>
      </c>
      <c r="M861" s="40"/>
      <c r="N861" s="36"/>
      <c r="O861" s="36"/>
      <c r="P861" s="36"/>
      <c r="Q861" s="36"/>
      <c r="R861" s="36"/>
      <c r="S861" s="36"/>
      <c r="T861" s="36"/>
      <c r="U861" s="36"/>
      <c r="V861" s="36"/>
      <c r="W861" s="36" t="s">
        <v>39</v>
      </c>
      <c r="X861" s="36">
        <v>1</v>
      </c>
      <c r="Y861" s="36" t="s">
        <v>38</v>
      </c>
      <c r="Z861" s="36">
        <v>1</v>
      </c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 t="s">
        <v>39</v>
      </c>
      <c r="AT861" s="36">
        <v>0.57999999999999996</v>
      </c>
      <c r="AU861" s="36" t="s">
        <v>39</v>
      </c>
      <c r="AV861" s="36">
        <v>1</v>
      </c>
      <c r="AW861" s="36"/>
      <c r="AX861" s="36"/>
      <c r="AY861" s="36"/>
      <c r="AZ861" s="36"/>
      <c r="BA861" s="36"/>
      <c r="BB861" s="36"/>
      <c r="BC861" s="36"/>
      <c r="BD861" s="36"/>
      <c r="BE861" s="26"/>
      <c r="BF861" s="26"/>
      <c r="BG861" s="37">
        <v>1</v>
      </c>
      <c r="BH861" s="26"/>
      <c r="BI861" s="26">
        <v>2</v>
      </c>
      <c r="BJ861" s="26">
        <v>1</v>
      </c>
      <c r="BK861" s="26"/>
      <c r="BL861" s="26"/>
      <c r="BM861" s="26"/>
      <c r="BO861" s="37">
        <f t="shared" ref="BO861:BO892" si="109">BG861+BI861+BU861</f>
        <v>3</v>
      </c>
      <c r="BP861" s="56">
        <f t="shared" ref="BP861:BP892" si="110">BH861+BJ861</f>
        <v>1</v>
      </c>
      <c r="BQ861" s="56">
        <f t="shared" ref="BQ861:BQ892" si="111">BK861+BM861+BV861+BS861</f>
        <v>0</v>
      </c>
      <c r="BR861" s="57">
        <f t="shared" ref="BR861:BR892" si="112">BL861+BN861+BT861</f>
        <v>0</v>
      </c>
      <c r="BU861" s="26"/>
      <c r="BV861" s="26"/>
      <c r="BW861" s="39">
        <f t="shared" ref="BW861:BW892" si="113">SUM(BO861:BR861)</f>
        <v>4</v>
      </c>
      <c r="BX861" s="78">
        <v>2</v>
      </c>
      <c r="BY861" s="63">
        <v>3</v>
      </c>
    </row>
    <row r="862" spans="1:81" ht="16" x14ac:dyDescent="0.2">
      <c r="A862" s="109" t="s">
        <v>369</v>
      </c>
      <c r="B862" s="26">
        <v>42</v>
      </c>
      <c r="C862" s="109" t="s">
        <v>244</v>
      </c>
      <c r="D862" s="26">
        <v>9</v>
      </c>
      <c r="E862" s="26">
        <v>2</v>
      </c>
      <c r="F862" s="26">
        <v>4</v>
      </c>
      <c r="G862" s="26" t="s">
        <v>50</v>
      </c>
      <c r="H862" s="26"/>
      <c r="I862" s="26"/>
      <c r="J862" s="26"/>
      <c r="K862" s="26">
        <v>10</v>
      </c>
      <c r="L862" s="26">
        <v>6</v>
      </c>
      <c r="M862" s="40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 t="s">
        <v>39</v>
      </c>
      <c r="AH862" s="36">
        <v>1</v>
      </c>
      <c r="AI862" s="36"/>
      <c r="AJ862" s="36"/>
      <c r="AK862" s="36"/>
      <c r="AL862" s="36"/>
      <c r="AM862" s="36" t="s">
        <v>39</v>
      </c>
      <c r="AN862" s="36">
        <v>0.48</v>
      </c>
      <c r="AO862" s="36"/>
      <c r="AP862" s="36"/>
      <c r="AQ862" s="36"/>
      <c r="AR862" s="36"/>
      <c r="AS862" s="36"/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26"/>
      <c r="BF862" s="26"/>
      <c r="BG862" s="37"/>
      <c r="BH862" s="26"/>
      <c r="BI862" s="26">
        <v>1</v>
      </c>
      <c r="BJ862" s="26">
        <v>1</v>
      </c>
      <c r="BK862" s="26"/>
      <c r="BL862" s="26"/>
      <c r="BM862" s="26"/>
      <c r="BO862" s="37">
        <f t="shared" si="109"/>
        <v>1</v>
      </c>
      <c r="BP862" s="56">
        <f t="shared" si="110"/>
        <v>1</v>
      </c>
      <c r="BQ862" s="56">
        <f t="shared" si="111"/>
        <v>0</v>
      </c>
      <c r="BR862" s="57">
        <f t="shared" si="112"/>
        <v>0</v>
      </c>
      <c r="BU862" s="26"/>
      <c r="BV862" s="26"/>
      <c r="BW862" s="39">
        <f t="shared" si="113"/>
        <v>2</v>
      </c>
      <c r="BX862" s="78">
        <v>2</v>
      </c>
      <c r="BY862" s="63">
        <v>1</v>
      </c>
    </row>
    <row r="863" spans="1:81" x14ac:dyDescent="0.2">
      <c r="A863" s="109" t="s">
        <v>370</v>
      </c>
      <c r="B863" s="38">
        <v>40</v>
      </c>
      <c r="C863" s="111" t="s">
        <v>245</v>
      </c>
      <c r="D863" s="38">
        <v>1</v>
      </c>
      <c r="E863" s="38">
        <v>2</v>
      </c>
      <c r="F863" s="38">
        <v>4</v>
      </c>
      <c r="G863" s="38" t="s">
        <v>50</v>
      </c>
      <c r="H863" s="38">
        <v>7</v>
      </c>
      <c r="I863" s="38" t="s">
        <v>51</v>
      </c>
      <c r="J863" s="38"/>
      <c r="K863" s="38">
        <v>10</v>
      </c>
      <c r="L863" s="38">
        <v>6</v>
      </c>
      <c r="M863" s="40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8"/>
      <c r="BF863" s="38"/>
      <c r="BG863" s="37"/>
      <c r="BH863" s="26"/>
      <c r="BI863" s="26"/>
      <c r="BJ863" s="26"/>
      <c r="BK863" s="26"/>
      <c r="BL863" s="26"/>
      <c r="BM863" s="26"/>
      <c r="BN863" s="26"/>
      <c r="BO863" s="37">
        <f t="shared" si="109"/>
        <v>0</v>
      </c>
      <c r="BP863" s="56">
        <f t="shared" si="110"/>
        <v>0</v>
      </c>
      <c r="BQ863" s="56">
        <f t="shared" si="111"/>
        <v>0</v>
      </c>
      <c r="BR863" s="57">
        <f t="shared" si="112"/>
        <v>0</v>
      </c>
      <c r="BS863" s="38"/>
      <c r="BT863" s="38"/>
      <c r="BU863" s="26"/>
      <c r="BV863" s="26"/>
      <c r="BW863" s="39">
        <f t="shared" si="113"/>
        <v>0</v>
      </c>
      <c r="BX863" s="78">
        <v>0</v>
      </c>
      <c r="BY863" s="63">
        <v>1</v>
      </c>
      <c r="BZ863" s="7"/>
      <c r="CA863" s="8"/>
      <c r="CB863" s="7"/>
      <c r="CC863" s="7"/>
    </row>
    <row r="864" spans="1:81" ht="16" x14ac:dyDescent="0.2">
      <c r="A864" s="109" t="s">
        <v>370</v>
      </c>
      <c r="B864" s="38">
        <v>40</v>
      </c>
      <c r="C864" s="111" t="s">
        <v>245</v>
      </c>
      <c r="D864" s="38">
        <v>2</v>
      </c>
      <c r="E864" s="38">
        <v>2</v>
      </c>
      <c r="F864" s="38">
        <v>2</v>
      </c>
      <c r="G864" s="38" t="s">
        <v>51</v>
      </c>
      <c r="H864" s="38">
        <v>5</v>
      </c>
      <c r="I864" s="38" t="s">
        <v>51</v>
      </c>
      <c r="J864" s="38" t="s">
        <v>42</v>
      </c>
      <c r="K864" s="38"/>
      <c r="L864" s="38">
        <v>6</v>
      </c>
      <c r="M864" s="40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 t="s">
        <v>38</v>
      </c>
      <c r="AT864" s="36">
        <f>13/14</f>
        <v>0.9285714285714286</v>
      </c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8"/>
      <c r="BF864" s="38"/>
      <c r="BG864" s="43">
        <v>1</v>
      </c>
      <c r="BO864" s="37">
        <f t="shared" si="109"/>
        <v>1</v>
      </c>
      <c r="BP864" s="56">
        <f t="shared" si="110"/>
        <v>0</v>
      </c>
      <c r="BQ864" s="56">
        <f t="shared" si="111"/>
        <v>0</v>
      </c>
      <c r="BR864" s="57">
        <f t="shared" si="112"/>
        <v>0</v>
      </c>
      <c r="BU864" s="26"/>
      <c r="BV864" s="26"/>
      <c r="BW864" s="39">
        <f t="shared" si="113"/>
        <v>1</v>
      </c>
      <c r="BX864" s="78">
        <v>1</v>
      </c>
      <c r="BY864" s="63">
        <v>8</v>
      </c>
      <c r="BZ864" s="7"/>
      <c r="CA864" s="8"/>
      <c r="CB864" s="7"/>
      <c r="CC864" s="7"/>
    </row>
    <row r="865" spans="1:81" ht="16" x14ac:dyDescent="0.2">
      <c r="A865" s="109" t="s">
        <v>371</v>
      </c>
      <c r="B865" s="26">
        <v>40</v>
      </c>
      <c r="C865" s="109" t="s">
        <v>246</v>
      </c>
      <c r="D865" s="26">
        <v>1</v>
      </c>
      <c r="E865" s="26">
        <v>2</v>
      </c>
      <c r="F865" s="26">
        <v>4</v>
      </c>
      <c r="G865" s="26" t="s">
        <v>50</v>
      </c>
      <c r="H865" s="26">
        <v>6</v>
      </c>
      <c r="I865" s="26" t="s">
        <v>51</v>
      </c>
      <c r="J865" s="26"/>
      <c r="K865" s="26" t="s">
        <v>47</v>
      </c>
      <c r="L865" s="26">
        <v>7</v>
      </c>
      <c r="M865" s="40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 t="s">
        <v>39</v>
      </c>
      <c r="AJ865" s="36">
        <f>18/18</f>
        <v>1</v>
      </c>
      <c r="AK865" s="36"/>
      <c r="AL865" s="36"/>
      <c r="AM865" s="36"/>
      <c r="AN865" s="36"/>
      <c r="AO865" s="36"/>
      <c r="AP865" s="36"/>
      <c r="AQ865" s="36"/>
      <c r="AR865" s="36"/>
      <c r="AS865" s="36" t="s">
        <v>38</v>
      </c>
      <c r="AT865" s="36">
        <f>18/18</f>
        <v>1</v>
      </c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26"/>
      <c r="BF865" s="26"/>
      <c r="BG865" s="39">
        <v>1</v>
      </c>
      <c r="BH865" s="38"/>
      <c r="BI865" s="38">
        <v>1</v>
      </c>
      <c r="BJ865" s="38"/>
      <c r="BK865" s="38"/>
      <c r="BL865" s="38"/>
      <c r="BM865" s="38"/>
      <c r="BN865" s="38"/>
      <c r="BO865" s="37">
        <f t="shared" si="109"/>
        <v>2</v>
      </c>
      <c r="BP865" s="56">
        <f t="shared" si="110"/>
        <v>0</v>
      </c>
      <c r="BQ865" s="56">
        <f t="shared" si="111"/>
        <v>0</v>
      </c>
      <c r="BR865" s="57">
        <f t="shared" si="112"/>
        <v>0</v>
      </c>
      <c r="BS865" s="38"/>
      <c r="BT865" s="38"/>
      <c r="BU865" s="26"/>
      <c r="BV865" s="26"/>
      <c r="BW865" s="39">
        <f t="shared" si="113"/>
        <v>2</v>
      </c>
      <c r="BX865" s="78">
        <v>1</v>
      </c>
      <c r="BY865" s="63">
        <v>3</v>
      </c>
      <c r="BZ865" s="7"/>
      <c r="CA865" s="8"/>
      <c r="CB865" s="7"/>
      <c r="CC865" s="7"/>
    </row>
    <row r="866" spans="1:81" x14ac:dyDescent="0.2">
      <c r="A866" s="109" t="s">
        <v>371</v>
      </c>
      <c r="B866" s="26">
        <v>40</v>
      </c>
      <c r="C866" s="109" t="s">
        <v>246</v>
      </c>
      <c r="D866" s="26">
        <v>4</v>
      </c>
      <c r="E866" s="26">
        <v>2</v>
      </c>
      <c r="F866" s="26">
        <v>2</v>
      </c>
      <c r="G866" s="26" t="s">
        <v>51</v>
      </c>
      <c r="H866" s="26">
        <v>4</v>
      </c>
      <c r="I866" s="26" t="s">
        <v>51</v>
      </c>
      <c r="J866" s="26" t="s">
        <v>41</v>
      </c>
      <c r="K866" s="26"/>
      <c r="L866" s="26">
        <v>5</v>
      </c>
      <c r="M866" s="40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26"/>
      <c r="BF866" s="26"/>
      <c r="BG866" s="39"/>
      <c r="BH866" s="38"/>
      <c r="BI866" s="38"/>
      <c r="BJ866" s="38"/>
      <c r="BK866" s="38"/>
      <c r="BL866" s="38"/>
      <c r="BM866" s="38"/>
      <c r="BN866" s="38"/>
      <c r="BO866" s="37">
        <f t="shared" si="109"/>
        <v>0</v>
      </c>
      <c r="BP866" s="56">
        <f t="shared" si="110"/>
        <v>0</v>
      </c>
      <c r="BQ866" s="56">
        <f t="shared" si="111"/>
        <v>0</v>
      </c>
      <c r="BR866" s="57">
        <f t="shared" si="112"/>
        <v>0</v>
      </c>
      <c r="BS866" s="38"/>
      <c r="BT866" s="38"/>
      <c r="BU866" s="26"/>
      <c r="BV866" s="26"/>
      <c r="BW866" s="39">
        <f t="shared" si="113"/>
        <v>0</v>
      </c>
      <c r="BX866" s="78">
        <v>0</v>
      </c>
      <c r="BY866" s="63">
        <v>10</v>
      </c>
      <c r="BZ866" s="7"/>
      <c r="CA866" s="8"/>
      <c r="CB866" s="7"/>
      <c r="CC866" s="7"/>
    </row>
    <row r="867" spans="1:81" ht="16" x14ac:dyDescent="0.2">
      <c r="A867" s="109" t="s">
        <v>371</v>
      </c>
      <c r="B867" s="26">
        <v>40</v>
      </c>
      <c r="C867" s="109" t="s">
        <v>246</v>
      </c>
      <c r="D867" s="26">
        <v>5</v>
      </c>
      <c r="E867" s="26">
        <v>2</v>
      </c>
      <c r="F867" s="26">
        <v>2</v>
      </c>
      <c r="G867" s="26" t="s">
        <v>51</v>
      </c>
      <c r="H867" s="26">
        <v>4</v>
      </c>
      <c r="I867" s="26" t="s">
        <v>51</v>
      </c>
      <c r="J867" s="26"/>
      <c r="K867" s="26">
        <v>5</v>
      </c>
      <c r="L867" s="26">
        <v>7</v>
      </c>
      <c r="M867" s="40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 t="s">
        <v>39</v>
      </c>
      <c r="AB867" s="36">
        <f>8.5/13</f>
        <v>0.65384615384615385</v>
      </c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  <c r="AW867" s="36"/>
      <c r="AX867" s="36"/>
      <c r="AY867" s="36"/>
      <c r="AZ867" s="36"/>
      <c r="BA867" s="36"/>
      <c r="BB867" s="36"/>
      <c r="BC867" s="36" t="s">
        <v>38</v>
      </c>
      <c r="BD867" s="36">
        <f>12/13</f>
        <v>0.92307692307692313</v>
      </c>
      <c r="BE867" s="26"/>
      <c r="BF867" s="26"/>
      <c r="BG867" s="39">
        <v>1</v>
      </c>
      <c r="BH867" s="38"/>
      <c r="BI867" s="38"/>
      <c r="BJ867" s="38">
        <v>1</v>
      </c>
      <c r="BK867" s="38"/>
      <c r="BL867" s="38"/>
      <c r="BM867" s="38"/>
      <c r="BN867" s="38"/>
      <c r="BO867" s="37">
        <f t="shared" si="109"/>
        <v>1</v>
      </c>
      <c r="BP867" s="56">
        <f t="shared" si="110"/>
        <v>1</v>
      </c>
      <c r="BQ867" s="56">
        <f t="shared" si="111"/>
        <v>0</v>
      </c>
      <c r="BR867" s="57">
        <f t="shared" si="112"/>
        <v>0</v>
      </c>
      <c r="BS867" s="38"/>
      <c r="BT867" s="38"/>
      <c r="BU867" s="26"/>
      <c r="BV867" s="26"/>
      <c r="BW867" s="39">
        <f t="shared" si="113"/>
        <v>2</v>
      </c>
      <c r="BX867" s="78">
        <v>2</v>
      </c>
      <c r="BY867" s="63">
        <v>1</v>
      </c>
      <c r="BZ867" s="7"/>
      <c r="CA867" s="8"/>
      <c r="CB867" s="7"/>
      <c r="CC867" s="7"/>
    </row>
    <row r="868" spans="1:81" x14ac:dyDescent="0.2">
      <c r="A868" s="109" t="s">
        <v>371</v>
      </c>
      <c r="B868" s="26">
        <v>40</v>
      </c>
      <c r="C868" s="109" t="s">
        <v>246</v>
      </c>
      <c r="D868" s="26">
        <v>6</v>
      </c>
      <c r="E868" s="26">
        <v>2</v>
      </c>
      <c r="F868" s="26">
        <v>2</v>
      </c>
      <c r="G868" s="26" t="s">
        <v>51</v>
      </c>
      <c r="H868" s="26">
        <v>4</v>
      </c>
      <c r="I868" s="26" t="s">
        <v>51</v>
      </c>
      <c r="J868" s="26" t="s">
        <v>69</v>
      </c>
      <c r="K868" s="26"/>
      <c r="L868" s="26">
        <v>5</v>
      </c>
      <c r="M868" s="40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26"/>
      <c r="BF868" s="26"/>
      <c r="BG868" s="39"/>
      <c r="BH868" s="38"/>
      <c r="BI868" s="38"/>
      <c r="BJ868" s="38"/>
      <c r="BK868" s="38"/>
      <c r="BL868" s="38"/>
      <c r="BM868" s="38"/>
      <c r="BN868" s="38"/>
      <c r="BO868" s="37">
        <f t="shared" si="109"/>
        <v>0</v>
      </c>
      <c r="BP868" s="56">
        <f t="shared" si="110"/>
        <v>0</v>
      </c>
      <c r="BQ868" s="56">
        <f t="shared" si="111"/>
        <v>0</v>
      </c>
      <c r="BR868" s="57">
        <f t="shared" si="112"/>
        <v>0</v>
      </c>
      <c r="BS868" s="38"/>
      <c r="BT868" s="38"/>
      <c r="BU868" s="26"/>
      <c r="BV868" s="26"/>
      <c r="BW868" s="39">
        <f t="shared" si="113"/>
        <v>0</v>
      </c>
      <c r="BX868" s="78">
        <v>0</v>
      </c>
      <c r="BY868" s="63">
        <v>12</v>
      </c>
      <c r="BZ868" s="7"/>
      <c r="CA868" s="8"/>
      <c r="CB868" s="7"/>
      <c r="CC868" s="7"/>
    </row>
    <row r="869" spans="1:81" ht="16" x14ac:dyDescent="0.2">
      <c r="A869" s="109" t="s">
        <v>371</v>
      </c>
      <c r="B869" s="26">
        <v>40</v>
      </c>
      <c r="C869" s="109" t="s">
        <v>246</v>
      </c>
      <c r="D869" s="26">
        <v>7</v>
      </c>
      <c r="E869" s="26">
        <v>2</v>
      </c>
      <c r="F869" s="26">
        <v>3</v>
      </c>
      <c r="G869" s="26" t="s">
        <v>50</v>
      </c>
      <c r="H869" s="26">
        <v>6</v>
      </c>
      <c r="I869" s="26" t="s">
        <v>51</v>
      </c>
      <c r="J869" s="26" t="s">
        <v>37</v>
      </c>
      <c r="K869" s="26"/>
      <c r="L869" s="26">
        <v>6</v>
      </c>
      <c r="M869" s="40"/>
      <c r="N869" s="36"/>
      <c r="O869" s="36"/>
      <c r="P869" s="36"/>
      <c r="Q869" s="36"/>
      <c r="R869" s="36"/>
      <c r="S869" s="36"/>
      <c r="T869" s="36"/>
      <c r="U869" s="36"/>
      <c r="V869" s="36"/>
      <c r="W869" s="36" t="s">
        <v>38</v>
      </c>
      <c r="X869" s="36">
        <f>4/13</f>
        <v>0.30769230769230771</v>
      </c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 t="s">
        <v>38</v>
      </c>
      <c r="AP869" s="36">
        <f>14/13</f>
        <v>1.0769230769230769</v>
      </c>
      <c r="AQ869" s="36"/>
      <c r="AR869" s="36"/>
      <c r="AS869" s="36"/>
      <c r="AT869" s="36"/>
      <c r="AU869" s="36" t="s">
        <v>39</v>
      </c>
      <c r="AV869" s="36">
        <f>12.5/13</f>
        <v>0.96153846153846156</v>
      </c>
      <c r="AW869" s="36"/>
      <c r="AX869" s="36"/>
      <c r="AY869" s="36"/>
      <c r="AZ869" s="36"/>
      <c r="BA869" s="36"/>
      <c r="BB869" s="36"/>
      <c r="BC869" s="36"/>
      <c r="BD869" s="36"/>
      <c r="BE869" s="26"/>
      <c r="BF869" s="26"/>
      <c r="BG869" s="39">
        <v>1</v>
      </c>
      <c r="BH869" s="38">
        <v>1</v>
      </c>
      <c r="BI869" s="38">
        <v>1</v>
      </c>
      <c r="BJ869" s="38"/>
      <c r="BK869" s="38"/>
      <c r="BL869" s="38"/>
      <c r="BM869" s="38"/>
      <c r="BN869" s="38"/>
      <c r="BO869" s="37">
        <f t="shared" si="109"/>
        <v>2</v>
      </c>
      <c r="BP869" s="56">
        <f t="shared" si="110"/>
        <v>1</v>
      </c>
      <c r="BQ869" s="56">
        <f t="shared" si="111"/>
        <v>0</v>
      </c>
      <c r="BR869" s="57">
        <f t="shared" si="112"/>
        <v>0</v>
      </c>
      <c r="BS869" s="38"/>
      <c r="BT869" s="38"/>
      <c r="BU869" s="26"/>
      <c r="BV869" s="26"/>
      <c r="BW869" s="39">
        <f t="shared" si="113"/>
        <v>3</v>
      </c>
      <c r="BX869" s="78">
        <v>2</v>
      </c>
      <c r="BY869" s="63">
        <v>9</v>
      </c>
      <c r="BZ869" s="7"/>
      <c r="CA869" s="8"/>
      <c r="CB869" s="7"/>
      <c r="CC869" s="7"/>
    </row>
    <row r="870" spans="1:81" ht="16" x14ac:dyDescent="0.2">
      <c r="A870" s="109" t="s">
        <v>371</v>
      </c>
      <c r="B870" s="26">
        <v>40</v>
      </c>
      <c r="C870" s="109" t="s">
        <v>246</v>
      </c>
      <c r="D870" s="26">
        <v>8</v>
      </c>
      <c r="E870" s="26">
        <v>2</v>
      </c>
      <c r="F870" s="26">
        <v>2</v>
      </c>
      <c r="G870" s="26" t="s">
        <v>51</v>
      </c>
      <c r="H870" s="26">
        <v>4</v>
      </c>
      <c r="I870" s="26" t="s">
        <v>51</v>
      </c>
      <c r="J870" s="26" t="s">
        <v>37</v>
      </c>
      <c r="K870" s="26"/>
      <c r="L870" s="26">
        <v>5</v>
      </c>
      <c r="M870" s="40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  <c r="AW870" s="36"/>
      <c r="AX870" s="36"/>
      <c r="AY870" s="36"/>
      <c r="AZ870" s="36"/>
      <c r="BA870" s="36"/>
      <c r="BB870" s="36"/>
      <c r="BC870" s="36" t="s">
        <v>38</v>
      </c>
      <c r="BD870" s="36">
        <f>10.5/13</f>
        <v>0.80769230769230771</v>
      </c>
      <c r="BE870" s="26"/>
      <c r="BF870" s="26"/>
      <c r="BG870" s="39">
        <v>1</v>
      </c>
      <c r="BH870" s="38"/>
      <c r="BI870" s="38"/>
      <c r="BJ870" s="38"/>
      <c r="BK870" s="38"/>
      <c r="BL870" s="38"/>
      <c r="BM870" s="38"/>
      <c r="BN870" s="38"/>
      <c r="BO870" s="37">
        <f t="shared" si="109"/>
        <v>1</v>
      </c>
      <c r="BP870" s="56">
        <f t="shared" si="110"/>
        <v>0</v>
      </c>
      <c r="BQ870" s="56">
        <f t="shared" si="111"/>
        <v>0</v>
      </c>
      <c r="BR870" s="57">
        <f t="shared" si="112"/>
        <v>0</v>
      </c>
      <c r="BS870" s="38"/>
      <c r="BT870" s="38"/>
      <c r="BU870" s="26"/>
      <c r="BV870" s="26"/>
      <c r="BW870" s="39">
        <f t="shared" si="113"/>
        <v>1</v>
      </c>
      <c r="BX870" s="78">
        <v>1</v>
      </c>
      <c r="BY870" s="63">
        <v>9</v>
      </c>
      <c r="BZ870" s="7"/>
      <c r="CA870" s="8"/>
      <c r="CB870" s="7"/>
      <c r="CC870" s="7"/>
    </row>
    <row r="871" spans="1:81" x14ac:dyDescent="0.2">
      <c r="A871" s="109" t="s">
        <v>371</v>
      </c>
      <c r="B871" s="26">
        <v>40</v>
      </c>
      <c r="C871" s="109" t="s">
        <v>246</v>
      </c>
      <c r="D871" s="26">
        <v>9</v>
      </c>
      <c r="E871" s="26">
        <v>2</v>
      </c>
      <c r="F871" s="26">
        <v>2</v>
      </c>
      <c r="G871" s="26" t="s">
        <v>51</v>
      </c>
      <c r="H871" s="26">
        <v>4</v>
      </c>
      <c r="I871" s="26" t="s">
        <v>51</v>
      </c>
      <c r="J871" s="26" t="s">
        <v>69</v>
      </c>
      <c r="K871" s="26"/>
      <c r="L871" s="26">
        <v>5</v>
      </c>
      <c r="M871" s="40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26"/>
      <c r="BF871" s="26"/>
      <c r="BG871" s="39"/>
      <c r="BH871" s="38"/>
      <c r="BI871" s="38"/>
      <c r="BJ871" s="38"/>
      <c r="BK871" s="38"/>
      <c r="BL871" s="38"/>
      <c r="BM871" s="38"/>
      <c r="BN871" s="38"/>
      <c r="BO871" s="37">
        <f t="shared" si="109"/>
        <v>0</v>
      </c>
      <c r="BP871" s="56">
        <f t="shared" si="110"/>
        <v>0</v>
      </c>
      <c r="BQ871" s="56">
        <f t="shared" si="111"/>
        <v>0</v>
      </c>
      <c r="BR871" s="57">
        <f t="shared" si="112"/>
        <v>0</v>
      </c>
      <c r="BS871" s="38"/>
      <c r="BT871" s="38"/>
      <c r="BU871" s="26"/>
      <c r="BV871" s="26"/>
      <c r="BW871" s="39">
        <f t="shared" si="113"/>
        <v>0</v>
      </c>
      <c r="BX871" s="78">
        <v>0</v>
      </c>
      <c r="BY871" s="63">
        <v>12</v>
      </c>
      <c r="BZ871" s="7"/>
      <c r="CA871" s="8"/>
      <c r="CB871" s="7"/>
      <c r="CC871" s="7"/>
    </row>
    <row r="872" spans="1:81" ht="16" x14ac:dyDescent="0.2">
      <c r="A872" s="109" t="s">
        <v>371</v>
      </c>
      <c r="B872" s="26">
        <v>40</v>
      </c>
      <c r="C872" s="109" t="s">
        <v>246</v>
      </c>
      <c r="D872" s="26">
        <v>10</v>
      </c>
      <c r="E872" s="26">
        <v>2</v>
      </c>
      <c r="F872" s="26">
        <v>2</v>
      </c>
      <c r="G872" s="26" t="s">
        <v>51</v>
      </c>
      <c r="H872" s="26">
        <v>4</v>
      </c>
      <c r="I872" s="26" t="s">
        <v>51</v>
      </c>
      <c r="J872" s="26" t="s">
        <v>69</v>
      </c>
      <c r="K872" s="26"/>
      <c r="L872" s="26">
        <v>6</v>
      </c>
      <c r="M872" s="40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 t="s">
        <v>39</v>
      </c>
      <c r="Z872" s="36">
        <f>5/13</f>
        <v>0.38461538461538464</v>
      </c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26"/>
      <c r="BF872" s="26"/>
      <c r="BG872" s="37"/>
      <c r="BH872" s="26"/>
      <c r="BI872" s="26"/>
      <c r="BJ872" s="26">
        <v>1</v>
      </c>
      <c r="BK872" s="26"/>
      <c r="BL872" s="26"/>
      <c r="BM872" s="26"/>
      <c r="BN872" s="26"/>
      <c r="BO872" s="37">
        <f t="shared" si="109"/>
        <v>0</v>
      </c>
      <c r="BP872" s="56">
        <f t="shared" si="110"/>
        <v>1</v>
      </c>
      <c r="BQ872" s="56">
        <f t="shared" si="111"/>
        <v>0</v>
      </c>
      <c r="BR872" s="57">
        <f t="shared" si="112"/>
        <v>0</v>
      </c>
      <c r="BS872" s="38"/>
      <c r="BT872" s="38"/>
      <c r="BU872" s="26"/>
      <c r="BV872" s="26"/>
      <c r="BW872" s="39">
        <f t="shared" si="113"/>
        <v>1</v>
      </c>
      <c r="BX872" s="78">
        <v>3</v>
      </c>
      <c r="BY872" s="63">
        <v>12</v>
      </c>
      <c r="BZ872" s="7"/>
      <c r="CA872" s="8"/>
      <c r="CB872" s="7"/>
      <c r="CC872" s="7"/>
    </row>
    <row r="873" spans="1:81" ht="16" x14ac:dyDescent="0.2">
      <c r="A873" s="109" t="s">
        <v>371</v>
      </c>
      <c r="B873" s="26">
        <v>40</v>
      </c>
      <c r="C873" s="109" t="s">
        <v>246</v>
      </c>
      <c r="D873" s="26">
        <v>12</v>
      </c>
      <c r="E873" s="26">
        <v>2</v>
      </c>
      <c r="F873" s="26">
        <v>2</v>
      </c>
      <c r="G873" s="26" t="s">
        <v>51</v>
      </c>
      <c r="H873" s="26">
        <v>4</v>
      </c>
      <c r="I873" s="26" t="s">
        <v>51</v>
      </c>
      <c r="J873" s="26"/>
      <c r="K873" s="38" t="s">
        <v>63</v>
      </c>
      <c r="L873" s="26">
        <v>7</v>
      </c>
      <c r="M873" s="40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 t="s">
        <v>39</v>
      </c>
      <c r="AD873" s="36">
        <f>4/13</f>
        <v>0.30769230769230771</v>
      </c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  <c r="AV873" s="36"/>
      <c r="AW873" s="36"/>
      <c r="AX873" s="36"/>
      <c r="AY873" s="36"/>
      <c r="AZ873" s="36"/>
      <c r="BA873" s="36" t="s">
        <v>38</v>
      </c>
      <c r="BB873" s="36">
        <f>6.5/13</f>
        <v>0.5</v>
      </c>
      <c r="BC873" s="36"/>
      <c r="BD873" s="36"/>
      <c r="BE873" s="26"/>
      <c r="BF873" s="26"/>
      <c r="BG873" s="37"/>
      <c r="BH873" s="26">
        <v>1</v>
      </c>
      <c r="BI873" s="26"/>
      <c r="BJ873" s="26">
        <v>1</v>
      </c>
      <c r="BK873" s="26"/>
      <c r="BL873" s="26"/>
      <c r="BM873" s="26"/>
      <c r="BN873" s="26"/>
      <c r="BO873" s="37">
        <f t="shared" si="109"/>
        <v>0</v>
      </c>
      <c r="BP873" s="56">
        <f t="shared" si="110"/>
        <v>2</v>
      </c>
      <c r="BQ873" s="56">
        <f t="shared" si="111"/>
        <v>0</v>
      </c>
      <c r="BR873" s="57">
        <f t="shared" si="112"/>
        <v>0</v>
      </c>
      <c r="BS873" s="38"/>
      <c r="BT873" s="38"/>
      <c r="BU873" s="26"/>
      <c r="BV873" s="26"/>
      <c r="BW873" s="39">
        <f t="shared" si="113"/>
        <v>2</v>
      </c>
      <c r="BX873" s="78">
        <v>3</v>
      </c>
      <c r="BY873" s="63">
        <v>2</v>
      </c>
      <c r="BZ873" s="7"/>
      <c r="CA873" s="8"/>
      <c r="CB873" s="7"/>
      <c r="CC873" s="7"/>
    </row>
    <row r="874" spans="1:81" ht="16" x14ac:dyDescent="0.2">
      <c r="A874" s="109" t="s">
        <v>371</v>
      </c>
      <c r="B874" s="26">
        <v>40</v>
      </c>
      <c r="C874" s="109" t="s">
        <v>246</v>
      </c>
      <c r="D874" s="26">
        <v>15</v>
      </c>
      <c r="E874" s="26">
        <v>2</v>
      </c>
      <c r="F874" s="26">
        <v>2</v>
      </c>
      <c r="G874" s="26" t="s">
        <v>51</v>
      </c>
      <c r="H874" s="26">
        <v>4</v>
      </c>
      <c r="I874" s="26" t="s">
        <v>51</v>
      </c>
      <c r="J874" s="26" t="s">
        <v>42</v>
      </c>
      <c r="K874" s="26"/>
      <c r="L874" s="26">
        <v>5</v>
      </c>
      <c r="M874" s="40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 t="s">
        <v>39</v>
      </c>
      <c r="AP874" s="36">
        <f>14/13</f>
        <v>1.0769230769230769</v>
      </c>
      <c r="AQ874" s="36"/>
      <c r="AR874" s="36"/>
      <c r="AS874" s="36"/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26"/>
      <c r="BF874" s="26"/>
      <c r="BG874" s="37"/>
      <c r="BH874" s="26"/>
      <c r="BI874" s="26">
        <v>1</v>
      </c>
      <c r="BJ874" s="26"/>
      <c r="BK874" s="26"/>
      <c r="BL874" s="26"/>
      <c r="BM874" s="26"/>
      <c r="BN874" s="26"/>
      <c r="BO874" s="37">
        <f t="shared" si="109"/>
        <v>1</v>
      </c>
      <c r="BP874" s="56">
        <f t="shared" si="110"/>
        <v>0</v>
      </c>
      <c r="BQ874" s="56">
        <f t="shared" si="111"/>
        <v>0</v>
      </c>
      <c r="BR874" s="57">
        <f t="shared" si="112"/>
        <v>0</v>
      </c>
      <c r="BS874" s="38"/>
      <c r="BT874" s="38"/>
      <c r="BU874" s="26"/>
      <c r="BV874" s="26"/>
      <c r="BW874" s="39">
        <f t="shared" si="113"/>
        <v>1</v>
      </c>
      <c r="BX874" s="78">
        <v>1</v>
      </c>
      <c r="BY874" s="63">
        <v>8</v>
      </c>
      <c r="BZ874" s="7"/>
      <c r="CA874" s="8"/>
      <c r="CB874" s="7"/>
      <c r="CC874" s="7"/>
    </row>
    <row r="875" spans="1:81" ht="16" x14ac:dyDescent="0.2">
      <c r="A875" s="109" t="s">
        <v>371</v>
      </c>
      <c r="B875" s="26">
        <v>40</v>
      </c>
      <c r="C875" s="109" t="s">
        <v>246</v>
      </c>
      <c r="D875" s="26">
        <v>16</v>
      </c>
      <c r="E875" s="26">
        <v>2</v>
      </c>
      <c r="F875" s="26">
        <v>4</v>
      </c>
      <c r="G875" s="26" t="s">
        <v>50</v>
      </c>
      <c r="H875" s="26"/>
      <c r="I875" s="26"/>
      <c r="J875" s="26" t="s">
        <v>60</v>
      </c>
      <c r="K875" s="26"/>
      <c r="L875" s="26">
        <v>5</v>
      </c>
      <c r="M875" s="40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 t="s">
        <v>39</v>
      </c>
      <c r="AL875" s="36">
        <v>1</v>
      </c>
      <c r="AM875" s="36"/>
      <c r="AN875" s="36"/>
      <c r="AO875" s="36"/>
      <c r="AP875" s="36"/>
      <c r="AQ875" s="36"/>
      <c r="AR875" s="36"/>
      <c r="AS875" s="36"/>
      <c r="AT875" s="36"/>
      <c r="AU875" s="36" t="s">
        <v>57</v>
      </c>
      <c r="AV875" s="36">
        <v>0.42</v>
      </c>
      <c r="AW875" s="36"/>
      <c r="AX875" s="36"/>
      <c r="AY875" s="36"/>
      <c r="AZ875" s="36"/>
      <c r="BA875" s="36"/>
      <c r="BB875" s="36"/>
      <c r="BC875" s="36"/>
      <c r="BD875" s="36"/>
      <c r="BE875" s="26"/>
      <c r="BF875" s="26"/>
      <c r="BG875" s="37"/>
      <c r="BH875" s="26"/>
      <c r="BI875" s="26">
        <v>1</v>
      </c>
      <c r="BJ875" s="26"/>
      <c r="BK875" s="26"/>
      <c r="BL875" s="26"/>
      <c r="BM875" s="26"/>
      <c r="BN875" s="26">
        <v>1</v>
      </c>
      <c r="BO875" s="37">
        <f t="shared" si="109"/>
        <v>1</v>
      </c>
      <c r="BP875" s="56">
        <f t="shared" si="110"/>
        <v>0</v>
      </c>
      <c r="BQ875" s="56">
        <f t="shared" si="111"/>
        <v>0</v>
      </c>
      <c r="BR875" s="57">
        <f t="shared" si="112"/>
        <v>1</v>
      </c>
      <c r="BS875" s="38"/>
      <c r="BT875" s="38"/>
      <c r="BU875" s="26"/>
      <c r="BV875" s="26"/>
      <c r="BW875" s="39">
        <f t="shared" si="113"/>
        <v>2</v>
      </c>
      <c r="BX875" s="78">
        <v>2</v>
      </c>
      <c r="BY875" s="63">
        <v>7</v>
      </c>
      <c r="BZ875" s="7"/>
      <c r="CA875" s="8"/>
      <c r="CB875" s="7"/>
      <c r="CC875" s="7"/>
    </row>
    <row r="876" spans="1:81" ht="16" x14ac:dyDescent="0.2">
      <c r="A876" s="109" t="s">
        <v>372</v>
      </c>
      <c r="B876" s="26">
        <v>41</v>
      </c>
      <c r="C876" s="106" t="s">
        <v>247</v>
      </c>
      <c r="D876" s="26">
        <v>1</v>
      </c>
      <c r="E876" s="26">
        <v>2</v>
      </c>
      <c r="F876" s="26">
        <v>2</v>
      </c>
      <c r="G876" s="26" t="s">
        <v>51</v>
      </c>
      <c r="H876" s="26">
        <v>4</v>
      </c>
      <c r="I876" s="26" t="s">
        <v>51</v>
      </c>
      <c r="J876" s="26" t="s">
        <v>41</v>
      </c>
      <c r="K876" s="26"/>
      <c r="L876" s="26">
        <v>5</v>
      </c>
      <c r="M876" s="40"/>
      <c r="N876" s="36"/>
      <c r="O876" s="36" t="s">
        <v>38</v>
      </c>
      <c r="P876" s="36">
        <f>10.5/13</f>
        <v>0.80769230769230771</v>
      </c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26"/>
      <c r="BF876" s="26"/>
      <c r="BG876" s="39">
        <v>1</v>
      </c>
      <c r="BH876" s="38"/>
      <c r="BI876" s="38"/>
      <c r="BJ876" s="38"/>
      <c r="BK876" s="38"/>
      <c r="BL876" s="38"/>
      <c r="BM876" s="38"/>
      <c r="BN876" s="38"/>
      <c r="BO876" s="37">
        <f t="shared" si="109"/>
        <v>1</v>
      </c>
      <c r="BP876" s="56">
        <f t="shared" si="110"/>
        <v>0</v>
      </c>
      <c r="BQ876" s="56">
        <f t="shared" si="111"/>
        <v>0</v>
      </c>
      <c r="BR876" s="57">
        <f t="shared" si="112"/>
        <v>0</v>
      </c>
      <c r="BS876" s="38"/>
      <c r="BT876" s="38"/>
      <c r="BU876" s="26"/>
      <c r="BV876" s="26"/>
      <c r="BW876" s="39">
        <f t="shared" si="113"/>
        <v>1</v>
      </c>
      <c r="BX876" s="78">
        <v>1</v>
      </c>
      <c r="BY876" s="63">
        <v>10</v>
      </c>
      <c r="BZ876" s="7"/>
      <c r="CA876" s="8"/>
      <c r="CB876" s="7"/>
      <c r="CC876" s="7"/>
    </row>
    <row r="877" spans="1:81" ht="16" x14ac:dyDescent="0.2">
      <c r="A877" s="109" t="s">
        <v>372</v>
      </c>
      <c r="B877" s="26">
        <v>41</v>
      </c>
      <c r="C877" s="106" t="s">
        <v>247</v>
      </c>
      <c r="D877" s="26">
        <v>2</v>
      </c>
      <c r="E877" s="26">
        <v>2</v>
      </c>
      <c r="F877" s="26">
        <v>2</v>
      </c>
      <c r="G877" s="26" t="s">
        <v>51</v>
      </c>
      <c r="H877" s="26">
        <v>4</v>
      </c>
      <c r="I877" s="26" t="s">
        <v>51</v>
      </c>
      <c r="J877" s="26" t="s">
        <v>41</v>
      </c>
      <c r="K877" s="26"/>
      <c r="L877" s="26">
        <v>6</v>
      </c>
      <c r="M877" s="40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  <c r="AV877" s="36"/>
      <c r="AW877" s="36" t="s">
        <v>38</v>
      </c>
      <c r="AX877" s="36">
        <f>5.5/13</f>
        <v>0.42307692307692307</v>
      </c>
      <c r="AY877" s="36"/>
      <c r="AZ877" s="36"/>
      <c r="BA877" s="36"/>
      <c r="BB877" s="36"/>
      <c r="BC877" s="36" t="s">
        <v>39</v>
      </c>
      <c r="BD877" s="36">
        <f>14.5/13</f>
        <v>1.1153846153846154</v>
      </c>
      <c r="BE877" s="26"/>
      <c r="BF877" s="26"/>
      <c r="BG877" s="39"/>
      <c r="BH877" s="38">
        <v>1</v>
      </c>
      <c r="BI877" s="38">
        <v>1</v>
      </c>
      <c r="BJ877" s="38"/>
      <c r="BK877" s="38"/>
      <c r="BL877" s="38"/>
      <c r="BM877" s="38"/>
      <c r="BN877" s="38"/>
      <c r="BO877" s="37">
        <f t="shared" si="109"/>
        <v>1</v>
      </c>
      <c r="BP877" s="56">
        <f t="shared" si="110"/>
        <v>1</v>
      </c>
      <c r="BQ877" s="56">
        <f t="shared" si="111"/>
        <v>0</v>
      </c>
      <c r="BR877" s="57">
        <f t="shared" si="112"/>
        <v>0</v>
      </c>
      <c r="BS877" s="38"/>
      <c r="BT877" s="38"/>
      <c r="BU877" s="26"/>
      <c r="BV877" s="26"/>
      <c r="BW877" s="39">
        <f t="shared" si="113"/>
        <v>2</v>
      </c>
      <c r="BX877" s="78">
        <v>2</v>
      </c>
      <c r="BY877" s="63">
        <v>10</v>
      </c>
      <c r="BZ877" s="7"/>
      <c r="CA877" s="8"/>
      <c r="CB877" s="7"/>
      <c r="CC877" s="7"/>
    </row>
    <row r="878" spans="1:81" ht="16" x14ac:dyDescent="0.2">
      <c r="A878" s="109" t="s">
        <v>372</v>
      </c>
      <c r="B878" s="26">
        <v>41</v>
      </c>
      <c r="C878" s="106" t="s">
        <v>247</v>
      </c>
      <c r="D878" s="26">
        <v>4</v>
      </c>
      <c r="E878" s="26">
        <v>2</v>
      </c>
      <c r="F878" s="26">
        <v>2</v>
      </c>
      <c r="G878" s="26" t="s">
        <v>51</v>
      </c>
      <c r="H878" s="26">
        <v>4</v>
      </c>
      <c r="I878" s="26" t="s">
        <v>51</v>
      </c>
      <c r="J878" s="26" t="s">
        <v>42</v>
      </c>
      <c r="K878" s="26"/>
      <c r="L878" s="26">
        <v>6</v>
      </c>
      <c r="M878" s="40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 t="s">
        <v>39</v>
      </c>
      <c r="AP878" s="36">
        <f>12.5/13</f>
        <v>0.96153846153846156</v>
      </c>
      <c r="AQ878" s="36"/>
      <c r="AR878" s="36"/>
      <c r="AS878" s="36"/>
      <c r="AT878" s="36"/>
      <c r="AU878" s="36"/>
      <c r="AV878" s="36"/>
      <c r="AW878" s="36" t="s">
        <v>38</v>
      </c>
      <c r="AX878" s="36">
        <f>15/13</f>
        <v>1.1538461538461537</v>
      </c>
      <c r="AY878" s="36"/>
      <c r="AZ878" s="36"/>
      <c r="BA878" s="36"/>
      <c r="BB878" s="36"/>
      <c r="BC878" s="36"/>
      <c r="BD878" s="36"/>
      <c r="BE878" s="26"/>
      <c r="BF878" s="26"/>
      <c r="BG878" s="39">
        <v>1</v>
      </c>
      <c r="BH878" s="38"/>
      <c r="BI878" s="38">
        <v>1</v>
      </c>
      <c r="BJ878" s="38"/>
      <c r="BK878" s="38"/>
      <c r="BL878" s="38"/>
      <c r="BM878" s="38"/>
      <c r="BN878" s="38"/>
      <c r="BO878" s="37">
        <f t="shared" si="109"/>
        <v>2</v>
      </c>
      <c r="BP878" s="56">
        <f t="shared" si="110"/>
        <v>0</v>
      </c>
      <c r="BQ878" s="56">
        <f t="shared" si="111"/>
        <v>0</v>
      </c>
      <c r="BR878" s="57">
        <f t="shared" si="112"/>
        <v>0</v>
      </c>
      <c r="BS878" s="38"/>
      <c r="BT878" s="38"/>
      <c r="BU878" s="26"/>
      <c r="BV878" s="26"/>
      <c r="BW878" s="39">
        <f t="shared" si="113"/>
        <v>2</v>
      </c>
      <c r="BX878" s="78">
        <v>1</v>
      </c>
      <c r="BY878" s="63">
        <v>8</v>
      </c>
      <c r="BZ878" s="7"/>
      <c r="CA878" s="8"/>
      <c r="CB878" s="7"/>
      <c r="CC878" s="7"/>
    </row>
    <row r="879" spans="1:81" ht="16" x14ac:dyDescent="0.2">
      <c r="A879" s="109" t="s">
        <v>372</v>
      </c>
      <c r="B879" s="26">
        <v>41</v>
      </c>
      <c r="C879" s="106" t="s">
        <v>247</v>
      </c>
      <c r="D879" s="26">
        <v>5</v>
      </c>
      <c r="E879" s="26">
        <v>2</v>
      </c>
      <c r="F879" s="26">
        <v>2</v>
      </c>
      <c r="G879" s="26" t="s">
        <v>51</v>
      </c>
      <c r="H879" s="26">
        <v>4</v>
      </c>
      <c r="I879" s="26" t="s">
        <v>51</v>
      </c>
      <c r="J879" s="26" t="s">
        <v>65</v>
      </c>
      <c r="K879" s="26"/>
      <c r="L879" s="26">
        <v>5</v>
      </c>
      <c r="M879" s="40"/>
      <c r="N879" s="36"/>
      <c r="O879" s="36"/>
      <c r="P879" s="36"/>
      <c r="Q879" s="36" t="s">
        <v>48</v>
      </c>
      <c r="R879" s="36">
        <f>5/13</f>
        <v>0.38461538461538464</v>
      </c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 t="s">
        <v>40</v>
      </c>
      <c r="AD879" s="36">
        <f>5/13</f>
        <v>0.38461538461538464</v>
      </c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  <c r="AV879" s="36"/>
      <c r="AW879" s="36"/>
      <c r="AX879" s="36"/>
      <c r="AY879" s="36"/>
      <c r="AZ879" s="36"/>
      <c r="BA879" s="36" t="s">
        <v>38</v>
      </c>
      <c r="BB879" s="36">
        <f>13.5/13</f>
        <v>1.0384615384615385</v>
      </c>
      <c r="BC879" s="36"/>
      <c r="BD879" s="36"/>
      <c r="BE879" s="26"/>
      <c r="BF879" s="26"/>
      <c r="BG879" s="39">
        <v>1</v>
      </c>
      <c r="BH879" s="38"/>
      <c r="BI879" s="38"/>
      <c r="BJ879" s="38"/>
      <c r="BK879" s="38"/>
      <c r="BL879" s="38">
        <v>1</v>
      </c>
      <c r="BM879" s="38"/>
      <c r="BN879" s="38">
        <v>1</v>
      </c>
      <c r="BO879" s="37">
        <f t="shared" si="109"/>
        <v>1</v>
      </c>
      <c r="BP879" s="56">
        <f t="shared" si="110"/>
        <v>0</v>
      </c>
      <c r="BQ879" s="56">
        <f t="shared" si="111"/>
        <v>0</v>
      </c>
      <c r="BR879" s="57">
        <f t="shared" si="112"/>
        <v>2</v>
      </c>
      <c r="BS879" s="38"/>
      <c r="BT879" s="38"/>
      <c r="BU879" s="26"/>
      <c r="BV879" s="26"/>
      <c r="BW879" s="39">
        <f t="shared" si="113"/>
        <v>3</v>
      </c>
      <c r="BX879" s="78">
        <v>2</v>
      </c>
      <c r="BY879" s="63">
        <v>11</v>
      </c>
      <c r="BZ879" s="7"/>
      <c r="CA879" s="8"/>
      <c r="CB879" s="7"/>
      <c r="CC879" s="7"/>
    </row>
    <row r="880" spans="1:81" ht="16" x14ac:dyDescent="0.2">
      <c r="A880" s="109" t="s">
        <v>372</v>
      </c>
      <c r="B880" s="26">
        <v>41</v>
      </c>
      <c r="C880" s="109" t="s">
        <v>248</v>
      </c>
      <c r="D880" s="26">
        <v>1</v>
      </c>
      <c r="E880" s="26">
        <v>2</v>
      </c>
      <c r="F880" s="26">
        <v>2</v>
      </c>
      <c r="G880" s="26" t="s">
        <v>51</v>
      </c>
      <c r="H880" s="26">
        <v>4</v>
      </c>
      <c r="I880" s="26" t="s">
        <v>51</v>
      </c>
      <c r="J880" s="26" t="s">
        <v>41</v>
      </c>
      <c r="K880" s="26"/>
      <c r="L880" s="26">
        <v>6</v>
      </c>
      <c r="M880" s="40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 t="s">
        <v>38</v>
      </c>
      <c r="AF880" s="36">
        <v>0.75</v>
      </c>
      <c r="AG880" s="36"/>
      <c r="AH880" s="36"/>
      <c r="AI880" s="36"/>
      <c r="AJ880" s="36"/>
      <c r="AK880" s="36"/>
      <c r="AL880" s="36"/>
      <c r="AM880" s="36"/>
      <c r="AN880" s="36"/>
      <c r="AO880" s="36" t="s">
        <v>38</v>
      </c>
      <c r="AP880" s="36">
        <v>1</v>
      </c>
      <c r="AQ880" s="36"/>
      <c r="AR880" s="36"/>
      <c r="AS880" s="36"/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G880" s="39">
        <v>2</v>
      </c>
      <c r="BH880" s="38"/>
      <c r="BI880" s="38"/>
      <c r="BJ880" s="38"/>
      <c r="BK880" s="38"/>
      <c r="BL880" s="38"/>
      <c r="BM880" s="38"/>
      <c r="BN880" s="38"/>
      <c r="BO880" s="39">
        <f t="shared" si="109"/>
        <v>2</v>
      </c>
      <c r="BP880" s="58">
        <f t="shared" si="110"/>
        <v>0</v>
      </c>
      <c r="BQ880" s="56">
        <f t="shared" si="111"/>
        <v>0</v>
      </c>
      <c r="BR880" s="57">
        <f t="shared" si="112"/>
        <v>0</v>
      </c>
      <c r="BS880" s="38"/>
      <c r="BT880" s="38"/>
      <c r="BU880" s="26"/>
      <c r="BV880" s="26"/>
      <c r="BW880" s="39">
        <f t="shared" si="113"/>
        <v>2</v>
      </c>
      <c r="BX880" s="78">
        <v>1</v>
      </c>
      <c r="BY880" s="63">
        <v>10</v>
      </c>
      <c r="BZ880" s="7"/>
      <c r="CA880" s="8"/>
      <c r="CB880" s="7"/>
      <c r="CC880" s="7"/>
    </row>
    <row r="881" spans="1:81" ht="16" x14ac:dyDescent="0.2">
      <c r="A881" s="109" t="s">
        <v>372</v>
      </c>
      <c r="B881" s="26">
        <v>41</v>
      </c>
      <c r="C881" s="109" t="s">
        <v>248</v>
      </c>
      <c r="D881" s="26">
        <v>2</v>
      </c>
      <c r="E881" s="26">
        <v>2</v>
      </c>
      <c r="F881" s="26">
        <v>2</v>
      </c>
      <c r="G881" s="26" t="s">
        <v>51</v>
      </c>
      <c r="H881" s="26">
        <v>4</v>
      </c>
      <c r="I881" s="26" t="s">
        <v>51</v>
      </c>
      <c r="J881" s="26" t="s">
        <v>44</v>
      </c>
      <c r="K881" s="26"/>
      <c r="L881" s="26">
        <v>7</v>
      </c>
      <c r="M881" s="40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 t="s">
        <v>39</v>
      </c>
      <c r="AR881" s="36">
        <v>0.73</v>
      </c>
      <c r="AS881" s="36"/>
      <c r="AT881" s="36"/>
      <c r="AU881" s="36"/>
      <c r="AV881" s="36"/>
      <c r="AW881" s="36"/>
      <c r="AX881" s="36"/>
      <c r="AY881" s="36"/>
      <c r="AZ881" s="36"/>
      <c r="BA881" s="36" t="s">
        <v>38</v>
      </c>
      <c r="BB881" s="36">
        <v>0.91</v>
      </c>
      <c r="BC881" s="36"/>
      <c r="BD881" s="36"/>
      <c r="BG881" s="39">
        <v>1</v>
      </c>
      <c r="BH881" s="38"/>
      <c r="BI881" s="38">
        <v>1</v>
      </c>
      <c r="BJ881" s="38"/>
      <c r="BK881" s="38"/>
      <c r="BL881" s="38"/>
      <c r="BM881" s="38"/>
      <c r="BN881" s="38"/>
      <c r="BO881" s="39">
        <f t="shared" si="109"/>
        <v>2</v>
      </c>
      <c r="BP881" s="58">
        <f t="shared" si="110"/>
        <v>0</v>
      </c>
      <c r="BQ881" s="56">
        <f t="shared" si="111"/>
        <v>0</v>
      </c>
      <c r="BR881" s="57">
        <f t="shared" si="112"/>
        <v>0</v>
      </c>
      <c r="BS881" s="38"/>
      <c r="BT881" s="38"/>
      <c r="BU881" s="26"/>
      <c r="BV881" s="26"/>
      <c r="BW881" s="39">
        <f t="shared" si="113"/>
        <v>2</v>
      </c>
      <c r="BX881" s="78">
        <v>1</v>
      </c>
      <c r="BY881" s="63">
        <v>4</v>
      </c>
      <c r="BZ881" s="7"/>
      <c r="CA881" s="8"/>
      <c r="CB881" s="7"/>
      <c r="CC881" s="7"/>
    </row>
    <row r="882" spans="1:81" ht="16" x14ac:dyDescent="0.2">
      <c r="A882" s="109" t="s">
        <v>372</v>
      </c>
      <c r="B882" s="26">
        <v>41</v>
      </c>
      <c r="C882" s="109" t="s">
        <v>248</v>
      </c>
      <c r="D882" s="26">
        <v>3</v>
      </c>
      <c r="E882" s="26">
        <v>2</v>
      </c>
      <c r="F882" s="26">
        <v>2</v>
      </c>
      <c r="G882" s="26" t="s">
        <v>51</v>
      </c>
      <c r="H882" s="26">
        <v>4</v>
      </c>
      <c r="I882" s="26" t="s">
        <v>51</v>
      </c>
      <c r="J882" s="26" t="s">
        <v>44</v>
      </c>
      <c r="K882" s="26"/>
      <c r="L882" s="26">
        <v>6</v>
      </c>
      <c r="M882" s="40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 t="s">
        <v>38</v>
      </c>
      <c r="AP882" s="36">
        <v>1</v>
      </c>
      <c r="AQ882" s="36" t="s">
        <v>38</v>
      </c>
      <c r="AR882" s="36">
        <v>0.78</v>
      </c>
      <c r="AS882" s="36"/>
      <c r="AT882" s="36"/>
      <c r="AU882" s="36"/>
      <c r="AV882" s="36"/>
      <c r="AW882" s="36"/>
      <c r="AX882" s="36"/>
      <c r="AY882" s="36" t="s">
        <v>39</v>
      </c>
      <c r="AZ882" s="36">
        <v>1</v>
      </c>
      <c r="BA882" s="36" t="s">
        <v>39</v>
      </c>
      <c r="BB882" s="36">
        <v>1</v>
      </c>
      <c r="BC882" s="36"/>
      <c r="BD882" s="36"/>
      <c r="BG882" s="39">
        <v>2</v>
      </c>
      <c r="BH882" s="38"/>
      <c r="BI882" s="38">
        <v>2</v>
      </c>
      <c r="BJ882" s="38"/>
      <c r="BK882" s="38"/>
      <c r="BL882" s="38"/>
      <c r="BM882" s="38"/>
      <c r="BN882" s="38"/>
      <c r="BO882" s="39">
        <f t="shared" si="109"/>
        <v>4</v>
      </c>
      <c r="BP882" s="58">
        <f t="shared" si="110"/>
        <v>0</v>
      </c>
      <c r="BQ882" s="56">
        <f t="shared" si="111"/>
        <v>0</v>
      </c>
      <c r="BR882" s="57">
        <f t="shared" si="112"/>
        <v>0</v>
      </c>
      <c r="BS882" s="38"/>
      <c r="BT882" s="38"/>
      <c r="BU882" s="26"/>
      <c r="BV882" s="26"/>
      <c r="BW882" s="39">
        <f t="shared" si="113"/>
        <v>4</v>
      </c>
      <c r="BX882" s="78">
        <v>1</v>
      </c>
      <c r="BY882" s="63">
        <v>4</v>
      </c>
      <c r="BZ882" s="7"/>
      <c r="CA882" s="8"/>
      <c r="CB882" s="7"/>
      <c r="CC882" s="7"/>
    </row>
    <row r="883" spans="1:81" x14ac:dyDescent="0.2">
      <c r="A883" s="109" t="s">
        <v>372</v>
      </c>
      <c r="B883" s="26">
        <v>41</v>
      </c>
      <c r="C883" s="109" t="s">
        <v>248</v>
      </c>
      <c r="D883" s="26">
        <v>4</v>
      </c>
      <c r="E883" s="26">
        <v>2</v>
      </c>
      <c r="F883" s="26">
        <v>2</v>
      </c>
      <c r="G883" s="26" t="s">
        <v>51</v>
      </c>
      <c r="H883" s="26">
        <v>4</v>
      </c>
      <c r="I883" s="26" t="s">
        <v>51</v>
      </c>
      <c r="J883" s="26" t="s">
        <v>60</v>
      </c>
      <c r="K883" s="26"/>
      <c r="L883" s="26">
        <v>6</v>
      </c>
      <c r="M883" s="40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G883" s="39"/>
      <c r="BH883" s="38"/>
      <c r="BI883" s="38"/>
      <c r="BJ883" s="38"/>
      <c r="BK883" s="38"/>
      <c r="BL883" s="38"/>
      <c r="BM883" s="38"/>
      <c r="BN883" s="38"/>
      <c r="BO883" s="39">
        <f t="shared" si="109"/>
        <v>0</v>
      </c>
      <c r="BP883" s="58">
        <f t="shared" si="110"/>
        <v>0</v>
      </c>
      <c r="BQ883" s="56">
        <f t="shared" si="111"/>
        <v>0</v>
      </c>
      <c r="BR883" s="57">
        <f t="shared" si="112"/>
        <v>0</v>
      </c>
      <c r="BS883" s="38"/>
      <c r="BT883" s="38"/>
      <c r="BU883" s="26"/>
      <c r="BV883" s="26"/>
      <c r="BW883" s="39">
        <f t="shared" si="113"/>
        <v>0</v>
      </c>
      <c r="BX883" s="78">
        <v>0</v>
      </c>
      <c r="BY883" s="63">
        <v>7</v>
      </c>
      <c r="BZ883" s="7"/>
      <c r="CA883" s="8"/>
      <c r="CB883" s="7"/>
      <c r="CC883" s="7"/>
    </row>
    <row r="884" spans="1:81" ht="16" x14ac:dyDescent="0.2">
      <c r="A884" s="109" t="s">
        <v>372</v>
      </c>
      <c r="B884" s="26">
        <v>41</v>
      </c>
      <c r="C884" s="109" t="s">
        <v>248</v>
      </c>
      <c r="D884" s="26">
        <v>5</v>
      </c>
      <c r="E884" s="26">
        <v>2</v>
      </c>
      <c r="F884" s="26">
        <v>2</v>
      </c>
      <c r="G884" s="26" t="s">
        <v>51</v>
      </c>
      <c r="H884" s="26">
        <v>4</v>
      </c>
      <c r="I884" s="26" t="s">
        <v>51</v>
      </c>
      <c r="J884" s="26" t="s">
        <v>42</v>
      </c>
      <c r="K884" s="26"/>
      <c r="L884" s="26">
        <v>6</v>
      </c>
      <c r="M884" s="40"/>
      <c r="N884" s="36"/>
      <c r="O884" s="36"/>
      <c r="P884" s="36"/>
      <c r="Q884" s="36"/>
      <c r="R884" s="36"/>
      <c r="S884" s="36"/>
      <c r="T884" s="36"/>
      <c r="U884" s="36" t="s">
        <v>61</v>
      </c>
      <c r="V884" s="36">
        <v>0.54</v>
      </c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 t="s">
        <v>39</v>
      </c>
      <c r="AH884" s="36">
        <v>0.38</v>
      </c>
      <c r="AI884" s="36"/>
      <c r="AJ884" s="36"/>
      <c r="AK884" s="36"/>
      <c r="AL884" s="36"/>
      <c r="AM884" s="36"/>
      <c r="AN884" s="36"/>
      <c r="AO884" s="36" t="s">
        <v>39</v>
      </c>
      <c r="AP884" s="36">
        <v>1</v>
      </c>
      <c r="AQ884" s="36"/>
      <c r="AR884" s="36"/>
      <c r="AS884" s="36" t="s">
        <v>38</v>
      </c>
      <c r="AT884" s="36">
        <v>1</v>
      </c>
      <c r="AU884" s="36" t="s">
        <v>39</v>
      </c>
      <c r="AV884" s="36">
        <v>0.42</v>
      </c>
      <c r="AW884" s="36"/>
      <c r="AX884" s="36"/>
      <c r="AY884" s="36"/>
      <c r="AZ884" s="36"/>
      <c r="BA884" s="36"/>
      <c r="BB884" s="36"/>
      <c r="BC884" s="36"/>
      <c r="BD884" s="36"/>
      <c r="BG884" s="37">
        <v>1</v>
      </c>
      <c r="BH884" s="26"/>
      <c r="BI884" s="26">
        <v>1</v>
      </c>
      <c r="BJ884" s="26">
        <v>2</v>
      </c>
      <c r="BK884" s="26"/>
      <c r="BL884" s="26"/>
      <c r="BM884" s="26"/>
      <c r="BN884" s="26"/>
      <c r="BO884" s="39">
        <f t="shared" si="109"/>
        <v>2</v>
      </c>
      <c r="BP884" s="58">
        <f t="shared" si="110"/>
        <v>2</v>
      </c>
      <c r="BQ884" s="56">
        <f t="shared" si="111"/>
        <v>1</v>
      </c>
      <c r="BR884" s="57">
        <f t="shared" si="112"/>
        <v>0</v>
      </c>
      <c r="BS884" s="38">
        <v>1</v>
      </c>
      <c r="BT884" s="38"/>
      <c r="BU884" s="26"/>
      <c r="BV884" s="26"/>
      <c r="BW884" s="39">
        <f t="shared" si="113"/>
        <v>5</v>
      </c>
      <c r="BX884" s="78">
        <v>2</v>
      </c>
      <c r="BY884" s="63">
        <v>8</v>
      </c>
      <c r="BZ884" s="7"/>
      <c r="CA884" s="8"/>
      <c r="CB884" s="7"/>
      <c r="CC884" s="7"/>
    </row>
    <row r="885" spans="1:81" x14ac:dyDescent="0.2">
      <c r="A885" s="109" t="s">
        <v>372</v>
      </c>
      <c r="B885" s="26">
        <v>41</v>
      </c>
      <c r="C885" s="109" t="s">
        <v>248</v>
      </c>
      <c r="D885" s="26">
        <v>6</v>
      </c>
      <c r="E885" s="26">
        <v>2</v>
      </c>
      <c r="F885" s="26">
        <v>2</v>
      </c>
      <c r="G885" s="26" t="s">
        <v>51</v>
      </c>
      <c r="H885" s="26">
        <v>4</v>
      </c>
      <c r="I885" s="26" t="s">
        <v>51</v>
      </c>
      <c r="J885" s="26" t="s">
        <v>41</v>
      </c>
      <c r="K885" s="26"/>
      <c r="L885" s="26">
        <v>6</v>
      </c>
      <c r="M885" s="40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G885" s="37"/>
      <c r="BH885" s="26"/>
      <c r="BI885" s="26"/>
      <c r="BJ885" s="26"/>
      <c r="BK885" s="26"/>
      <c r="BL885" s="26"/>
      <c r="BM885" s="26"/>
      <c r="BN885" s="26"/>
      <c r="BO885" s="39">
        <f t="shared" si="109"/>
        <v>0</v>
      </c>
      <c r="BP885" s="58">
        <f t="shared" si="110"/>
        <v>0</v>
      </c>
      <c r="BQ885" s="56">
        <f t="shared" si="111"/>
        <v>0</v>
      </c>
      <c r="BR885" s="57">
        <f t="shared" si="112"/>
        <v>0</v>
      </c>
      <c r="BS885" s="38"/>
      <c r="BT885" s="38"/>
      <c r="BU885" s="26"/>
      <c r="BV885" s="26"/>
      <c r="BW885" s="39">
        <f t="shared" si="113"/>
        <v>0</v>
      </c>
      <c r="BX885" s="78">
        <v>0</v>
      </c>
      <c r="BY885" s="63">
        <v>10</v>
      </c>
      <c r="BZ885" s="7"/>
      <c r="CA885" s="8"/>
      <c r="CB885" s="7"/>
      <c r="CC885" s="7"/>
    </row>
    <row r="886" spans="1:81" ht="16" x14ac:dyDescent="0.2">
      <c r="A886" s="109" t="s">
        <v>372</v>
      </c>
      <c r="B886" s="26">
        <v>41</v>
      </c>
      <c r="C886" s="109" t="s">
        <v>248</v>
      </c>
      <c r="D886" s="26">
        <v>7</v>
      </c>
      <c r="E886" s="26">
        <v>2</v>
      </c>
      <c r="F886" s="26">
        <v>2</v>
      </c>
      <c r="G886" s="26" t="s">
        <v>51</v>
      </c>
      <c r="H886" s="26">
        <v>4</v>
      </c>
      <c r="I886" s="26" t="s">
        <v>51</v>
      </c>
      <c r="J886" s="26" t="s">
        <v>44</v>
      </c>
      <c r="K886" s="26"/>
      <c r="L886" s="26">
        <v>7</v>
      </c>
      <c r="M886" s="40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 t="s">
        <v>39</v>
      </c>
      <c r="AB886" s="36">
        <v>1</v>
      </c>
      <c r="AC886" s="36"/>
      <c r="AD886" s="36"/>
      <c r="AE886" s="36"/>
      <c r="AF886" s="36"/>
      <c r="AG886" s="36"/>
      <c r="AH886" s="36"/>
      <c r="AI886" s="36" t="s">
        <v>43</v>
      </c>
      <c r="AJ886" s="36">
        <v>0.63</v>
      </c>
      <c r="AK886" s="36"/>
      <c r="AL886" s="36"/>
      <c r="AM886" s="36"/>
      <c r="AN886" s="36"/>
      <c r="AO886" s="36"/>
      <c r="AP886" s="36"/>
      <c r="AQ886" s="36" t="s">
        <v>38</v>
      </c>
      <c r="AR886" s="36">
        <v>1</v>
      </c>
      <c r="AS886" s="36"/>
      <c r="AT886" s="36"/>
      <c r="AU886" s="36" t="s">
        <v>39</v>
      </c>
      <c r="AV886" s="36">
        <v>1</v>
      </c>
      <c r="AW886" s="36"/>
      <c r="AX886" s="36"/>
      <c r="AY886" s="36"/>
      <c r="AZ886" s="36"/>
      <c r="BA886" s="36"/>
      <c r="BB886" s="36"/>
      <c r="BC886" s="36"/>
      <c r="BD886" s="36"/>
      <c r="BG886" s="37">
        <v>1</v>
      </c>
      <c r="BH886" s="26"/>
      <c r="BI886" s="26">
        <v>2</v>
      </c>
      <c r="BJ886" s="26"/>
      <c r="BK886" s="26"/>
      <c r="BL886" s="26"/>
      <c r="BM886" s="26"/>
      <c r="BN886" s="26"/>
      <c r="BO886" s="39">
        <f t="shared" si="109"/>
        <v>3</v>
      </c>
      <c r="BP886" s="58">
        <f t="shared" si="110"/>
        <v>0</v>
      </c>
      <c r="BQ886" s="56">
        <f t="shared" si="111"/>
        <v>1</v>
      </c>
      <c r="BR886" s="57">
        <f t="shared" si="112"/>
        <v>0</v>
      </c>
      <c r="BS886" s="38">
        <v>1</v>
      </c>
      <c r="BT886" s="38"/>
      <c r="BU886" s="26"/>
      <c r="BV886" s="26"/>
      <c r="BW886" s="39">
        <f t="shared" si="113"/>
        <v>4</v>
      </c>
      <c r="BX886" s="78">
        <v>2</v>
      </c>
      <c r="BY886" s="63">
        <v>4</v>
      </c>
      <c r="CB886" s="7"/>
      <c r="CC886" s="7"/>
    </row>
    <row r="887" spans="1:81" ht="16" x14ac:dyDescent="0.2">
      <c r="A887" s="109" t="s">
        <v>372</v>
      </c>
      <c r="B887" s="26">
        <v>41</v>
      </c>
      <c r="C887" s="109" t="s">
        <v>248</v>
      </c>
      <c r="D887" s="26">
        <v>8</v>
      </c>
      <c r="E887" s="26">
        <v>2</v>
      </c>
      <c r="F887" s="26">
        <v>2</v>
      </c>
      <c r="G887" s="26" t="s">
        <v>51</v>
      </c>
      <c r="H887" s="26">
        <v>4</v>
      </c>
      <c r="I887" s="26" t="s">
        <v>51</v>
      </c>
      <c r="J887" s="26" t="s">
        <v>41</v>
      </c>
      <c r="K887" s="26"/>
      <c r="L887" s="26">
        <v>5</v>
      </c>
      <c r="M887" s="40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 t="s">
        <v>39</v>
      </c>
      <c r="AH887" s="36">
        <v>1</v>
      </c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G887" s="37"/>
      <c r="BH887" s="26"/>
      <c r="BI887" s="26">
        <v>1</v>
      </c>
      <c r="BJ887" s="26"/>
      <c r="BK887" s="26"/>
      <c r="BL887" s="26"/>
      <c r="BM887" s="26"/>
      <c r="BN887" s="26"/>
      <c r="BO887" s="39">
        <f t="shared" si="109"/>
        <v>1</v>
      </c>
      <c r="BP887" s="58">
        <f t="shared" si="110"/>
        <v>0</v>
      </c>
      <c r="BQ887" s="56">
        <f t="shared" si="111"/>
        <v>0</v>
      </c>
      <c r="BR887" s="57">
        <f t="shared" si="112"/>
        <v>0</v>
      </c>
      <c r="BS887" s="38"/>
      <c r="BT887" s="38"/>
      <c r="BU887" s="26"/>
      <c r="BV887" s="26"/>
      <c r="BW887" s="39">
        <f t="shared" si="113"/>
        <v>1</v>
      </c>
      <c r="BX887" s="78">
        <v>1</v>
      </c>
      <c r="BY887" s="63">
        <v>10</v>
      </c>
      <c r="CB887" s="7"/>
      <c r="CC887" s="7"/>
    </row>
    <row r="888" spans="1:81" x14ac:dyDescent="0.2">
      <c r="A888" s="109" t="s">
        <v>373</v>
      </c>
      <c r="B888" s="26">
        <v>39</v>
      </c>
      <c r="C888" s="109" t="s">
        <v>249</v>
      </c>
      <c r="D888" s="26">
        <v>3</v>
      </c>
      <c r="E888" s="26">
        <v>2</v>
      </c>
      <c r="F888" s="26">
        <v>2</v>
      </c>
      <c r="G888" s="26" t="s">
        <v>51</v>
      </c>
      <c r="H888" s="26">
        <v>4</v>
      </c>
      <c r="I888" s="26" t="s">
        <v>51</v>
      </c>
      <c r="J888" s="26" t="s">
        <v>78</v>
      </c>
      <c r="K888" s="26"/>
      <c r="L888" s="26">
        <v>5</v>
      </c>
      <c r="M888" s="40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26"/>
      <c r="BF888" s="26"/>
      <c r="BG888" s="39"/>
      <c r="BH888" s="38"/>
      <c r="BI888" s="38"/>
      <c r="BJ888" s="38"/>
      <c r="BK888" s="38"/>
      <c r="BL888" s="38"/>
      <c r="BM888" s="38"/>
      <c r="BN888" s="38"/>
      <c r="BO888" s="37">
        <f t="shared" si="109"/>
        <v>0</v>
      </c>
      <c r="BP888" s="56">
        <f t="shared" si="110"/>
        <v>0</v>
      </c>
      <c r="BQ888" s="56">
        <f t="shared" si="111"/>
        <v>0</v>
      </c>
      <c r="BR888" s="57">
        <f t="shared" si="112"/>
        <v>0</v>
      </c>
      <c r="BS888" s="38"/>
      <c r="BT888" s="38"/>
      <c r="BU888" s="26"/>
      <c r="BV888" s="26"/>
      <c r="BW888" s="39">
        <f t="shared" si="113"/>
        <v>0</v>
      </c>
      <c r="BX888" s="78">
        <v>0</v>
      </c>
      <c r="BY888" s="63">
        <v>13</v>
      </c>
      <c r="BZ888" s="7"/>
      <c r="CA888" s="8"/>
      <c r="CB888" s="7"/>
      <c r="CC888" s="7"/>
    </row>
    <row r="889" spans="1:81" x14ac:dyDescent="0.2">
      <c r="A889" s="109" t="s">
        <v>373</v>
      </c>
      <c r="B889" s="26">
        <v>39</v>
      </c>
      <c r="C889" s="109" t="s">
        <v>249</v>
      </c>
      <c r="D889" s="26">
        <v>4</v>
      </c>
      <c r="E889" s="26">
        <v>2</v>
      </c>
      <c r="F889" s="26">
        <v>2</v>
      </c>
      <c r="G889" s="26" t="s">
        <v>51</v>
      </c>
      <c r="H889" s="26">
        <v>4</v>
      </c>
      <c r="I889" s="26" t="s">
        <v>51</v>
      </c>
      <c r="J889" s="26" t="s">
        <v>41</v>
      </c>
      <c r="K889" s="26"/>
      <c r="L889" s="26">
        <v>6</v>
      </c>
      <c r="M889" s="40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26" t="s">
        <v>58</v>
      </c>
      <c r="BF889" s="26"/>
      <c r="BG889" s="39"/>
      <c r="BH889" s="38"/>
      <c r="BI889" s="38"/>
      <c r="BJ889" s="38"/>
      <c r="BK889" s="38"/>
      <c r="BL889" s="38"/>
      <c r="BM889" s="38"/>
      <c r="BN889" s="38"/>
      <c r="BO889" s="37">
        <f t="shared" si="109"/>
        <v>0</v>
      </c>
      <c r="BP889" s="56">
        <f t="shared" si="110"/>
        <v>0</v>
      </c>
      <c r="BQ889" s="56">
        <f t="shared" si="111"/>
        <v>1</v>
      </c>
      <c r="BR889" s="57">
        <f t="shared" si="112"/>
        <v>0</v>
      </c>
      <c r="BS889" s="38"/>
      <c r="BT889" s="38"/>
      <c r="BU889" s="26"/>
      <c r="BV889" s="26">
        <v>1</v>
      </c>
      <c r="BW889" s="39">
        <f t="shared" si="113"/>
        <v>1</v>
      </c>
      <c r="BX889" s="78">
        <v>4</v>
      </c>
      <c r="BY889" s="63">
        <v>10</v>
      </c>
      <c r="BZ889" s="7"/>
      <c r="CA889" s="20"/>
      <c r="CB889" s="7"/>
      <c r="CC889" s="7"/>
    </row>
    <row r="890" spans="1:81" ht="16" x14ac:dyDescent="0.2">
      <c r="A890" s="109" t="s">
        <v>373</v>
      </c>
      <c r="B890" s="26">
        <v>39</v>
      </c>
      <c r="C890" s="109" t="s">
        <v>249</v>
      </c>
      <c r="D890" s="26">
        <v>5</v>
      </c>
      <c r="E890" s="26">
        <v>2</v>
      </c>
      <c r="F890" s="26">
        <v>2</v>
      </c>
      <c r="G890" s="26" t="s">
        <v>51</v>
      </c>
      <c r="H890" s="26">
        <v>4</v>
      </c>
      <c r="I890" s="26" t="s">
        <v>51</v>
      </c>
      <c r="J890" s="26" t="s">
        <v>42</v>
      </c>
      <c r="K890" s="26"/>
      <c r="L890" s="26">
        <v>6</v>
      </c>
      <c r="M890" s="40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 t="s">
        <v>39</v>
      </c>
      <c r="Z890" s="36">
        <f>12.5/13</f>
        <v>0.96153846153846156</v>
      </c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26"/>
      <c r="BF890" s="26"/>
      <c r="BG890" s="39"/>
      <c r="BH890" s="38"/>
      <c r="BI890" s="38">
        <v>1</v>
      </c>
      <c r="BJ890" s="38"/>
      <c r="BK890" s="38"/>
      <c r="BL890" s="38"/>
      <c r="BM890" s="38"/>
      <c r="BN890" s="38"/>
      <c r="BO890" s="37">
        <f t="shared" si="109"/>
        <v>1</v>
      </c>
      <c r="BP890" s="56">
        <f t="shared" si="110"/>
        <v>0</v>
      </c>
      <c r="BQ890" s="56">
        <f t="shared" si="111"/>
        <v>0</v>
      </c>
      <c r="BR890" s="57">
        <f t="shared" si="112"/>
        <v>0</v>
      </c>
      <c r="BS890" s="38"/>
      <c r="BT890" s="38"/>
      <c r="BU890" s="26"/>
      <c r="BV890" s="26"/>
      <c r="BW890" s="39">
        <f t="shared" si="113"/>
        <v>1</v>
      </c>
      <c r="BX890" s="78">
        <v>1</v>
      </c>
      <c r="BY890" s="63">
        <v>8</v>
      </c>
      <c r="BZ890" s="7"/>
      <c r="CA890" s="8"/>
      <c r="CB890" s="7"/>
      <c r="CC890" s="7"/>
    </row>
    <row r="891" spans="1:81" ht="16" x14ac:dyDescent="0.2">
      <c r="A891" s="109" t="s">
        <v>374</v>
      </c>
      <c r="B891" s="26">
        <v>44</v>
      </c>
      <c r="C891" s="109" t="s">
        <v>250</v>
      </c>
      <c r="D891" s="26">
        <v>6</v>
      </c>
      <c r="E891" s="26">
        <v>2</v>
      </c>
      <c r="F891" s="26">
        <v>2</v>
      </c>
      <c r="G891" s="26" t="s">
        <v>51</v>
      </c>
      <c r="H891" s="26">
        <v>4</v>
      </c>
      <c r="I891" s="26" t="s">
        <v>51</v>
      </c>
      <c r="J891" s="26" t="s">
        <v>37</v>
      </c>
      <c r="K891" s="26"/>
      <c r="L891" s="26">
        <v>5</v>
      </c>
      <c r="M891" s="40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  <c r="AW891" s="36" t="s">
        <v>38</v>
      </c>
      <c r="AX891" s="36">
        <v>1</v>
      </c>
      <c r="AY891" s="36"/>
      <c r="AZ891" s="36"/>
      <c r="BA891" s="36"/>
      <c r="BB891" s="36"/>
      <c r="BC891" s="36"/>
      <c r="BD891" s="36"/>
      <c r="BG891" s="37">
        <v>1</v>
      </c>
      <c r="BH891" s="26"/>
      <c r="BI891" s="26"/>
      <c r="BJ891" s="26"/>
      <c r="BK891" s="26"/>
      <c r="BL891" s="26"/>
      <c r="BM891" s="26"/>
      <c r="BN891" s="26"/>
      <c r="BO891" s="37">
        <f t="shared" si="109"/>
        <v>1</v>
      </c>
      <c r="BP891" s="56">
        <f t="shared" si="110"/>
        <v>0</v>
      </c>
      <c r="BQ891" s="56">
        <f t="shared" si="111"/>
        <v>0</v>
      </c>
      <c r="BR891" s="57">
        <f t="shared" si="112"/>
        <v>0</v>
      </c>
      <c r="BS891" s="38"/>
      <c r="BT891" s="38"/>
      <c r="BU891" s="26"/>
      <c r="BV891" s="26"/>
      <c r="BW891" s="39">
        <f t="shared" si="113"/>
        <v>1</v>
      </c>
      <c r="BX891" s="78">
        <v>1</v>
      </c>
      <c r="BY891" s="63">
        <v>9</v>
      </c>
      <c r="BZ891" s="7"/>
      <c r="CA891" s="8"/>
      <c r="CB891" s="7"/>
      <c r="CC891" s="7"/>
    </row>
    <row r="892" spans="1:81" ht="16" x14ac:dyDescent="0.2">
      <c r="A892" s="109" t="s">
        <v>374</v>
      </c>
      <c r="B892" s="26">
        <v>44</v>
      </c>
      <c r="C892" s="109" t="s">
        <v>250</v>
      </c>
      <c r="D892" s="26">
        <v>7</v>
      </c>
      <c r="E892" s="26">
        <v>2</v>
      </c>
      <c r="F892" s="26">
        <v>2</v>
      </c>
      <c r="G892" s="26" t="s">
        <v>51</v>
      </c>
      <c r="H892" s="26">
        <v>4</v>
      </c>
      <c r="I892" s="26" t="s">
        <v>51</v>
      </c>
      <c r="J892" s="26" t="s">
        <v>45</v>
      </c>
      <c r="K892" s="26"/>
      <c r="L892" s="26">
        <v>7</v>
      </c>
      <c r="M892" s="40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 t="s">
        <v>39</v>
      </c>
      <c r="AF892" s="36">
        <v>1</v>
      </c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 t="s">
        <v>39</v>
      </c>
      <c r="AT892" s="36">
        <v>0.81</v>
      </c>
      <c r="AU892" s="36"/>
      <c r="AV892" s="36"/>
      <c r="AW892" s="36"/>
      <c r="AX892" s="36"/>
      <c r="AY892" s="36"/>
      <c r="AZ892" s="36"/>
      <c r="BA892" s="36"/>
      <c r="BB892" s="36"/>
      <c r="BC892" s="36" t="s">
        <v>39</v>
      </c>
      <c r="BD892" s="36">
        <v>0.77</v>
      </c>
      <c r="BG892" s="37"/>
      <c r="BH892" s="26"/>
      <c r="BI892" s="26">
        <v>3</v>
      </c>
      <c r="BJ892" s="26"/>
      <c r="BK892" s="26"/>
      <c r="BL892" s="26"/>
      <c r="BM892" s="26"/>
      <c r="BN892" s="26"/>
      <c r="BO892" s="37">
        <f t="shared" si="109"/>
        <v>3</v>
      </c>
      <c r="BP892" s="56">
        <f t="shared" si="110"/>
        <v>0</v>
      </c>
      <c r="BQ892" s="56">
        <f t="shared" si="111"/>
        <v>0</v>
      </c>
      <c r="BR892" s="57">
        <f t="shared" si="112"/>
        <v>0</v>
      </c>
      <c r="BS892" s="38"/>
      <c r="BT892" s="38"/>
      <c r="BU892" s="26"/>
      <c r="BV892" s="26"/>
      <c r="BW892" s="39">
        <f t="shared" si="113"/>
        <v>3</v>
      </c>
      <c r="BX892" s="78">
        <v>1</v>
      </c>
      <c r="BY892" s="63">
        <v>5</v>
      </c>
      <c r="BZ892" s="7"/>
      <c r="CA892" s="8"/>
      <c r="CB892" s="7"/>
      <c r="CC892" s="7"/>
    </row>
    <row r="893" spans="1:81" ht="16" x14ac:dyDescent="0.2">
      <c r="A893" s="109" t="s">
        <v>375</v>
      </c>
      <c r="B893" s="26">
        <v>34</v>
      </c>
      <c r="C893" s="109" t="s">
        <v>251</v>
      </c>
      <c r="D893" s="26">
        <v>1</v>
      </c>
      <c r="E893" s="26">
        <v>2</v>
      </c>
      <c r="F893" s="26">
        <v>2</v>
      </c>
      <c r="G893" s="26" t="s">
        <v>50</v>
      </c>
      <c r="H893" s="26">
        <v>4</v>
      </c>
      <c r="I893" s="26" t="s">
        <v>51</v>
      </c>
      <c r="J893" s="26" t="s">
        <v>42</v>
      </c>
      <c r="K893" s="26"/>
      <c r="L893" s="26">
        <v>6</v>
      </c>
      <c r="M893" s="40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 t="s">
        <v>39</v>
      </c>
      <c r="AN893" s="36">
        <v>0.44</v>
      </c>
      <c r="AO893" s="36"/>
      <c r="AP893" s="36"/>
      <c r="AQ893" s="36"/>
      <c r="AR893" s="36"/>
      <c r="AS893" s="36" t="s">
        <v>39</v>
      </c>
      <c r="AT893" s="36">
        <v>0.83</v>
      </c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G893" s="39"/>
      <c r="BH893" s="38"/>
      <c r="BI893" s="38">
        <v>1</v>
      </c>
      <c r="BJ893" s="38">
        <v>1</v>
      </c>
      <c r="BK893" s="38"/>
      <c r="BL893" s="38"/>
      <c r="BM893" s="44"/>
      <c r="BO893" s="39">
        <f t="shared" ref="BO893:BO909" si="114">BG893+BI893+BU893</f>
        <v>1</v>
      </c>
      <c r="BP893" s="58">
        <f t="shared" ref="BP893:BP909" si="115">BH893+BJ893</f>
        <v>1</v>
      </c>
      <c r="BQ893" s="56">
        <f t="shared" ref="BQ893:BQ909" si="116">BK893+BM893+BV893+BS893</f>
        <v>0</v>
      </c>
      <c r="BR893" s="57">
        <f t="shared" ref="BR893:BR909" si="117">BL893+BN893+BT893</f>
        <v>0</v>
      </c>
      <c r="BU893" s="26"/>
      <c r="BV893" s="26"/>
      <c r="BW893" s="39">
        <f t="shared" ref="BW893:BW909" si="118">SUM(BO893:BR893)</f>
        <v>2</v>
      </c>
      <c r="BX893" s="78">
        <v>2</v>
      </c>
      <c r="BY893" s="63">
        <v>8</v>
      </c>
    </row>
    <row r="894" spans="1:81" ht="16" x14ac:dyDescent="0.2">
      <c r="A894" s="109" t="s">
        <v>375</v>
      </c>
      <c r="B894" s="26">
        <v>34</v>
      </c>
      <c r="C894" s="109" t="s">
        <v>251</v>
      </c>
      <c r="D894" s="26">
        <v>2</v>
      </c>
      <c r="E894" s="26">
        <v>2</v>
      </c>
      <c r="F894" s="26">
        <v>3</v>
      </c>
      <c r="G894" s="26" t="s">
        <v>50</v>
      </c>
      <c r="H894" s="26">
        <v>5</v>
      </c>
      <c r="I894" s="26" t="s">
        <v>51</v>
      </c>
      <c r="J894" s="26" t="s">
        <v>37</v>
      </c>
      <c r="K894" s="26"/>
      <c r="L894" s="26">
        <v>5</v>
      </c>
      <c r="M894" s="40" t="s">
        <v>57</v>
      </c>
      <c r="N894" s="36">
        <v>1</v>
      </c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G894" s="39"/>
      <c r="BH894" s="38"/>
      <c r="BI894" s="38"/>
      <c r="BJ894" s="38"/>
      <c r="BK894" s="38"/>
      <c r="BL894" s="38"/>
      <c r="BM894" s="38">
        <v>1</v>
      </c>
      <c r="BN894" s="38"/>
      <c r="BO894" s="39">
        <f t="shared" si="114"/>
        <v>0</v>
      </c>
      <c r="BP894" s="58">
        <f t="shared" si="115"/>
        <v>0</v>
      </c>
      <c r="BQ894" s="56">
        <f t="shared" si="116"/>
        <v>1</v>
      </c>
      <c r="BR894" s="57">
        <f t="shared" si="117"/>
        <v>0</v>
      </c>
      <c r="BS894" s="38"/>
      <c r="BT894" s="38"/>
      <c r="BU894" s="26"/>
      <c r="BV894" s="26"/>
      <c r="BW894" s="39">
        <f t="shared" si="118"/>
        <v>1</v>
      </c>
      <c r="BX894" s="78">
        <v>4</v>
      </c>
      <c r="BY894" s="63">
        <v>9</v>
      </c>
      <c r="BZ894" s="7"/>
      <c r="CA894" s="8"/>
      <c r="CB894" s="7"/>
      <c r="CC894" s="7"/>
    </row>
    <row r="895" spans="1:81" ht="16" x14ac:dyDescent="0.2">
      <c r="A895" s="111" t="s">
        <v>375</v>
      </c>
      <c r="B895" s="26">
        <v>34</v>
      </c>
      <c r="C895" s="109" t="s">
        <v>251</v>
      </c>
      <c r="D895" s="26">
        <v>3</v>
      </c>
      <c r="E895" s="26">
        <v>2</v>
      </c>
      <c r="F895" s="26">
        <v>2</v>
      </c>
      <c r="G895" s="26" t="s">
        <v>50</v>
      </c>
      <c r="H895" s="26">
        <v>4</v>
      </c>
      <c r="I895" s="26" t="s">
        <v>51</v>
      </c>
      <c r="J895" s="26" t="s">
        <v>42</v>
      </c>
      <c r="K895" s="26"/>
      <c r="L895" s="26">
        <v>6</v>
      </c>
      <c r="M895" s="40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 t="s">
        <v>57</v>
      </c>
      <c r="AF895" s="36">
        <v>0.53</v>
      </c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G895" s="39"/>
      <c r="BH895" s="38"/>
      <c r="BI895" s="38"/>
      <c r="BJ895" s="38"/>
      <c r="BK895" s="38"/>
      <c r="BL895" s="38"/>
      <c r="BM895" s="38"/>
      <c r="BN895" s="38">
        <v>1</v>
      </c>
      <c r="BO895" s="39">
        <f t="shared" si="114"/>
        <v>0</v>
      </c>
      <c r="BP895" s="58">
        <f t="shared" si="115"/>
        <v>0</v>
      </c>
      <c r="BQ895" s="56">
        <f t="shared" si="116"/>
        <v>0</v>
      </c>
      <c r="BR895" s="57">
        <f t="shared" si="117"/>
        <v>1</v>
      </c>
      <c r="BS895" s="38"/>
      <c r="BT895" s="38"/>
      <c r="BU895" s="26"/>
      <c r="BV895" s="26"/>
      <c r="BW895" s="39">
        <f t="shared" si="118"/>
        <v>1</v>
      </c>
      <c r="BX895" s="78">
        <v>4</v>
      </c>
      <c r="BY895" s="63">
        <v>8</v>
      </c>
      <c r="BZ895" s="7"/>
      <c r="CA895" s="8"/>
      <c r="CB895" s="17"/>
      <c r="CC895" s="17"/>
    </row>
    <row r="896" spans="1:81" x14ac:dyDescent="0.2">
      <c r="A896" s="109" t="s">
        <v>375</v>
      </c>
      <c r="B896" s="26">
        <v>34</v>
      </c>
      <c r="C896" s="109" t="s">
        <v>251</v>
      </c>
      <c r="D896" s="26">
        <v>4</v>
      </c>
      <c r="E896" s="26">
        <v>2</v>
      </c>
      <c r="F896" s="26">
        <v>3</v>
      </c>
      <c r="G896" s="26" t="s">
        <v>56</v>
      </c>
      <c r="H896" s="26">
        <v>5</v>
      </c>
      <c r="I896" s="26" t="s">
        <v>51</v>
      </c>
      <c r="J896" s="26" t="s">
        <v>41</v>
      </c>
      <c r="K896" s="26"/>
      <c r="L896" s="26">
        <v>5</v>
      </c>
      <c r="M896" s="40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G896" s="39"/>
      <c r="BH896" s="38"/>
      <c r="BI896" s="38"/>
      <c r="BJ896" s="38"/>
      <c r="BK896" s="38"/>
      <c r="BL896" s="38"/>
      <c r="BM896" s="38"/>
      <c r="BN896" s="38"/>
      <c r="BO896" s="39">
        <f t="shared" si="114"/>
        <v>0</v>
      </c>
      <c r="BP896" s="58">
        <f t="shared" si="115"/>
        <v>0</v>
      </c>
      <c r="BQ896" s="56">
        <f t="shared" si="116"/>
        <v>0</v>
      </c>
      <c r="BR896" s="57">
        <f t="shared" si="117"/>
        <v>0</v>
      </c>
      <c r="BS896" s="38"/>
      <c r="BT896" s="38"/>
      <c r="BU896" s="26"/>
      <c r="BV896" s="26"/>
      <c r="BW896" s="39">
        <f t="shared" si="118"/>
        <v>0</v>
      </c>
      <c r="BX896" s="78">
        <v>0</v>
      </c>
      <c r="BY896" s="63">
        <v>10</v>
      </c>
      <c r="BZ896" s="7"/>
      <c r="CA896" s="8"/>
      <c r="CB896" s="7"/>
      <c r="CC896" s="7"/>
    </row>
    <row r="897" spans="1:89" ht="16" x14ac:dyDescent="0.2">
      <c r="A897" s="109" t="s">
        <v>375</v>
      </c>
      <c r="B897" s="26">
        <v>34</v>
      </c>
      <c r="C897" s="109" t="s">
        <v>251</v>
      </c>
      <c r="D897" s="26">
        <v>5</v>
      </c>
      <c r="E897" s="26">
        <v>2</v>
      </c>
      <c r="F897" s="26">
        <v>3</v>
      </c>
      <c r="G897" s="26" t="s">
        <v>56</v>
      </c>
      <c r="H897" s="26">
        <v>5</v>
      </c>
      <c r="I897" s="26" t="s">
        <v>51</v>
      </c>
      <c r="J897" s="26" t="s">
        <v>60</v>
      </c>
      <c r="K897" s="26"/>
      <c r="L897" s="26">
        <v>6</v>
      </c>
      <c r="M897" s="40" t="s">
        <v>57</v>
      </c>
      <c r="N897" s="36">
        <v>0.56000000000000005</v>
      </c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G897" s="39"/>
      <c r="BH897" s="38"/>
      <c r="BI897" s="38"/>
      <c r="BJ897" s="38"/>
      <c r="BK897" s="38"/>
      <c r="BL897" s="38"/>
      <c r="BM897" s="38"/>
      <c r="BN897" s="38">
        <v>1</v>
      </c>
      <c r="BO897" s="39">
        <f t="shared" si="114"/>
        <v>0</v>
      </c>
      <c r="BP897" s="58">
        <f t="shared" si="115"/>
        <v>0</v>
      </c>
      <c r="BQ897" s="56">
        <f t="shared" si="116"/>
        <v>0</v>
      </c>
      <c r="BR897" s="57">
        <f t="shared" si="117"/>
        <v>1</v>
      </c>
      <c r="BS897" s="38"/>
      <c r="BT897" s="38"/>
      <c r="BU897" s="26"/>
      <c r="BV897" s="26"/>
      <c r="BW897" s="39">
        <f t="shared" si="118"/>
        <v>1</v>
      </c>
      <c r="BX897" s="78">
        <v>4</v>
      </c>
      <c r="BY897" s="63">
        <v>7</v>
      </c>
      <c r="BZ897" s="7"/>
      <c r="CA897" s="8"/>
      <c r="CB897" s="7"/>
      <c r="CC897" s="7"/>
    </row>
    <row r="898" spans="1:89" x14ac:dyDescent="0.2">
      <c r="A898" s="109" t="s">
        <v>375</v>
      </c>
      <c r="B898" s="26">
        <v>34</v>
      </c>
      <c r="C898" s="109" t="s">
        <v>251</v>
      </c>
      <c r="D898" s="26">
        <v>6</v>
      </c>
      <c r="E898" s="26">
        <v>2</v>
      </c>
      <c r="F898" s="26">
        <v>2</v>
      </c>
      <c r="G898" s="26" t="s">
        <v>51</v>
      </c>
      <c r="H898" s="26">
        <v>4</v>
      </c>
      <c r="I898" s="26" t="s">
        <v>51</v>
      </c>
      <c r="J898" s="26" t="s">
        <v>41</v>
      </c>
      <c r="K898" s="26"/>
      <c r="L898" s="26">
        <v>6</v>
      </c>
      <c r="M898" s="40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G898" s="39"/>
      <c r="BH898" s="38"/>
      <c r="BI898" s="38"/>
      <c r="BJ898" s="38"/>
      <c r="BK898" s="38"/>
      <c r="BL898" s="38"/>
      <c r="BM898" s="38"/>
      <c r="BN898" s="38"/>
      <c r="BO898" s="39">
        <f t="shared" si="114"/>
        <v>0</v>
      </c>
      <c r="BP898" s="58">
        <f t="shared" si="115"/>
        <v>0</v>
      </c>
      <c r="BQ898" s="56">
        <f t="shared" si="116"/>
        <v>0</v>
      </c>
      <c r="BR898" s="57">
        <f t="shared" si="117"/>
        <v>0</v>
      </c>
      <c r="BS898" s="38"/>
      <c r="BT898" s="38"/>
      <c r="BU898" s="26"/>
      <c r="BV898" s="26"/>
      <c r="BW898" s="39">
        <f t="shared" si="118"/>
        <v>0</v>
      </c>
      <c r="BX898" s="78">
        <v>0</v>
      </c>
      <c r="BY898" s="63">
        <v>10</v>
      </c>
      <c r="BZ898" s="7"/>
      <c r="CA898" s="8"/>
      <c r="CB898" s="7"/>
      <c r="CC898" s="7"/>
    </row>
    <row r="899" spans="1:89" x14ac:dyDescent="0.2">
      <c r="A899" s="109" t="s">
        <v>375</v>
      </c>
      <c r="B899" s="26">
        <v>34</v>
      </c>
      <c r="C899" s="109" t="s">
        <v>251</v>
      </c>
      <c r="D899" s="26">
        <v>7</v>
      </c>
      <c r="E899" s="26">
        <v>2</v>
      </c>
      <c r="F899" s="26">
        <v>2</v>
      </c>
      <c r="G899" s="26" t="s">
        <v>51</v>
      </c>
      <c r="H899" s="26">
        <v>4</v>
      </c>
      <c r="I899" s="26" t="s">
        <v>51</v>
      </c>
      <c r="J899" s="26" t="s">
        <v>42</v>
      </c>
      <c r="K899" s="26"/>
      <c r="L899" s="26">
        <v>7</v>
      </c>
      <c r="M899" s="40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G899" s="39"/>
      <c r="BH899" s="38"/>
      <c r="BI899" s="38"/>
      <c r="BJ899" s="38"/>
      <c r="BK899" s="38"/>
      <c r="BL899" s="38"/>
      <c r="BM899" s="38"/>
      <c r="BO899" s="39">
        <f t="shared" si="114"/>
        <v>0</v>
      </c>
      <c r="BP899" s="58">
        <f t="shared" si="115"/>
        <v>0</v>
      </c>
      <c r="BQ899" s="56">
        <f t="shared" si="116"/>
        <v>0</v>
      </c>
      <c r="BR899" s="57">
        <f t="shared" si="117"/>
        <v>0</v>
      </c>
      <c r="BU899" s="26"/>
      <c r="BV899" s="26"/>
      <c r="BW899" s="39">
        <f t="shared" si="118"/>
        <v>0</v>
      </c>
      <c r="BX899" s="78">
        <v>0</v>
      </c>
      <c r="BY899" s="63">
        <v>8</v>
      </c>
    </row>
    <row r="900" spans="1:89" ht="16" x14ac:dyDescent="0.2">
      <c r="A900" s="109" t="s">
        <v>376</v>
      </c>
      <c r="B900" s="26">
        <v>41</v>
      </c>
      <c r="C900" s="109" t="s">
        <v>252</v>
      </c>
      <c r="D900" s="26">
        <v>4</v>
      </c>
      <c r="E900" s="26">
        <v>2</v>
      </c>
      <c r="F900" s="26">
        <v>2</v>
      </c>
      <c r="G900" s="26" t="s">
        <v>51</v>
      </c>
      <c r="H900" s="26">
        <v>4</v>
      </c>
      <c r="I900" s="26" t="s">
        <v>51</v>
      </c>
      <c r="J900" s="26" t="s">
        <v>41</v>
      </c>
      <c r="K900" s="26"/>
      <c r="L900" s="26">
        <v>6</v>
      </c>
      <c r="M900" s="40"/>
      <c r="N900" s="36"/>
      <c r="O900" s="36" t="s">
        <v>39</v>
      </c>
      <c r="P900" s="36">
        <v>0.38</v>
      </c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 t="s">
        <v>39</v>
      </c>
      <c r="AV900" s="36">
        <v>0.31</v>
      </c>
      <c r="AW900" s="36" t="s">
        <v>39</v>
      </c>
      <c r="AX900" s="36">
        <v>0.69</v>
      </c>
      <c r="AY900" s="36"/>
      <c r="AZ900" s="36"/>
      <c r="BA900" s="36"/>
      <c r="BB900" s="36"/>
      <c r="BC900" s="36"/>
      <c r="BD900" s="36"/>
      <c r="BG900" s="39"/>
      <c r="BH900" s="38"/>
      <c r="BI900" s="38"/>
      <c r="BJ900" s="38">
        <v>3</v>
      </c>
      <c r="BK900" s="38"/>
      <c r="BL900" s="38"/>
      <c r="BM900" s="38"/>
      <c r="BN900" s="38"/>
      <c r="BO900" s="37">
        <f t="shared" si="114"/>
        <v>0</v>
      </c>
      <c r="BP900" s="56">
        <f t="shared" si="115"/>
        <v>3</v>
      </c>
      <c r="BQ900" s="56">
        <f t="shared" si="116"/>
        <v>0</v>
      </c>
      <c r="BR900" s="57">
        <f t="shared" si="117"/>
        <v>0</v>
      </c>
      <c r="BS900" s="38"/>
      <c r="BT900" s="38"/>
      <c r="BU900" s="26"/>
      <c r="BV900" s="26"/>
      <c r="BW900" s="39">
        <f t="shared" si="118"/>
        <v>3</v>
      </c>
      <c r="BX900" s="78">
        <v>3</v>
      </c>
      <c r="BY900" s="63">
        <v>10</v>
      </c>
      <c r="BZ900" s="7"/>
      <c r="CA900" s="8"/>
      <c r="CB900" s="7"/>
      <c r="CC900" s="7"/>
    </row>
    <row r="901" spans="1:89" ht="16" x14ac:dyDescent="0.2">
      <c r="A901" s="109" t="s">
        <v>377</v>
      </c>
      <c r="B901" s="26">
        <v>40</v>
      </c>
      <c r="C901" s="109" t="s">
        <v>253</v>
      </c>
      <c r="D901" s="26">
        <v>1</v>
      </c>
      <c r="E901" s="26">
        <v>2</v>
      </c>
      <c r="F901" s="26">
        <v>2</v>
      </c>
      <c r="G901" s="26" t="s">
        <v>51</v>
      </c>
      <c r="H901" s="26">
        <v>5</v>
      </c>
      <c r="I901" s="26" t="s">
        <v>56</v>
      </c>
      <c r="J901" s="26" t="s">
        <v>42</v>
      </c>
      <c r="K901" s="26"/>
      <c r="L901" s="26">
        <v>6</v>
      </c>
      <c r="M901" s="40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 t="s">
        <v>61</v>
      </c>
      <c r="AN901" s="36">
        <v>1</v>
      </c>
      <c r="AO901" s="36"/>
      <c r="AP901" s="36"/>
      <c r="AQ901" s="36"/>
      <c r="AR901" s="36"/>
      <c r="AS901" s="36"/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G901" s="39"/>
      <c r="BH901" s="38"/>
      <c r="BI901" s="38"/>
      <c r="BJ901" s="38"/>
      <c r="BK901" s="38"/>
      <c r="BL901" s="38"/>
      <c r="BM901" s="38"/>
      <c r="BN901" s="38"/>
      <c r="BO901" s="37">
        <f t="shared" si="114"/>
        <v>0</v>
      </c>
      <c r="BP901" s="56">
        <f t="shared" si="115"/>
        <v>0</v>
      </c>
      <c r="BQ901" s="56">
        <f t="shared" si="116"/>
        <v>1</v>
      </c>
      <c r="BR901" s="57">
        <f t="shared" si="117"/>
        <v>0</v>
      </c>
      <c r="BS901" s="38">
        <v>1</v>
      </c>
      <c r="BT901" s="38"/>
      <c r="BU901" s="26"/>
      <c r="BV901" s="26"/>
      <c r="BW901" s="39">
        <f t="shared" si="118"/>
        <v>1</v>
      </c>
      <c r="BX901" s="78">
        <v>4</v>
      </c>
      <c r="BY901" s="63">
        <v>8</v>
      </c>
      <c r="BZ901" s="7"/>
      <c r="CA901" s="8"/>
      <c r="CB901" s="7"/>
      <c r="CC901" s="7"/>
    </row>
    <row r="902" spans="1:89" ht="16" x14ac:dyDescent="0.2">
      <c r="A902" s="109" t="s">
        <v>377</v>
      </c>
      <c r="B902" s="26">
        <v>40</v>
      </c>
      <c r="C902" s="109" t="s">
        <v>253</v>
      </c>
      <c r="D902" s="26">
        <v>2</v>
      </c>
      <c r="E902" s="26">
        <v>2</v>
      </c>
      <c r="F902" s="26">
        <v>3</v>
      </c>
      <c r="G902" s="26" t="s">
        <v>50</v>
      </c>
      <c r="H902" s="26">
        <v>5</v>
      </c>
      <c r="I902" s="26" t="s">
        <v>50</v>
      </c>
      <c r="J902" s="26" t="s">
        <v>41</v>
      </c>
      <c r="K902" s="26"/>
      <c r="L902" s="26">
        <v>5</v>
      </c>
      <c r="M902" s="40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 t="s">
        <v>39</v>
      </c>
      <c r="AV902" s="36">
        <v>1</v>
      </c>
      <c r="AW902" s="36"/>
      <c r="AX902" s="36"/>
      <c r="AY902" s="36"/>
      <c r="AZ902" s="36"/>
      <c r="BA902" s="36"/>
      <c r="BB902" s="36"/>
      <c r="BC902" s="36"/>
      <c r="BD902" s="36"/>
      <c r="BG902" s="39"/>
      <c r="BH902" s="38"/>
      <c r="BI902" s="38">
        <v>1</v>
      </c>
      <c r="BJ902" s="38"/>
      <c r="BK902" s="38"/>
      <c r="BL902" s="38"/>
      <c r="BM902" s="38"/>
      <c r="BN902" s="38"/>
      <c r="BO902" s="37">
        <f t="shared" si="114"/>
        <v>1</v>
      </c>
      <c r="BP902" s="56">
        <f t="shared" si="115"/>
        <v>0</v>
      </c>
      <c r="BQ902" s="56">
        <f t="shared" si="116"/>
        <v>0</v>
      </c>
      <c r="BR902" s="57">
        <f t="shared" si="117"/>
        <v>0</v>
      </c>
      <c r="BS902" s="38"/>
      <c r="BT902" s="38"/>
      <c r="BU902" s="26"/>
      <c r="BV902" s="26"/>
      <c r="BW902" s="39">
        <f t="shared" si="118"/>
        <v>1</v>
      </c>
      <c r="BX902" s="78">
        <v>1</v>
      </c>
      <c r="BY902" s="63">
        <v>10</v>
      </c>
      <c r="BZ902" s="7"/>
      <c r="CA902" s="8"/>
      <c r="CB902" s="7"/>
      <c r="CC902" s="7"/>
    </row>
    <row r="903" spans="1:89" x14ac:dyDescent="0.2">
      <c r="A903" s="109" t="s">
        <v>377</v>
      </c>
      <c r="B903" s="26">
        <v>40</v>
      </c>
      <c r="C903" s="109" t="s">
        <v>253</v>
      </c>
      <c r="D903" s="26">
        <v>3</v>
      </c>
      <c r="E903" s="26">
        <v>2</v>
      </c>
      <c r="F903" s="26">
        <v>2</v>
      </c>
      <c r="G903" s="26" t="s">
        <v>51</v>
      </c>
      <c r="H903" s="26">
        <v>4</v>
      </c>
      <c r="I903" s="26" t="s">
        <v>51</v>
      </c>
      <c r="J903" s="26" t="s">
        <v>41</v>
      </c>
      <c r="K903" s="26"/>
      <c r="L903" s="26">
        <v>6</v>
      </c>
      <c r="M903" s="40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G903" s="39"/>
      <c r="BH903" s="38"/>
      <c r="BI903" s="38"/>
      <c r="BJ903" s="38"/>
      <c r="BK903" s="38"/>
      <c r="BL903" s="38"/>
      <c r="BM903" s="38"/>
      <c r="BN903" s="38"/>
      <c r="BO903" s="37">
        <f t="shared" si="114"/>
        <v>0</v>
      </c>
      <c r="BP903" s="56">
        <f t="shared" si="115"/>
        <v>0</v>
      </c>
      <c r="BQ903" s="56">
        <f t="shared" si="116"/>
        <v>0</v>
      </c>
      <c r="BR903" s="57">
        <f t="shared" si="117"/>
        <v>0</v>
      </c>
      <c r="BS903" s="38"/>
      <c r="BT903" s="38"/>
      <c r="BU903" s="26"/>
      <c r="BV903" s="26"/>
      <c r="BW903" s="39">
        <f t="shared" si="118"/>
        <v>0</v>
      </c>
      <c r="BX903" s="78">
        <v>0</v>
      </c>
      <c r="BY903" s="63">
        <v>10</v>
      </c>
      <c r="BZ903" s="7"/>
      <c r="CA903" s="8"/>
      <c r="CB903" s="7"/>
      <c r="CC903" s="7"/>
    </row>
    <row r="904" spans="1:89" ht="16" x14ac:dyDescent="0.2">
      <c r="A904" s="109" t="s">
        <v>378</v>
      </c>
      <c r="B904" s="26">
        <v>41</v>
      </c>
      <c r="C904" s="109" t="s">
        <v>254</v>
      </c>
      <c r="D904" s="38">
        <v>2</v>
      </c>
      <c r="E904" s="38">
        <v>2</v>
      </c>
      <c r="F904" s="38">
        <v>2</v>
      </c>
      <c r="G904" s="38" t="s">
        <v>51</v>
      </c>
      <c r="H904" s="38">
        <v>4</v>
      </c>
      <c r="I904" s="38" t="s">
        <v>51</v>
      </c>
      <c r="J904" s="38" t="s">
        <v>42</v>
      </c>
      <c r="K904" s="38"/>
      <c r="L904" s="38">
        <v>5</v>
      </c>
      <c r="M904" s="40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 t="s">
        <v>38</v>
      </c>
      <c r="AF904" s="36">
        <v>1</v>
      </c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  <c r="AW904" s="36" t="s">
        <v>38</v>
      </c>
      <c r="AX904" s="36">
        <v>0.77</v>
      </c>
      <c r="AY904" s="36" t="s">
        <v>39</v>
      </c>
      <c r="AZ904" s="36">
        <v>1</v>
      </c>
      <c r="BA904" s="36" t="s">
        <v>38</v>
      </c>
      <c r="BB904" s="36">
        <v>0.96</v>
      </c>
      <c r="BC904" s="36" t="s">
        <v>38</v>
      </c>
      <c r="BD904" s="36">
        <v>0.77</v>
      </c>
      <c r="BE904" s="38" t="s">
        <v>38</v>
      </c>
      <c r="BF904" s="38" t="s">
        <v>66</v>
      </c>
      <c r="BG904" s="39">
        <v>4</v>
      </c>
      <c r="BH904" s="38"/>
      <c r="BI904" s="38">
        <v>1</v>
      </c>
      <c r="BJ904" s="38"/>
      <c r="BK904" s="38"/>
      <c r="BL904" s="38"/>
      <c r="BM904" s="38"/>
      <c r="BN904" s="38"/>
      <c r="BO904" s="37">
        <f t="shared" si="114"/>
        <v>6</v>
      </c>
      <c r="BP904" s="56">
        <f t="shared" si="115"/>
        <v>0</v>
      </c>
      <c r="BQ904" s="56">
        <f t="shared" si="116"/>
        <v>0</v>
      </c>
      <c r="BR904" s="57">
        <f t="shared" si="117"/>
        <v>0</v>
      </c>
      <c r="BS904" s="38"/>
      <c r="BT904" s="38"/>
      <c r="BU904" s="26">
        <v>1</v>
      </c>
      <c r="BV904" s="26"/>
      <c r="BW904" s="39">
        <f t="shared" si="118"/>
        <v>6</v>
      </c>
      <c r="BX904" s="78">
        <v>1</v>
      </c>
      <c r="BY904" s="63">
        <v>8</v>
      </c>
      <c r="BZ904" s="7"/>
      <c r="CA904" s="8"/>
      <c r="CB904" s="7"/>
      <c r="CC904" s="7"/>
    </row>
    <row r="905" spans="1:89" ht="16" x14ac:dyDescent="0.2">
      <c r="A905" s="109" t="s">
        <v>378</v>
      </c>
      <c r="B905" s="26">
        <v>41</v>
      </c>
      <c r="C905" s="109" t="s">
        <v>254</v>
      </c>
      <c r="D905" s="26">
        <v>6</v>
      </c>
      <c r="E905" s="26">
        <v>2</v>
      </c>
      <c r="F905" s="26">
        <v>3</v>
      </c>
      <c r="G905" s="26" t="s">
        <v>56</v>
      </c>
      <c r="H905" s="26">
        <v>6</v>
      </c>
      <c r="I905" s="26" t="s">
        <v>50</v>
      </c>
      <c r="J905" s="26" t="s">
        <v>42</v>
      </c>
      <c r="K905" s="26"/>
      <c r="L905" s="26">
        <v>5</v>
      </c>
      <c r="M905" s="40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 t="s">
        <v>38</v>
      </c>
      <c r="AD905" s="36">
        <v>1.1000000000000001</v>
      </c>
      <c r="AE905" s="36"/>
      <c r="AF905" s="36"/>
      <c r="AG905" s="36"/>
      <c r="AH905" s="36"/>
      <c r="AI905" s="36"/>
      <c r="AJ905" s="36"/>
      <c r="AK905" s="36" t="s">
        <v>39</v>
      </c>
      <c r="AL905" s="36">
        <v>1</v>
      </c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  <c r="AW905" s="36"/>
      <c r="AX905" s="36"/>
      <c r="AY905" s="36" t="s">
        <v>39</v>
      </c>
      <c r="AZ905" s="36">
        <v>1</v>
      </c>
      <c r="BA905" s="36"/>
      <c r="BB905" s="36"/>
      <c r="BC905" s="36"/>
      <c r="BD905" s="36"/>
      <c r="BG905" s="39">
        <v>1</v>
      </c>
      <c r="BH905" s="38"/>
      <c r="BI905" s="38">
        <v>2</v>
      </c>
      <c r="BJ905" s="38"/>
      <c r="BK905" s="38"/>
      <c r="BL905" s="38"/>
      <c r="BM905" s="38"/>
      <c r="BN905" s="38"/>
      <c r="BO905" s="37">
        <f t="shared" si="114"/>
        <v>3</v>
      </c>
      <c r="BP905" s="56">
        <f t="shared" si="115"/>
        <v>0</v>
      </c>
      <c r="BQ905" s="56">
        <f t="shared" si="116"/>
        <v>0</v>
      </c>
      <c r="BR905" s="57">
        <f t="shared" si="117"/>
        <v>0</v>
      </c>
      <c r="BS905" s="38"/>
      <c r="BT905" s="38"/>
      <c r="BU905" s="26"/>
      <c r="BV905" s="26"/>
      <c r="BW905" s="39">
        <f t="shared" si="118"/>
        <v>3</v>
      </c>
      <c r="BX905" s="78">
        <v>1</v>
      </c>
      <c r="BY905" s="63">
        <v>8</v>
      </c>
      <c r="BZ905" s="7"/>
      <c r="CA905" s="8"/>
      <c r="CB905" s="7"/>
      <c r="CC905" s="7"/>
    </row>
    <row r="906" spans="1:89" ht="16" x14ac:dyDescent="0.2">
      <c r="A906" s="109" t="s">
        <v>378</v>
      </c>
      <c r="B906" s="26">
        <v>41</v>
      </c>
      <c r="C906" s="109" t="s">
        <v>254</v>
      </c>
      <c r="D906" s="26">
        <v>7</v>
      </c>
      <c r="E906" s="26">
        <v>2</v>
      </c>
      <c r="F906" s="26">
        <v>2</v>
      </c>
      <c r="G906" s="26" t="s">
        <v>51</v>
      </c>
      <c r="H906" s="26">
        <v>4</v>
      </c>
      <c r="I906" s="26" t="s">
        <v>51</v>
      </c>
      <c r="J906" s="26" t="s">
        <v>60</v>
      </c>
      <c r="K906" s="26"/>
      <c r="L906" s="26">
        <v>6</v>
      </c>
      <c r="M906" s="40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 t="s">
        <v>39</v>
      </c>
      <c r="AP906" s="36">
        <v>1</v>
      </c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  <c r="BA906" s="36"/>
      <c r="BB906" s="36"/>
      <c r="BC906" s="36" t="s">
        <v>38</v>
      </c>
      <c r="BD906" s="36">
        <v>0.69</v>
      </c>
      <c r="BG906" s="39"/>
      <c r="BH906" s="38">
        <v>1</v>
      </c>
      <c r="BI906" s="38">
        <v>1</v>
      </c>
      <c r="BJ906" s="38"/>
      <c r="BK906" s="38"/>
      <c r="BL906" s="38"/>
      <c r="BM906" s="38"/>
      <c r="BN906" s="38"/>
      <c r="BO906" s="37">
        <f t="shared" si="114"/>
        <v>1</v>
      </c>
      <c r="BP906" s="56">
        <f t="shared" si="115"/>
        <v>1</v>
      </c>
      <c r="BQ906" s="56">
        <f t="shared" si="116"/>
        <v>0</v>
      </c>
      <c r="BR906" s="57">
        <f t="shared" si="117"/>
        <v>0</v>
      </c>
      <c r="BS906" s="38"/>
      <c r="BT906" s="38"/>
      <c r="BU906" s="26"/>
      <c r="BV906" s="26"/>
      <c r="BW906" s="39">
        <f t="shared" si="118"/>
        <v>2</v>
      </c>
      <c r="BX906" s="78">
        <v>2</v>
      </c>
      <c r="BY906" s="63">
        <v>7</v>
      </c>
      <c r="BZ906" s="7"/>
      <c r="CA906" s="8"/>
      <c r="CB906" s="7"/>
      <c r="CC906" s="7"/>
    </row>
    <row r="907" spans="1:89" ht="16" x14ac:dyDescent="0.2">
      <c r="A907" s="109" t="s">
        <v>379</v>
      </c>
      <c r="B907" s="26">
        <v>43</v>
      </c>
      <c r="C907" s="109" t="s">
        <v>255</v>
      </c>
      <c r="D907" s="26">
        <v>1</v>
      </c>
      <c r="E907" s="26">
        <v>2</v>
      </c>
      <c r="F907" s="26">
        <v>2</v>
      </c>
      <c r="G907" s="26" t="s">
        <v>51</v>
      </c>
      <c r="H907" s="26">
        <v>4</v>
      </c>
      <c r="I907" s="26" t="s">
        <v>51</v>
      </c>
      <c r="J907" s="26" t="s">
        <v>41</v>
      </c>
      <c r="K907" s="26"/>
      <c r="L907" s="26">
        <v>6</v>
      </c>
      <c r="M907" s="40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 t="s">
        <v>39</v>
      </c>
      <c r="AP907" s="36">
        <v>1</v>
      </c>
      <c r="AQ907" s="36"/>
      <c r="AR907" s="36"/>
      <c r="AS907" s="36"/>
      <c r="AT907" s="36"/>
      <c r="AU907" s="36"/>
      <c r="AV907" s="36"/>
      <c r="AW907" s="36"/>
      <c r="AX907" s="36"/>
      <c r="AY907" s="36" t="s">
        <v>39</v>
      </c>
      <c r="AZ907" s="36">
        <v>1</v>
      </c>
      <c r="BA907" s="36"/>
      <c r="BB907" s="36"/>
      <c r="BC907" s="36" t="s">
        <v>38</v>
      </c>
      <c r="BD907" s="36">
        <v>1</v>
      </c>
      <c r="BG907" s="39">
        <v>1</v>
      </c>
      <c r="BH907" s="38"/>
      <c r="BI907" s="38">
        <v>2</v>
      </c>
      <c r="BJ907" s="38"/>
      <c r="BK907" s="38"/>
      <c r="BL907" s="38"/>
      <c r="BM907" s="38"/>
      <c r="BN907" s="38"/>
      <c r="BO907" s="39">
        <f t="shared" si="114"/>
        <v>3</v>
      </c>
      <c r="BP907" s="58">
        <f t="shared" si="115"/>
        <v>0</v>
      </c>
      <c r="BQ907" s="56">
        <f t="shared" si="116"/>
        <v>0</v>
      </c>
      <c r="BR907" s="57">
        <f t="shared" si="117"/>
        <v>0</v>
      </c>
      <c r="BS907" s="38"/>
      <c r="BT907" s="38"/>
      <c r="BU907" s="26"/>
      <c r="BV907" s="26"/>
      <c r="BW907" s="39">
        <f t="shared" si="118"/>
        <v>3</v>
      </c>
      <c r="BX907" s="78">
        <v>1</v>
      </c>
      <c r="BY907" s="63">
        <v>10</v>
      </c>
      <c r="BZ907" s="7"/>
      <c r="CA907" s="8"/>
      <c r="CB907" s="7"/>
      <c r="CC907" s="7"/>
    </row>
    <row r="908" spans="1:89" ht="16" x14ac:dyDescent="0.2">
      <c r="A908" s="109" t="s">
        <v>379</v>
      </c>
      <c r="B908" s="26">
        <v>43</v>
      </c>
      <c r="C908" s="109" t="s">
        <v>255</v>
      </c>
      <c r="D908" s="26">
        <v>3</v>
      </c>
      <c r="E908" s="26">
        <v>2</v>
      </c>
      <c r="F908" s="26">
        <v>2</v>
      </c>
      <c r="G908" s="26" t="s">
        <v>51</v>
      </c>
      <c r="H908" s="26">
        <v>4</v>
      </c>
      <c r="I908" s="26" t="s">
        <v>51</v>
      </c>
      <c r="J908" s="26" t="s">
        <v>41</v>
      </c>
      <c r="K908" s="26"/>
      <c r="L908" s="26">
        <v>5</v>
      </c>
      <c r="M908" s="40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  <c r="AW908" s="36"/>
      <c r="AX908" s="36"/>
      <c r="AY908" s="36"/>
      <c r="AZ908" s="36"/>
      <c r="BA908" s="36" t="s">
        <v>39</v>
      </c>
      <c r="BB908" s="36">
        <v>1</v>
      </c>
      <c r="BC908" s="36" t="s">
        <v>38</v>
      </c>
      <c r="BD908" s="36">
        <v>1</v>
      </c>
      <c r="BG908" s="39">
        <v>1</v>
      </c>
      <c r="BH908" s="38"/>
      <c r="BI908" s="38">
        <v>1</v>
      </c>
      <c r="BJ908" s="38"/>
      <c r="BK908" s="38"/>
      <c r="BL908" s="38"/>
      <c r="BM908" s="38"/>
      <c r="BN908" s="38"/>
      <c r="BO908" s="39">
        <f t="shared" si="114"/>
        <v>2</v>
      </c>
      <c r="BP908" s="58">
        <f t="shared" si="115"/>
        <v>0</v>
      </c>
      <c r="BQ908" s="56">
        <f t="shared" si="116"/>
        <v>0</v>
      </c>
      <c r="BR908" s="57">
        <f t="shared" si="117"/>
        <v>0</v>
      </c>
      <c r="BS908" s="38"/>
      <c r="BT908" s="38"/>
      <c r="BU908" s="26"/>
      <c r="BV908" s="26"/>
      <c r="BW908" s="39">
        <f t="shared" si="118"/>
        <v>2</v>
      </c>
      <c r="BX908" s="78">
        <v>1</v>
      </c>
      <c r="BY908" s="63">
        <v>10</v>
      </c>
      <c r="BZ908" s="7"/>
      <c r="CA908" s="8"/>
      <c r="CB908" s="7"/>
      <c r="CC908" s="7"/>
    </row>
    <row r="909" spans="1:89" x14ac:dyDescent="0.2">
      <c r="A909" s="115" t="s">
        <v>379</v>
      </c>
      <c r="B909" s="56">
        <v>43</v>
      </c>
      <c r="C909" s="115" t="s">
        <v>255</v>
      </c>
      <c r="D909" s="56">
        <v>5</v>
      </c>
      <c r="E909" s="56">
        <v>2</v>
      </c>
      <c r="F909" s="56">
        <v>2</v>
      </c>
      <c r="G909" s="56" t="s">
        <v>50</v>
      </c>
      <c r="H909" s="56">
        <v>4</v>
      </c>
      <c r="I909" s="56" t="s">
        <v>51</v>
      </c>
      <c r="J909" s="56" t="s">
        <v>42</v>
      </c>
      <c r="K909" s="56"/>
      <c r="L909" s="56">
        <v>6</v>
      </c>
      <c r="M909" s="4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0"/>
      <c r="AO909" s="80"/>
      <c r="AP909" s="80"/>
      <c r="AQ909" s="80"/>
      <c r="AR909" s="80"/>
      <c r="AS909" s="80"/>
      <c r="AT909" s="80"/>
      <c r="AU909" s="80"/>
      <c r="AV909" s="80"/>
      <c r="AW909" s="80"/>
      <c r="AX909" s="80"/>
      <c r="AY909" s="80"/>
      <c r="AZ909" s="80"/>
      <c r="BA909" s="80"/>
      <c r="BB909" s="80"/>
      <c r="BC909" s="80"/>
      <c r="BD909" s="80"/>
      <c r="BE909" s="81"/>
      <c r="BF909" s="81"/>
      <c r="BG909" s="43"/>
      <c r="BH909" s="81"/>
      <c r="BI909" s="81"/>
      <c r="BJ909" s="81"/>
      <c r="BK909" s="81"/>
      <c r="BL909" s="81"/>
      <c r="BM909" s="81"/>
      <c r="BN909" s="81"/>
      <c r="BO909" s="39">
        <f t="shared" si="114"/>
        <v>0</v>
      </c>
      <c r="BP909" s="58">
        <f t="shared" si="115"/>
        <v>0</v>
      </c>
      <c r="BQ909" s="56">
        <f t="shared" si="116"/>
        <v>0</v>
      </c>
      <c r="BR909" s="57">
        <f t="shared" si="117"/>
        <v>0</v>
      </c>
      <c r="BS909" s="81"/>
      <c r="BT909" s="81"/>
      <c r="BU909" s="56"/>
      <c r="BV909" s="56"/>
      <c r="BW909" s="39">
        <f t="shared" si="118"/>
        <v>0</v>
      </c>
      <c r="BX909" s="78">
        <v>0</v>
      </c>
      <c r="BY909" s="63">
        <v>8</v>
      </c>
      <c r="BZ909" s="7"/>
      <c r="CA909" s="8"/>
      <c r="CB909" s="7"/>
      <c r="CC909" s="7"/>
    </row>
    <row r="910" spans="1:89" s="7" customFormat="1" ht="16" thickBot="1" x14ac:dyDescent="0.25">
      <c r="A910" s="114" t="s">
        <v>380</v>
      </c>
      <c r="B910" s="60">
        <v>38</v>
      </c>
      <c r="C910" s="114" t="s">
        <v>256</v>
      </c>
      <c r="D910" s="60">
        <v>5</v>
      </c>
      <c r="E910" s="60">
        <v>2</v>
      </c>
      <c r="F910" s="60"/>
      <c r="G910" s="60"/>
      <c r="H910" s="60"/>
      <c r="I910" s="60"/>
      <c r="J910" s="60" t="s">
        <v>42</v>
      </c>
      <c r="K910" s="60"/>
      <c r="L910" s="61">
        <v>5</v>
      </c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  <c r="AZ910" s="60"/>
      <c r="BA910" s="60"/>
      <c r="BB910" s="60"/>
      <c r="BC910" s="60"/>
      <c r="BD910" s="60"/>
      <c r="BE910" s="60"/>
      <c r="BF910" s="61"/>
      <c r="BG910" s="60"/>
      <c r="BH910" s="60"/>
      <c r="BI910" s="60"/>
      <c r="BJ910" s="60"/>
      <c r="BK910" s="60"/>
      <c r="BL910" s="60"/>
      <c r="BM910" s="60"/>
      <c r="BN910" s="61"/>
      <c r="BO910" s="60">
        <v>0</v>
      </c>
      <c r="BP910" s="60">
        <v>0</v>
      </c>
      <c r="BQ910" s="60">
        <v>0</v>
      </c>
      <c r="BR910" s="61">
        <v>0</v>
      </c>
      <c r="BS910" s="60"/>
      <c r="BT910" s="60"/>
      <c r="BU910" s="60"/>
      <c r="BV910" s="60"/>
      <c r="BW910" s="79">
        <v>0</v>
      </c>
      <c r="BX910" s="79">
        <v>0</v>
      </c>
      <c r="BY910" s="67">
        <v>8</v>
      </c>
      <c r="CK910"/>
    </row>
    <row r="911" spans="1:89" x14ac:dyDescent="0.2">
      <c r="BX911"/>
      <c r="BY911"/>
      <c r="CK911" s="7"/>
    </row>
    <row r="912" spans="1:89" x14ac:dyDescent="0.2">
      <c r="BX912"/>
      <c r="BY912"/>
    </row>
    <row r="913" spans="76:77" x14ac:dyDescent="0.2">
      <c r="BX913" s="56"/>
      <c r="BY913"/>
    </row>
    <row r="914" spans="76:77" x14ac:dyDescent="0.2">
      <c r="BX914" s="56"/>
      <c r="BY914"/>
    </row>
    <row r="915" spans="76:77" x14ac:dyDescent="0.2">
      <c r="BX915" s="56"/>
      <c r="BY915"/>
    </row>
    <row r="916" spans="76:77" x14ac:dyDescent="0.2">
      <c r="BX916" s="56"/>
      <c r="BY916"/>
    </row>
    <row r="917" spans="76:77" x14ac:dyDescent="0.2">
      <c r="BX917" s="56"/>
      <c r="BY917"/>
    </row>
    <row r="918" spans="76:77" x14ac:dyDescent="0.2">
      <c r="BX918" s="56"/>
      <c r="BY918"/>
    </row>
    <row r="919" spans="76:77" x14ac:dyDescent="0.2">
      <c r="BX919" s="56"/>
      <c r="BY919"/>
    </row>
    <row r="920" spans="76:77" x14ac:dyDescent="0.2">
      <c r="BX920" s="56"/>
      <c r="BY920"/>
    </row>
    <row r="921" spans="76:77" x14ac:dyDescent="0.2">
      <c r="BX921" s="56"/>
      <c r="BY921"/>
    </row>
    <row r="922" spans="76:77" x14ac:dyDescent="0.2">
      <c r="BX922" s="56"/>
      <c r="BY922"/>
    </row>
    <row r="923" spans="76:77" x14ac:dyDescent="0.2">
      <c r="BX923" s="56"/>
      <c r="BY923"/>
    </row>
    <row r="924" spans="76:77" x14ac:dyDescent="0.2">
      <c r="BX924" s="56"/>
      <c r="BY924"/>
    </row>
    <row r="925" spans="76:77" x14ac:dyDescent="0.2">
      <c r="BX925" s="56"/>
      <c r="BY925"/>
    </row>
  </sheetData>
  <mergeCells count="12">
    <mergeCell ref="CB24:CE24"/>
    <mergeCell ref="CB25:CE25"/>
    <mergeCell ref="CD7:CE13"/>
    <mergeCell ref="CA18:CE19"/>
    <mergeCell ref="CB21:CE21"/>
    <mergeCell ref="CB22:CE22"/>
    <mergeCell ref="CB23:CE23"/>
    <mergeCell ref="BE1:BF1"/>
    <mergeCell ref="CA1:CE1"/>
    <mergeCell ref="CA2:CD2"/>
    <mergeCell ref="CA3:CD3"/>
    <mergeCell ref="CA4:CD4"/>
  </mergeCells>
  <conditionalFormatting sqref="M1:BD1 M6:BD103 M105:BD355 M356:BB357 BD356:BD357 M358:BD391 M393:BD909 BD392 M392:BB392">
    <cfRule type="cellIs" dxfId="65" priority="76" operator="equal">
      <formula>"qG"</formula>
    </cfRule>
  </conditionalFormatting>
  <conditionalFormatting sqref="CB48:CB81 M1:BD1 CB106:CB116 CB93:CB104 CB127:CB501 CC48 A48 M6:BD103 M105:BD355 M356:BB357 BD356:BD357 M358:BD391 M393:BD909 BD392 M392:BB392">
    <cfRule type="cellIs" dxfId="64" priority="70" operator="equal">
      <formula>"qL"</formula>
    </cfRule>
    <cfRule type="cellIs" dxfId="63" priority="71" operator="equal">
      <formula>"qG"</formula>
    </cfRule>
    <cfRule type="cellIs" dxfId="62" priority="72" operator="equal">
      <formula>"pL"</formula>
    </cfRule>
    <cfRule type="cellIs" dxfId="61" priority="73" operator="equal">
      <formula>"pG"</formula>
    </cfRule>
    <cfRule type="cellIs" dxfId="60" priority="74" operator="equal">
      <formula>"L"</formula>
    </cfRule>
    <cfRule type="cellIs" dxfId="59" priority="75" operator="equal">
      <formula>"G"</formula>
    </cfRule>
  </conditionalFormatting>
  <conditionalFormatting sqref="CB105">
    <cfRule type="cellIs" dxfId="58" priority="62" operator="equal">
      <formula>"qL"</formula>
    </cfRule>
    <cfRule type="cellIs" dxfId="57" priority="63" operator="equal">
      <formula>"qG"</formula>
    </cfRule>
    <cfRule type="cellIs" dxfId="56" priority="64" operator="equal">
      <formula>"pL"</formula>
    </cfRule>
    <cfRule type="cellIs" dxfId="55" priority="65" operator="equal">
      <formula>"pG"</formula>
    </cfRule>
    <cfRule type="cellIs" dxfId="54" priority="66" operator="equal">
      <formula>"L"</formula>
    </cfRule>
    <cfRule type="cellIs" dxfId="53" priority="67" operator="equal">
      <formula>"G"</formula>
    </cfRule>
  </conditionalFormatting>
  <conditionalFormatting sqref="M2:BD355 M356:BB357 BD356:BD357 M358:BD391 M393:BD909 BD392 M392:BB392">
    <cfRule type="cellIs" dxfId="52" priority="33" operator="equal">
      <formula>"pqL"</formula>
    </cfRule>
    <cfRule type="cellIs" dxfId="51" priority="34" operator="equal">
      <formula>"pqG"</formula>
    </cfRule>
    <cfRule type="cellIs" dxfId="50" priority="35" operator="equal">
      <formula>"pqGL"</formula>
    </cfRule>
  </conditionalFormatting>
  <conditionalFormatting sqref="M2:BD4 M5:BC5">
    <cfRule type="cellIs" dxfId="49" priority="60" operator="equal">
      <formula>"qG"</formula>
    </cfRule>
  </conditionalFormatting>
  <conditionalFormatting sqref="M2:BD4 M5:BC5">
    <cfRule type="cellIs" dxfId="48" priority="54" operator="equal">
      <formula>"qL"</formula>
    </cfRule>
    <cfRule type="cellIs" dxfId="47" priority="55" operator="equal">
      <formula>"qG"</formula>
    </cfRule>
    <cfRule type="cellIs" dxfId="46" priority="56" operator="equal">
      <formula>"pL"</formula>
    </cfRule>
    <cfRule type="cellIs" dxfId="45" priority="57" operator="equal">
      <formula>"pG"</formula>
    </cfRule>
    <cfRule type="cellIs" dxfId="44" priority="58" operator="equal">
      <formula>"L"</formula>
    </cfRule>
    <cfRule type="cellIs" dxfId="43" priority="59" operator="equal">
      <formula>"G"</formula>
    </cfRule>
  </conditionalFormatting>
  <conditionalFormatting sqref="M41:M44">
    <cfRule type="cellIs" dxfId="42" priority="53" operator="equal">
      <formula>"qG"</formula>
    </cfRule>
  </conditionalFormatting>
  <conditionalFormatting sqref="M41:BD44">
    <cfRule type="cellIs" dxfId="41" priority="47" operator="equal">
      <formula>"qL"</formula>
    </cfRule>
    <cfRule type="cellIs" dxfId="40" priority="48" operator="equal">
      <formula>"qG"</formula>
    </cfRule>
    <cfRule type="cellIs" dxfId="39" priority="49" operator="equal">
      <formula>"pL"</formula>
    </cfRule>
    <cfRule type="cellIs" dxfId="38" priority="50" operator="equal">
      <formula>"pG"</formula>
    </cfRule>
    <cfRule type="cellIs" dxfId="37" priority="51" operator="equal">
      <formula>"L"</formula>
    </cfRule>
    <cfRule type="cellIs" dxfId="36" priority="52" operator="equal">
      <formula>"G"</formula>
    </cfRule>
  </conditionalFormatting>
  <conditionalFormatting sqref="M104:BD104">
    <cfRule type="cellIs" dxfId="35" priority="46" operator="equal">
      <formula>"qG"</formula>
    </cfRule>
  </conditionalFormatting>
  <conditionalFormatting sqref="M104:BD104">
    <cfRule type="cellIs" dxfId="34" priority="40" operator="equal">
      <formula>"qL"</formula>
    </cfRule>
    <cfRule type="cellIs" dxfId="33" priority="41" operator="equal">
      <formula>"qG"</formula>
    </cfRule>
    <cfRule type="cellIs" dxfId="32" priority="42" operator="equal">
      <formula>"pL"</formula>
    </cfRule>
    <cfRule type="cellIs" dxfId="31" priority="43" operator="equal">
      <formula>"pG"</formula>
    </cfRule>
    <cfRule type="cellIs" dxfId="30" priority="44" operator="equal">
      <formula>"L"</formula>
    </cfRule>
    <cfRule type="cellIs" dxfId="29" priority="45" operator="equal">
      <formula>"G"</formula>
    </cfRule>
  </conditionalFormatting>
  <conditionalFormatting sqref="BE2:BE909">
    <cfRule type="cellIs" dxfId="28" priority="36" operator="equal">
      <formula>"GL"</formula>
    </cfRule>
    <cfRule type="cellIs" dxfId="27" priority="37" operator="equal">
      <formula>"S"</formula>
    </cfRule>
    <cfRule type="cellIs" dxfId="26" priority="38" operator="equal">
      <formula>"L"</formula>
    </cfRule>
    <cfRule type="cellIs" dxfId="25" priority="39" operator="equal">
      <formula>"G"</formula>
    </cfRule>
  </conditionalFormatting>
  <conditionalFormatting sqref="M723:BD780">
    <cfRule type="cellIs" dxfId="24" priority="12" operator="equal">
      <formula>"pqL"</formula>
    </cfRule>
    <cfRule type="cellIs" dxfId="23" priority="13" operator="equal">
      <formula>"pqG"</formula>
    </cfRule>
    <cfRule type="cellIs" dxfId="22" priority="14" operator="equal">
      <formula>"pqGL"</formula>
    </cfRule>
  </conditionalFormatting>
  <conditionalFormatting sqref="M723:BD780">
    <cfRule type="cellIs" dxfId="21" priority="26" operator="equal">
      <formula>"qG"</formula>
    </cfRule>
  </conditionalFormatting>
  <conditionalFormatting sqref="M723:BD780">
    <cfRule type="cellIs" dxfId="20" priority="20" operator="equal">
      <formula>"qL"</formula>
    </cfRule>
    <cfRule type="cellIs" dxfId="19" priority="21" operator="equal">
      <formula>"qG"</formula>
    </cfRule>
    <cfRule type="cellIs" dxfId="18" priority="22" operator="equal">
      <formula>"pL"</formula>
    </cfRule>
    <cfRule type="cellIs" dxfId="17" priority="23" operator="equal">
      <formula>"pG"</formula>
    </cfRule>
    <cfRule type="cellIs" dxfId="16" priority="24" operator="equal">
      <formula>"L"</formula>
    </cfRule>
    <cfRule type="cellIs" dxfId="15" priority="25" operator="equal">
      <formula>"G"</formula>
    </cfRule>
  </conditionalFormatting>
  <conditionalFormatting sqref="BE723:BE780">
    <cfRule type="cellIs" dxfId="14" priority="15" operator="equal">
      <formula>"GL"</formula>
    </cfRule>
    <cfRule type="cellIs" dxfId="13" priority="16" operator="equal">
      <formula>"S"</formula>
    </cfRule>
    <cfRule type="cellIs" dxfId="12" priority="17" operator="equal">
      <formula>"L"</formula>
    </cfRule>
    <cfRule type="cellIs" dxfId="11" priority="18" operator="equal">
      <formula>"G"</formula>
    </cfRule>
  </conditionalFormatting>
  <conditionalFormatting sqref="H1">
    <cfRule type="cellIs" dxfId="10" priority="11" operator="equal">
      <formula>0</formula>
    </cfRule>
  </conditionalFormatting>
  <conditionalFormatting sqref="BC357">
    <cfRule type="cellIs" dxfId="9" priority="10" operator="equal">
      <formula>"qG"</formula>
    </cfRule>
  </conditionalFormatting>
  <conditionalFormatting sqref="BC357">
    <cfRule type="cellIs" dxfId="8" priority="4" operator="equal">
      <formula>"qL"</formula>
    </cfRule>
    <cfRule type="cellIs" dxfId="7" priority="5" operator="equal">
      <formula>"qG"</formula>
    </cfRule>
    <cfRule type="cellIs" dxfId="6" priority="6" operator="equal">
      <formula>"pL"</formula>
    </cfRule>
    <cfRule type="cellIs" dxfId="5" priority="7" operator="equal">
      <formula>"pG"</formula>
    </cfRule>
    <cfRule type="cellIs" dxfId="4" priority="8" operator="equal">
      <formula>"L"</formula>
    </cfRule>
    <cfRule type="cellIs" dxfId="3" priority="9" operator="equal">
      <formula>"G"</formula>
    </cfRule>
  </conditionalFormatting>
  <conditionalFormatting sqref="BC357">
    <cfRule type="cellIs" dxfId="2" priority="1" operator="equal">
      <formula>"pqL"</formula>
    </cfRule>
    <cfRule type="cellIs" dxfId="1" priority="2" operator="equal">
      <formula>"pqG"</formula>
    </cfRule>
    <cfRule type="cellIs" dxfId="0" priority="3" operator="equal">
      <formula>"pqGL"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Cycle data</vt:lpstr>
      <vt:lpstr>Embryo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Microsoft Office User</cp:lastModifiedBy>
  <dcterms:created xsi:type="dcterms:W3CDTF">2021-10-30T10:19:06Z</dcterms:created>
  <dcterms:modified xsi:type="dcterms:W3CDTF">2022-05-20T14:12:58Z</dcterms:modified>
</cp:coreProperties>
</file>