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mario\Desktop\Examen de Excel\Repaso\"/>
    </mc:Choice>
  </mc:AlternateContent>
  <xr:revisionPtr revIDLastSave="0" documentId="13_ncr:1_{52C852DA-7C8F-40E2-A6C3-89328FA7829A}" xr6:coauthVersionLast="45" xr6:coauthVersionMax="45" xr10:uidLastSave="{00000000-0000-0000-0000-000000000000}"/>
  <bookViews>
    <workbookView xWindow="-120" yWindow="-120" windowWidth="29040" windowHeight="15990" firstSheet="5" activeTab="16" xr2:uid="{00000000-000D-0000-FFFF-FFFF00000000}"/>
  </bookViews>
  <sheets>
    <sheet name="Práctica V" sheetId="1" r:id="rId1"/>
    <sheet name="Práctica VI" sheetId="2" r:id="rId2"/>
    <sheet name="Práctica VI2" sheetId="3" r:id="rId3"/>
    <sheet name="PrácticaVI3" sheetId="4" r:id="rId4"/>
    <sheet name="EjemploManualSolver" sheetId="5" r:id="rId5"/>
    <sheet name="Práctica VII" sheetId="6" r:id="rId6"/>
    <sheet name="Hoja6" sheetId="7" r:id="rId7"/>
    <sheet name="Hoja7" sheetId="8" r:id="rId8"/>
    <sheet name="Hoja1" sheetId="9" r:id="rId9"/>
    <sheet name="Hoja2" sheetId="10" r:id="rId10"/>
    <sheet name="Hoja3" sheetId="11" r:id="rId11"/>
    <sheet name="Hoja4" sheetId="12" r:id="rId12"/>
    <sheet name="Hoja5" sheetId="13" r:id="rId13"/>
    <sheet name="Traductores" sheetId="14" r:id="rId14"/>
    <sheet name="Hoja9" sheetId="15" r:id="rId15"/>
    <sheet name="Hoja10" sheetId="16" r:id="rId16"/>
    <sheet name="Hoja11" sheetId="17" r:id="rId17"/>
  </sheets>
  <definedNames>
    <definedName name="solver_adj" localSheetId="4" hidden="1">EjemploManualSolver!$F$7:$F$8</definedName>
    <definedName name="solver_adj" localSheetId="8" hidden="1">Hoja1!$F$2:$F$3</definedName>
    <definedName name="solver_adj" localSheetId="9" hidden="1">Hoja2!$F$3:$F$4</definedName>
    <definedName name="solver_adj" localSheetId="10" hidden="1">Hoja3!$C$2:$C$3</definedName>
    <definedName name="solver_adj" localSheetId="11" hidden="1">Hoja4!$C$5:$D$5,Hoja4!$F$2:$F$3</definedName>
    <definedName name="solver_adj" localSheetId="12" hidden="1">Hoja5!$H$18:$H$19</definedName>
    <definedName name="solver_adj" localSheetId="6" hidden="1">Hoja6!$C$7:$C$8</definedName>
    <definedName name="solver_adj" localSheetId="7" hidden="1">Hoja7!$C$9:$E$9</definedName>
    <definedName name="solver_adj" localSheetId="0" hidden="1">'Práctica V'!$C$12:$C$15</definedName>
    <definedName name="solver_adj" localSheetId="1" hidden="1">'Práctica VI'!$I$12:$M$14</definedName>
    <definedName name="solver_adj" localSheetId="2" hidden="1">'Práctica VI2'!$I$12:$M$14</definedName>
    <definedName name="solver_adj" localSheetId="5" hidden="1">'Práctica VII'!$C$3:$D$4</definedName>
    <definedName name="solver_adj" localSheetId="3" hidden="1">PrácticaVI3!$I$12:$M$14</definedName>
    <definedName name="solver_adj" localSheetId="13" hidden="1">Traductores!$A$26:$A$31,Traductores!$C$10</definedName>
    <definedName name="solver_cvg" localSheetId="4" hidden="1">0.0001</definedName>
    <definedName name="solver_cvg" localSheetId="8" hidden="1">0.0001</definedName>
    <definedName name="solver_cvg" localSheetId="9" hidden="1">0.0001</definedName>
    <definedName name="solver_cvg" localSheetId="10" hidden="1">0.0001</definedName>
    <definedName name="solver_cvg" localSheetId="11" hidden="1">0.0001</definedName>
    <definedName name="solver_cvg" localSheetId="12" hidden="1">0.0001</definedName>
    <definedName name="solver_cvg" localSheetId="6" hidden="1">0.0001</definedName>
    <definedName name="solver_cvg" localSheetId="7" hidden="1">0.0001</definedName>
    <definedName name="solver_cvg" localSheetId="0" hidden="1">0.0001</definedName>
    <definedName name="solver_cvg" localSheetId="1" hidden="1">0.0001</definedName>
    <definedName name="solver_cvg" localSheetId="2" hidden="1">0.0001</definedName>
    <definedName name="solver_cvg" localSheetId="5" hidden="1">0.0001</definedName>
    <definedName name="solver_cvg" localSheetId="3" hidden="1">0.0001</definedName>
    <definedName name="solver_cvg" localSheetId="13" hidden="1">0.0001</definedName>
    <definedName name="solver_drv" localSheetId="4" hidden="1">1</definedName>
    <definedName name="solver_drv" localSheetId="8" hidden="1">1</definedName>
    <definedName name="solver_drv" localSheetId="9" hidden="1">1</definedName>
    <definedName name="solver_drv" localSheetId="10" hidden="1">2</definedName>
    <definedName name="solver_drv" localSheetId="11" hidden="1">2</definedName>
    <definedName name="solver_drv" localSheetId="12" hidden="1">1</definedName>
    <definedName name="solver_drv" localSheetId="6" hidden="1">1</definedName>
    <definedName name="solver_drv" localSheetId="7" hidden="1">2</definedName>
    <definedName name="solver_drv" localSheetId="0" hidden="1">1</definedName>
    <definedName name="solver_drv" localSheetId="1" hidden="1">1</definedName>
    <definedName name="solver_drv" localSheetId="2" hidden="1">1</definedName>
    <definedName name="solver_drv" localSheetId="5" hidden="1">1</definedName>
    <definedName name="solver_drv" localSheetId="3" hidden="1">1</definedName>
    <definedName name="solver_drv" localSheetId="13" hidden="1">1</definedName>
    <definedName name="solver_eng" localSheetId="4" hidden="1">2</definedName>
    <definedName name="solver_eng" localSheetId="8" hidden="1">2</definedName>
    <definedName name="solver_eng" localSheetId="9" hidden="1">2</definedName>
    <definedName name="solver_eng" localSheetId="10" hidden="1">2</definedName>
    <definedName name="solver_eng" localSheetId="11" hidden="1">2</definedName>
    <definedName name="solver_eng" localSheetId="12" hidden="1">2</definedName>
    <definedName name="solver_eng" localSheetId="6" hidden="1">2</definedName>
    <definedName name="solver_eng" localSheetId="7" hidden="1">2</definedName>
    <definedName name="solver_eng" localSheetId="0" hidden="1">2</definedName>
    <definedName name="solver_eng" localSheetId="1" hidden="1">2</definedName>
    <definedName name="solver_eng" localSheetId="2" hidden="1">2</definedName>
    <definedName name="solver_eng" localSheetId="5" hidden="1">2</definedName>
    <definedName name="solver_eng" localSheetId="3" hidden="1">2</definedName>
    <definedName name="solver_eng" localSheetId="13" hidden="1">2</definedName>
    <definedName name="solver_est" localSheetId="4" hidden="1">1</definedName>
    <definedName name="solver_est" localSheetId="8" hidden="1">1</definedName>
    <definedName name="solver_est" localSheetId="9" hidden="1">1</definedName>
    <definedName name="solver_est" localSheetId="10" hidden="1">1</definedName>
    <definedName name="solver_est" localSheetId="11" hidden="1">1</definedName>
    <definedName name="solver_est" localSheetId="12" hidden="1">1</definedName>
    <definedName name="solver_est" localSheetId="6" hidden="1">1</definedName>
    <definedName name="solver_est" localSheetId="7" hidden="1">1</definedName>
    <definedName name="solver_est" localSheetId="0" hidden="1">1</definedName>
    <definedName name="solver_est" localSheetId="1" hidden="1">1</definedName>
    <definedName name="solver_est" localSheetId="2" hidden="1">1</definedName>
    <definedName name="solver_est" localSheetId="5" hidden="1">1</definedName>
    <definedName name="solver_est" localSheetId="3" hidden="1">1</definedName>
    <definedName name="solver_est" localSheetId="13" hidden="1">1</definedName>
    <definedName name="solver_itr" localSheetId="4" hidden="1">2147483647</definedName>
    <definedName name="solver_itr" localSheetId="8" hidden="1">2147483647</definedName>
    <definedName name="solver_itr" localSheetId="9" hidden="1">2147483647</definedName>
    <definedName name="solver_itr" localSheetId="10" hidden="1">2147483647</definedName>
    <definedName name="solver_itr" localSheetId="11" hidden="1">2147483647</definedName>
    <definedName name="solver_itr" localSheetId="12" hidden="1">2147483647</definedName>
    <definedName name="solver_itr" localSheetId="6" hidden="1">2147483647</definedName>
    <definedName name="solver_itr" localSheetId="7" hidden="1">2147483647</definedName>
    <definedName name="solver_itr" localSheetId="0" hidden="1">2147483647</definedName>
    <definedName name="solver_itr" localSheetId="1" hidden="1">2147483647</definedName>
    <definedName name="solver_itr" localSheetId="2" hidden="1">2147483647</definedName>
    <definedName name="solver_itr" localSheetId="5" hidden="1">2147483647</definedName>
    <definedName name="solver_itr" localSheetId="3" hidden="1">2147483647</definedName>
    <definedName name="solver_itr" localSheetId="13" hidden="1">2147483647</definedName>
    <definedName name="solver_lhs1" localSheetId="4" hidden="1">EjemploManualSolver!$C$13</definedName>
    <definedName name="solver_lhs1" localSheetId="8" hidden="1">Hoja1!$F$8:$F$9</definedName>
    <definedName name="solver_lhs1" localSheetId="9" hidden="1">Hoja2!$C$14:$C$15</definedName>
    <definedName name="solver_lhs1" localSheetId="10" hidden="1">Hoja3!$B$11</definedName>
    <definedName name="solver_lhs1" localSheetId="11" hidden="1">Hoja4!$F$2</definedName>
    <definedName name="solver_lhs1" localSheetId="12" hidden="1">Hoja5!$D$28:$D$29</definedName>
    <definedName name="solver_lhs1" localSheetId="6" hidden="1">Hoja6!$M$2:$M$3</definedName>
    <definedName name="solver_lhs1" localSheetId="7" hidden="1">Hoja7!$C$9</definedName>
    <definedName name="solver_lhs1" localSheetId="0" hidden="1">'Práctica V'!$F$19:$F$21</definedName>
    <definedName name="solver_lhs1" localSheetId="1" hidden="1">'Práctica VI'!$C$19:$C$23</definedName>
    <definedName name="solver_lhs1" localSheetId="2" hidden="1">'Práctica VI2'!$C$19:$C$23</definedName>
    <definedName name="solver_lhs1" localSheetId="5" hidden="1">'Práctica VII'!$C$3:$D$4</definedName>
    <definedName name="solver_lhs1" localSheetId="3" hidden="1">PrácticaVI3!$C$19:$C$23</definedName>
    <definedName name="solver_lhs1" localSheetId="13" hidden="1">Traductores!$B$44:$B$49</definedName>
    <definedName name="solver_lhs2" localSheetId="4" hidden="1">EjemploManualSolver!$C$14</definedName>
    <definedName name="solver_lhs2" localSheetId="9" hidden="1">Hoja2!$F$3</definedName>
    <definedName name="solver_lhs2" localSheetId="10" hidden="1">Hoja3!$B$11</definedName>
    <definedName name="solver_lhs2" localSheetId="11" hidden="1">Hoja4!$I$2:$J$2</definedName>
    <definedName name="solver_lhs2" localSheetId="7" hidden="1">Hoja7!$C$9:$E$9</definedName>
    <definedName name="solver_lhs2" localSheetId="0" hidden="1">'Práctica V'!$F$20</definedName>
    <definedName name="solver_lhs2" localSheetId="1" hidden="1">'Práctica VI'!$N$12:$N$14</definedName>
    <definedName name="solver_lhs2" localSheetId="2" hidden="1">'Práctica VI2'!$N$12:$N$14</definedName>
    <definedName name="solver_lhs2" localSheetId="5" hidden="1">'Práctica VII'!$G$3:$G$4</definedName>
    <definedName name="solver_lhs2" localSheetId="3" hidden="1">PrácticaVI3!$N$12:$N$14</definedName>
    <definedName name="solver_lhs2" localSheetId="13" hidden="1">Traductores!$C$10</definedName>
    <definedName name="solver_lhs3" localSheetId="10" hidden="1">Hoja3!$C$2:$C$3</definedName>
    <definedName name="solver_lhs3" localSheetId="11" hidden="1">Hoja4!$I$2:$J$2</definedName>
    <definedName name="solver_lhs3" localSheetId="7" hidden="1">Hoja7!$D$9</definedName>
    <definedName name="solver_lhs3" localSheetId="1" hidden="1">'Práctica VI'!$N$12:$N$14</definedName>
    <definedName name="solver_lhs3" localSheetId="5" hidden="1">'Práctica VII'!$Q$2</definedName>
    <definedName name="solver_lhs4" localSheetId="7" hidden="1">Hoja7!$Q$3</definedName>
    <definedName name="solver_lhs4" localSheetId="1" hidden="1">'Práctica VI'!$N$12:$N$14</definedName>
    <definedName name="solver_lhs4" localSheetId="5" hidden="1">'Práctica VII'!$Q$3:$Q$4</definedName>
    <definedName name="solver_lhs5" localSheetId="1" hidden="1">'Práctica VI'!$N$12:$N$14</definedName>
    <definedName name="solver_lhs6" localSheetId="1" hidden="1">'Práctica VI'!$N$12:$N$14</definedName>
    <definedName name="solver_mip" localSheetId="4" hidden="1">2147483647</definedName>
    <definedName name="solver_mip" localSheetId="8" hidden="1">2147483647</definedName>
    <definedName name="solver_mip" localSheetId="9" hidden="1">2147483647</definedName>
    <definedName name="solver_mip" localSheetId="10" hidden="1">2147483647</definedName>
    <definedName name="solver_mip" localSheetId="11" hidden="1">2147483647</definedName>
    <definedName name="solver_mip" localSheetId="12" hidden="1">2147483647</definedName>
    <definedName name="solver_mip" localSheetId="6" hidden="1">2147483647</definedName>
    <definedName name="solver_mip" localSheetId="7" hidden="1">2147483647</definedName>
    <definedName name="solver_mip" localSheetId="0" hidden="1">2147483647</definedName>
    <definedName name="solver_mip" localSheetId="1" hidden="1">2147483647</definedName>
    <definedName name="solver_mip" localSheetId="2" hidden="1">2147483647</definedName>
    <definedName name="solver_mip" localSheetId="5" hidden="1">2147483647</definedName>
    <definedName name="solver_mip" localSheetId="3" hidden="1">2147483647</definedName>
    <definedName name="solver_mip" localSheetId="13" hidden="1">2147483647</definedName>
    <definedName name="solver_mni" localSheetId="4" hidden="1">30</definedName>
    <definedName name="solver_mni" localSheetId="8" hidden="1">30</definedName>
    <definedName name="solver_mni" localSheetId="9" hidden="1">30</definedName>
    <definedName name="solver_mni" localSheetId="10" hidden="1">30</definedName>
    <definedName name="solver_mni" localSheetId="11" hidden="1">30</definedName>
    <definedName name="solver_mni" localSheetId="12" hidden="1">30</definedName>
    <definedName name="solver_mni" localSheetId="6" hidden="1">30</definedName>
    <definedName name="solver_mni" localSheetId="7" hidden="1">30</definedName>
    <definedName name="solver_mni" localSheetId="0" hidden="1">30</definedName>
    <definedName name="solver_mni" localSheetId="1" hidden="1">30</definedName>
    <definedName name="solver_mni" localSheetId="2" hidden="1">30</definedName>
    <definedName name="solver_mni" localSheetId="5" hidden="1">30</definedName>
    <definedName name="solver_mni" localSheetId="3" hidden="1">30</definedName>
    <definedName name="solver_mni" localSheetId="13" hidden="1">30</definedName>
    <definedName name="solver_mrt" localSheetId="4" hidden="1">0.075</definedName>
    <definedName name="solver_mrt" localSheetId="8" hidden="1">0.075</definedName>
    <definedName name="solver_mrt" localSheetId="9" hidden="1">0.075</definedName>
    <definedName name="solver_mrt" localSheetId="10" hidden="1">0.075</definedName>
    <definedName name="solver_mrt" localSheetId="11" hidden="1">0.075</definedName>
    <definedName name="solver_mrt" localSheetId="12" hidden="1">0.075</definedName>
    <definedName name="solver_mrt" localSheetId="6" hidden="1">0.075</definedName>
    <definedName name="solver_mrt" localSheetId="7" hidden="1">0.075</definedName>
    <definedName name="solver_mrt" localSheetId="0" hidden="1">0.075</definedName>
    <definedName name="solver_mrt" localSheetId="1" hidden="1">0.075</definedName>
    <definedName name="solver_mrt" localSheetId="2" hidden="1">0.075</definedName>
    <definedName name="solver_mrt" localSheetId="5" hidden="1">0.075</definedName>
    <definedName name="solver_mrt" localSheetId="3" hidden="1">0.075</definedName>
    <definedName name="solver_mrt" localSheetId="13" hidden="1">0.075</definedName>
    <definedName name="solver_msl" localSheetId="4" hidden="1">2</definedName>
    <definedName name="solver_msl" localSheetId="8" hidden="1">2</definedName>
    <definedName name="solver_msl" localSheetId="9" hidden="1">2</definedName>
    <definedName name="solver_msl" localSheetId="10" hidden="1">2</definedName>
    <definedName name="solver_msl" localSheetId="11" hidden="1">2</definedName>
    <definedName name="solver_msl" localSheetId="12" hidden="1">2</definedName>
    <definedName name="solver_msl" localSheetId="6" hidden="1">2</definedName>
    <definedName name="solver_msl" localSheetId="7" hidden="1">2</definedName>
    <definedName name="solver_msl" localSheetId="0" hidden="1">2</definedName>
    <definedName name="solver_msl" localSheetId="1" hidden="1">2</definedName>
    <definedName name="solver_msl" localSheetId="2" hidden="1">2</definedName>
    <definedName name="solver_msl" localSheetId="5" hidden="1">2</definedName>
    <definedName name="solver_msl" localSheetId="3" hidden="1">2</definedName>
    <definedName name="solver_msl" localSheetId="13" hidden="1">2</definedName>
    <definedName name="solver_neg" localSheetId="4" hidden="1">1</definedName>
    <definedName name="solver_neg" localSheetId="8" hidden="1">1</definedName>
    <definedName name="solver_neg" localSheetId="9" hidden="1">1</definedName>
    <definedName name="solver_neg" localSheetId="10" hidden="1">1</definedName>
    <definedName name="solver_neg" localSheetId="11" hidden="1">1</definedName>
    <definedName name="solver_neg" localSheetId="12" hidden="1">1</definedName>
    <definedName name="solver_neg" localSheetId="6" hidden="1">1</definedName>
    <definedName name="solver_neg" localSheetId="7" hidden="1">1</definedName>
    <definedName name="solver_neg" localSheetId="0" hidden="1">1</definedName>
    <definedName name="solver_neg" localSheetId="1" hidden="1">1</definedName>
    <definedName name="solver_neg" localSheetId="2" hidden="1">1</definedName>
    <definedName name="solver_neg" localSheetId="5" hidden="1">1</definedName>
    <definedName name="solver_neg" localSheetId="3" hidden="1">1</definedName>
    <definedName name="solver_neg" localSheetId="13" hidden="1">1</definedName>
    <definedName name="solver_nod" localSheetId="4" hidden="1">2147483647</definedName>
    <definedName name="solver_nod" localSheetId="8" hidden="1">2147483647</definedName>
    <definedName name="solver_nod" localSheetId="9" hidden="1">2147483647</definedName>
    <definedName name="solver_nod" localSheetId="10" hidden="1">2147483647</definedName>
    <definedName name="solver_nod" localSheetId="11" hidden="1">2147483647</definedName>
    <definedName name="solver_nod" localSheetId="12" hidden="1">2147483647</definedName>
    <definedName name="solver_nod" localSheetId="6" hidden="1">2147483647</definedName>
    <definedName name="solver_nod" localSheetId="7" hidden="1">2147483647</definedName>
    <definedName name="solver_nod" localSheetId="0" hidden="1">2147483647</definedName>
    <definedName name="solver_nod" localSheetId="1" hidden="1">2147483647</definedName>
    <definedName name="solver_nod" localSheetId="2" hidden="1">2147483647</definedName>
    <definedName name="solver_nod" localSheetId="5" hidden="1">2147483647</definedName>
    <definedName name="solver_nod" localSheetId="3" hidden="1">2147483647</definedName>
    <definedName name="solver_nod" localSheetId="13" hidden="1">2147483647</definedName>
    <definedName name="solver_num" localSheetId="4" hidden="1">2</definedName>
    <definedName name="solver_num" localSheetId="8" hidden="1">1</definedName>
    <definedName name="solver_num" localSheetId="9" hidden="1">2</definedName>
    <definedName name="solver_num" localSheetId="10" hidden="1">3</definedName>
    <definedName name="solver_num" localSheetId="11" hidden="1">2</definedName>
    <definedName name="solver_num" localSheetId="12" hidden="1">1</definedName>
    <definedName name="solver_num" localSheetId="6" hidden="1">1</definedName>
    <definedName name="solver_num" localSheetId="7" hidden="1">4</definedName>
    <definedName name="solver_num" localSheetId="0" hidden="1">1</definedName>
    <definedName name="solver_num" localSheetId="1" hidden="1">2</definedName>
    <definedName name="solver_num" localSheetId="2" hidden="1">2</definedName>
    <definedName name="solver_num" localSheetId="5" hidden="1">4</definedName>
    <definedName name="solver_num" localSheetId="3" hidden="1">2</definedName>
    <definedName name="solver_num" localSheetId="13" hidden="1">2</definedName>
    <definedName name="solver_nwt" localSheetId="4" hidden="1">1</definedName>
    <definedName name="solver_nwt" localSheetId="8" hidden="1">1</definedName>
    <definedName name="solver_nwt" localSheetId="9" hidden="1">1</definedName>
    <definedName name="solver_nwt" localSheetId="10" hidden="1">1</definedName>
    <definedName name="solver_nwt" localSheetId="11" hidden="1">1</definedName>
    <definedName name="solver_nwt" localSheetId="12" hidden="1">1</definedName>
    <definedName name="solver_nwt" localSheetId="6" hidden="1">1</definedName>
    <definedName name="solver_nwt" localSheetId="7" hidden="1">1</definedName>
    <definedName name="solver_nwt" localSheetId="0" hidden="1">1</definedName>
    <definedName name="solver_nwt" localSheetId="1" hidden="1">1</definedName>
    <definedName name="solver_nwt" localSheetId="2" hidden="1">1</definedName>
    <definedName name="solver_nwt" localSheetId="5" hidden="1">1</definedName>
    <definedName name="solver_nwt" localSheetId="3" hidden="1">1</definedName>
    <definedName name="solver_nwt" localSheetId="13" hidden="1">1</definedName>
    <definedName name="solver_opt" localSheetId="4" hidden="1">EjemploManualSolver!$I$12</definedName>
    <definedName name="solver_opt" localSheetId="8" hidden="1">Hoja1!$H$8</definedName>
    <definedName name="solver_opt" localSheetId="9" hidden="1">Hoja2!$F$9</definedName>
    <definedName name="solver_opt" localSheetId="10" hidden="1">Hoja3!$G$3</definedName>
    <definedName name="solver_opt" localSheetId="11" hidden="1">Hoja4!$G$11</definedName>
    <definedName name="solver_opt" localSheetId="12" hidden="1">Hoja5!$G$27</definedName>
    <definedName name="solver_opt" localSheetId="6" hidden="1">Hoja6!$J$9</definedName>
    <definedName name="solver_opt" localSheetId="7" hidden="1">Hoja7!$L$13</definedName>
    <definedName name="solver_opt" localSheetId="0" hidden="1">'Práctica V'!$L$13</definedName>
    <definedName name="solver_opt" localSheetId="1" hidden="1">'Práctica VI'!$D$14</definedName>
    <definedName name="solver_opt" localSheetId="2" hidden="1">'Práctica VI2'!$D$14</definedName>
    <definedName name="solver_opt" localSheetId="5" hidden="1">'Práctica VII'!$F$16</definedName>
    <definedName name="solver_opt" localSheetId="3" hidden="1">PrácticaVI3!$D$14</definedName>
    <definedName name="solver_opt" localSheetId="13" hidden="1">Traductores!$D$38</definedName>
    <definedName name="solver_pre" localSheetId="4" hidden="1">0.000001</definedName>
    <definedName name="solver_pre" localSheetId="8" hidden="1">0.000001</definedName>
    <definedName name="solver_pre" localSheetId="9" hidden="1">0.000001</definedName>
    <definedName name="solver_pre" localSheetId="10" hidden="1">0.000001</definedName>
    <definedName name="solver_pre" localSheetId="11" hidden="1">0.000001</definedName>
    <definedName name="solver_pre" localSheetId="12" hidden="1">0.000001</definedName>
    <definedName name="solver_pre" localSheetId="6" hidden="1">0.000001</definedName>
    <definedName name="solver_pre" localSheetId="7" hidden="1">0.000001</definedName>
    <definedName name="solver_pre" localSheetId="0" hidden="1">0.000001</definedName>
    <definedName name="solver_pre" localSheetId="1" hidden="1">0.000001</definedName>
    <definedName name="solver_pre" localSheetId="2" hidden="1">0.000001</definedName>
    <definedName name="solver_pre" localSheetId="5" hidden="1">0.000001</definedName>
    <definedName name="solver_pre" localSheetId="3" hidden="1">0.000001</definedName>
    <definedName name="solver_pre" localSheetId="13" hidden="1">0.000001</definedName>
    <definedName name="solver_rbv" localSheetId="4" hidden="1">1</definedName>
    <definedName name="solver_rbv" localSheetId="8" hidden="1">1</definedName>
    <definedName name="solver_rbv" localSheetId="9" hidden="1">1</definedName>
    <definedName name="solver_rbv" localSheetId="10" hidden="1">2</definedName>
    <definedName name="solver_rbv" localSheetId="11" hidden="1">2</definedName>
    <definedName name="solver_rbv" localSheetId="12" hidden="1">1</definedName>
    <definedName name="solver_rbv" localSheetId="6" hidden="1">1</definedName>
    <definedName name="solver_rbv" localSheetId="7" hidden="1">2</definedName>
    <definedName name="solver_rbv" localSheetId="0" hidden="1">1</definedName>
    <definedName name="solver_rbv" localSheetId="1" hidden="1">1</definedName>
    <definedName name="solver_rbv" localSheetId="2" hidden="1">1</definedName>
    <definedName name="solver_rbv" localSheetId="5" hidden="1">1</definedName>
    <definedName name="solver_rbv" localSheetId="3" hidden="1">1</definedName>
    <definedName name="solver_rbv" localSheetId="13" hidden="1">1</definedName>
    <definedName name="solver_rel1" localSheetId="4" hidden="1">1</definedName>
    <definedName name="solver_rel1" localSheetId="8" hidden="1">1</definedName>
    <definedName name="solver_rel1" localSheetId="9" hidden="1">1</definedName>
    <definedName name="solver_rel1" localSheetId="10" hidden="1">1</definedName>
    <definedName name="solver_rel1" localSheetId="11" hidden="1">1</definedName>
    <definedName name="solver_rel1" localSheetId="12" hidden="1">2</definedName>
    <definedName name="solver_rel1" localSheetId="6" hidden="1">1</definedName>
    <definedName name="solver_rel1" localSheetId="7" hidden="1">3</definedName>
    <definedName name="solver_rel1" localSheetId="0" hidden="1">2</definedName>
    <definedName name="solver_rel1" localSheetId="1" hidden="1">2</definedName>
    <definedName name="solver_rel1" localSheetId="2" hidden="1">2</definedName>
    <definedName name="solver_rel1" localSheetId="5" hidden="1">1</definedName>
    <definedName name="solver_rel1" localSheetId="3" hidden="1">2</definedName>
    <definedName name="solver_rel1" localSheetId="13" hidden="1">3</definedName>
    <definedName name="solver_rel2" localSheetId="4" hidden="1">1</definedName>
    <definedName name="solver_rel2" localSheetId="9" hidden="1">1</definedName>
    <definedName name="solver_rel2" localSheetId="10" hidden="1">3</definedName>
    <definedName name="solver_rel2" localSheetId="11" hidden="1">1</definedName>
    <definedName name="solver_rel2" localSheetId="7" hidden="1">4</definedName>
    <definedName name="solver_rel2" localSheetId="0" hidden="1">2</definedName>
    <definedName name="solver_rel2" localSheetId="1" hidden="1">1</definedName>
    <definedName name="solver_rel2" localSheetId="2" hidden="1">1</definedName>
    <definedName name="solver_rel2" localSheetId="5" hidden="1">1</definedName>
    <definedName name="solver_rel2" localSheetId="3" hidden="1">1</definedName>
    <definedName name="solver_rel2" localSheetId="13" hidden="1">4</definedName>
    <definedName name="solver_rel3" localSheetId="10" hidden="1">1</definedName>
    <definedName name="solver_rel3" localSheetId="11" hidden="1">1</definedName>
    <definedName name="solver_rel3" localSheetId="7" hidden="1">2</definedName>
    <definedName name="solver_rel3" localSheetId="1" hidden="1">1</definedName>
    <definedName name="solver_rel3" localSheetId="5" hidden="1">2</definedName>
    <definedName name="solver_rel4" localSheetId="7" hidden="1">1</definedName>
    <definedName name="solver_rel4" localSheetId="1" hidden="1">1</definedName>
    <definedName name="solver_rel4" localSheetId="5" hidden="1">1</definedName>
    <definedName name="solver_rel5" localSheetId="1" hidden="1">1</definedName>
    <definedName name="solver_rel6" localSheetId="1" hidden="1">1</definedName>
    <definedName name="solver_rhs1" localSheetId="4" hidden="1">EjemploManualSolver!$C$8</definedName>
    <definedName name="solver_rhs1" localSheetId="8" hidden="1">Hoja1!$C$8:$C$9</definedName>
    <definedName name="solver_rhs1" localSheetId="9" hidden="1">Hoja2!$C$8:$C$9</definedName>
    <definedName name="solver_rhs1" localSheetId="10" hidden="1">Hoja3!$C$12</definedName>
    <definedName name="solver_rhs1" localSheetId="11" hidden="1">Hoja4!$D$14</definedName>
    <definedName name="solver_rhs1" localSheetId="12" hidden="1">Hoja5!$D$23:$D$24</definedName>
    <definedName name="solver_rhs1" localSheetId="6" hidden="1">Hoja6!$J$2:$J$3</definedName>
    <definedName name="solver_rhs1" localSheetId="7" hidden="1">Hoja7!$N$4</definedName>
    <definedName name="solver_rhs1" localSheetId="0" hidden="1">'Práctica V'!$C$19:$C$21</definedName>
    <definedName name="solver_rhs1" localSheetId="1" hidden="1">'Práctica VI'!$F$3:$F$7</definedName>
    <definedName name="solver_rhs1" localSheetId="2" hidden="1">'Práctica VI2'!$F$3:$F$7</definedName>
    <definedName name="solver_rhs1" localSheetId="5" hidden="1">'Práctica VII'!$J$10:$K$11</definedName>
    <definedName name="solver_rhs1" localSheetId="3" hidden="1">PrácticaVI3!$F$3:$F$7</definedName>
    <definedName name="solver_rhs1" localSheetId="13" hidden="1">Traductores!$A$3:$A$8</definedName>
    <definedName name="solver_rhs2" localSheetId="4" hidden="1">EjemploManualSolver!$C$7</definedName>
    <definedName name="solver_rhs2" localSheetId="9" hidden="1">Hoja2!$C$10</definedName>
    <definedName name="solver_rhs2" localSheetId="10" hidden="1">Hoja3!$B$12</definedName>
    <definedName name="solver_rhs2" localSheetId="11" hidden="1">Hoja4!$B$11:$C$11</definedName>
    <definedName name="solver_rhs2" localSheetId="7" hidden="1">entero</definedName>
    <definedName name="solver_rhs2" localSheetId="0" hidden="1">'Práctica V'!$C$20</definedName>
    <definedName name="solver_rhs2" localSheetId="1" hidden="1">'Práctica VI'!$C$3:$C$5</definedName>
    <definedName name="solver_rhs2" localSheetId="2" hidden="1">'Práctica VI2'!$C$3:$C$5</definedName>
    <definedName name="solver_rhs2" localSheetId="5" hidden="1">'Práctica VII'!$N$10:$N$11</definedName>
    <definedName name="solver_rhs2" localSheetId="3" hidden="1">PrácticaVI3!$C$3:$C$5</definedName>
    <definedName name="solver_rhs2" localSheetId="13" hidden="1">entero</definedName>
    <definedName name="solver_rhs3" localSheetId="10" hidden="1">Hoja3!$E$7:$E$8</definedName>
    <definedName name="solver_rhs3" localSheetId="11" hidden="1">Hoja4!$B$11:$C$11</definedName>
    <definedName name="solver_rhs3" localSheetId="7" hidden="1">Hoja7!$N$5</definedName>
    <definedName name="solver_rhs3" localSheetId="1" hidden="1">'Práctica VI'!$C$3:$C$5</definedName>
    <definedName name="solver_rhs3" localSheetId="5" hidden="1">'Práctica VII'!$J$3</definedName>
    <definedName name="solver_rhs4" localSheetId="7" hidden="1">Hoja7!$I$3</definedName>
    <definedName name="solver_rhs4" localSheetId="1" hidden="1">'Práctica VI'!$C$3:$C$5</definedName>
    <definedName name="solver_rhs4" localSheetId="5" hidden="1">'Práctica VII'!$L$3:$L$4</definedName>
    <definedName name="solver_rhs5" localSheetId="1" hidden="1">'Práctica VI'!$C$3:$C$5</definedName>
    <definedName name="solver_rhs6" localSheetId="1" hidden="1">'Práctica VI'!$C$3:$C$5</definedName>
    <definedName name="solver_rlx" localSheetId="4" hidden="1">2</definedName>
    <definedName name="solver_rlx" localSheetId="8" hidden="1">2</definedName>
    <definedName name="solver_rlx" localSheetId="9" hidden="1">2</definedName>
    <definedName name="solver_rlx" localSheetId="10" hidden="1">2</definedName>
    <definedName name="solver_rlx" localSheetId="11" hidden="1">2</definedName>
    <definedName name="solver_rlx" localSheetId="12" hidden="1">2</definedName>
    <definedName name="solver_rlx" localSheetId="6" hidden="1">2</definedName>
    <definedName name="solver_rlx" localSheetId="7" hidden="1">2</definedName>
    <definedName name="solver_rlx" localSheetId="0" hidden="1">2</definedName>
    <definedName name="solver_rlx" localSheetId="1" hidden="1">2</definedName>
    <definedName name="solver_rlx" localSheetId="2" hidden="1">2</definedName>
    <definedName name="solver_rlx" localSheetId="5" hidden="1">2</definedName>
    <definedName name="solver_rlx" localSheetId="3" hidden="1">2</definedName>
    <definedName name="solver_rlx" localSheetId="13" hidden="1">2</definedName>
    <definedName name="solver_rsd" localSheetId="4" hidden="1">0</definedName>
    <definedName name="solver_rsd" localSheetId="8" hidden="1">0</definedName>
    <definedName name="solver_rsd" localSheetId="9" hidden="1">0</definedName>
    <definedName name="solver_rsd" localSheetId="10" hidden="1">0</definedName>
    <definedName name="solver_rsd" localSheetId="11" hidden="1">0</definedName>
    <definedName name="solver_rsd" localSheetId="12" hidden="1">0</definedName>
    <definedName name="solver_rsd" localSheetId="6" hidden="1">0</definedName>
    <definedName name="solver_rsd" localSheetId="7" hidden="1">0</definedName>
    <definedName name="solver_rsd" localSheetId="0" hidden="1">0</definedName>
    <definedName name="solver_rsd" localSheetId="1" hidden="1">0</definedName>
    <definedName name="solver_rsd" localSheetId="2" hidden="1">0</definedName>
    <definedName name="solver_rsd" localSheetId="5" hidden="1">0</definedName>
    <definedName name="solver_rsd" localSheetId="3" hidden="1">0</definedName>
    <definedName name="solver_rsd" localSheetId="13" hidden="1">0</definedName>
    <definedName name="solver_scl" localSheetId="4" hidden="1">1</definedName>
    <definedName name="solver_scl" localSheetId="8" hidden="1">1</definedName>
    <definedName name="solver_scl" localSheetId="9" hidden="1">1</definedName>
    <definedName name="solver_scl" localSheetId="10" hidden="1">2</definedName>
    <definedName name="solver_scl" localSheetId="11" hidden="1">2</definedName>
    <definedName name="solver_scl" localSheetId="12" hidden="1">1</definedName>
    <definedName name="solver_scl" localSheetId="6" hidden="1">1</definedName>
    <definedName name="solver_scl" localSheetId="7" hidden="1">2</definedName>
    <definedName name="solver_scl" localSheetId="0" hidden="1">1</definedName>
    <definedName name="solver_scl" localSheetId="1" hidden="1">1</definedName>
    <definedName name="solver_scl" localSheetId="2" hidden="1">1</definedName>
    <definedName name="solver_scl" localSheetId="5" hidden="1">1</definedName>
    <definedName name="solver_scl" localSheetId="3" hidden="1">1</definedName>
    <definedName name="solver_scl" localSheetId="13" hidden="1">1</definedName>
    <definedName name="solver_sho" localSheetId="4" hidden="1">2</definedName>
    <definedName name="solver_sho" localSheetId="8" hidden="1">2</definedName>
    <definedName name="solver_sho" localSheetId="9" hidden="1">2</definedName>
    <definedName name="solver_sho" localSheetId="10" hidden="1">2</definedName>
    <definedName name="solver_sho" localSheetId="11" hidden="1">2</definedName>
    <definedName name="solver_sho" localSheetId="12" hidden="1">2</definedName>
    <definedName name="solver_sho" localSheetId="6" hidden="1">2</definedName>
    <definedName name="solver_sho" localSheetId="7" hidden="1">2</definedName>
    <definedName name="solver_sho" localSheetId="0" hidden="1">2</definedName>
    <definedName name="solver_sho" localSheetId="1" hidden="1">2</definedName>
    <definedName name="solver_sho" localSheetId="2" hidden="1">2</definedName>
    <definedName name="solver_sho" localSheetId="5" hidden="1">2</definedName>
    <definedName name="solver_sho" localSheetId="3" hidden="1">2</definedName>
    <definedName name="solver_sho" localSheetId="13" hidden="1">2</definedName>
    <definedName name="solver_ssz" localSheetId="4" hidden="1">100</definedName>
    <definedName name="solver_ssz" localSheetId="8" hidden="1">100</definedName>
    <definedName name="solver_ssz" localSheetId="9" hidden="1">100</definedName>
    <definedName name="solver_ssz" localSheetId="10" hidden="1">100</definedName>
    <definedName name="solver_ssz" localSheetId="11" hidden="1">100</definedName>
    <definedName name="solver_ssz" localSheetId="12" hidden="1">100</definedName>
    <definedName name="solver_ssz" localSheetId="6" hidden="1">100</definedName>
    <definedName name="solver_ssz" localSheetId="7" hidden="1">100</definedName>
    <definedName name="solver_ssz" localSheetId="0" hidden="1">100</definedName>
    <definedName name="solver_ssz" localSheetId="1" hidden="1">100</definedName>
    <definedName name="solver_ssz" localSheetId="2" hidden="1">100</definedName>
    <definedName name="solver_ssz" localSheetId="5" hidden="1">100</definedName>
    <definedName name="solver_ssz" localSheetId="3" hidden="1">100</definedName>
    <definedName name="solver_ssz" localSheetId="13" hidden="1">100</definedName>
    <definedName name="solver_tim" localSheetId="4" hidden="1">2147483647</definedName>
    <definedName name="solver_tim" localSheetId="8" hidden="1">2147483647</definedName>
    <definedName name="solver_tim" localSheetId="9" hidden="1">2147483647</definedName>
    <definedName name="solver_tim" localSheetId="10" hidden="1">2147483647</definedName>
    <definedName name="solver_tim" localSheetId="11" hidden="1">2147483647</definedName>
    <definedName name="solver_tim" localSheetId="12" hidden="1">2147483647</definedName>
    <definedName name="solver_tim" localSheetId="6" hidden="1">2147483647</definedName>
    <definedName name="solver_tim" localSheetId="7" hidden="1">2147483647</definedName>
    <definedName name="solver_tim" localSheetId="0" hidden="1">2147483647</definedName>
    <definedName name="solver_tim" localSheetId="1" hidden="1">2147483647</definedName>
    <definedName name="solver_tim" localSheetId="2" hidden="1">2147483647</definedName>
    <definedName name="solver_tim" localSheetId="5" hidden="1">2147483647</definedName>
    <definedName name="solver_tim" localSheetId="3" hidden="1">2147483647</definedName>
    <definedName name="solver_tim" localSheetId="13" hidden="1">2147483647</definedName>
    <definedName name="solver_tol" localSheetId="4" hidden="1">0.01</definedName>
    <definedName name="solver_tol" localSheetId="8" hidden="1">0.01</definedName>
    <definedName name="solver_tol" localSheetId="9" hidden="1">0.01</definedName>
    <definedName name="solver_tol" localSheetId="10" hidden="1">0.01</definedName>
    <definedName name="solver_tol" localSheetId="11" hidden="1">0.01</definedName>
    <definedName name="solver_tol" localSheetId="12" hidden="1">0.01</definedName>
    <definedName name="solver_tol" localSheetId="6" hidden="1">0.01</definedName>
    <definedName name="solver_tol" localSheetId="7" hidden="1">0.01</definedName>
    <definedName name="solver_tol" localSheetId="0" hidden="1">0.01</definedName>
    <definedName name="solver_tol" localSheetId="1" hidden="1">0.01</definedName>
    <definedName name="solver_tol" localSheetId="2" hidden="1">0.01</definedName>
    <definedName name="solver_tol" localSheetId="5" hidden="1">0.01</definedName>
    <definedName name="solver_tol" localSheetId="3" hidden="1">0.01</definedName>
    <definedName name="solver_tol" localSheetId="13" hidden="1">0.01</definedName>
    <definedName name="solver_typ" localSheetId="4" hidden="1">1</definedName>
    <definedName name="solver_typ" localSheetId="8" hidden="1">1</definedName>
    <definedName name="solver_typ" localSheetId="9" hidden="1">1</definedName>
    <definedName name="solver_typ" localSheetId="10" hidden="1">1</definedName>
    <definedName name="solver_typ" localSheetId="11" hidden="1">1</definedName>
    <definedName name="solver_typ" localSheetId="12" hidden="1">2</definedName>
    <definedName name="solver_typ" localSheetId="6" hidden="1">1</definedName>
    <definedName name="solver_typ" localSheetId="7" hidden="1">1</definedName>
    <definedName name="solver_typ" localSheetId="0" hidden="1">2</definedName>
    <definedName name="solver_typ" localSheetId="1" hidden="1">2</definedName>
    <definedName name="solver_typ" localSheetId="2" hidden="1">2</definedName>
    <definedName name="solver_typ" localSheetId="5" hidden="1">2</definedName>
    <definedName name="solver_typ" localSheetId="3" hidden="1">2</definedName>
    <definedName name="solver_typ" localSheetId="13" hidden="1">2</definedName>
    <definedName name="solver_val" localSheetId="4" hidden="1">0</definedName>
    <definedName name="solver_val" localSheetId="8" hidden="1">0</definedName>
    <definedName name="solver_val" localSheetId="9" hidden="1">0</definedName>
    <definedName name="solver_val" localSheetId="10" hidden="1">0</definedName>
    <definedName name="solver_val" localSheetId="11" hidden="1">0</definedName>
    <definedName name="solver_val" localSheetId="12" hidden="1">0</definedName>
    <definedName name="solver_val" localSheetId="6" hidden="1">0</definedName>
    <definedName name="solver_val" localSheetId="7" hidden="1">0</definedName>
    <definedName name="solver_val" localSheetId="0" hidden="1">0</definedName>
    <definedName name="solver_val" localSheetId="1" hidden="1">0</definedName>
    <definedName name="solver_val" localSheetId="2" hidden="1">0</definedName>
    <definedName name="solver_val" localSheetId="5" hidden="1">0</definedName>
    <definedName name="solver_val" localSheetId="3" hidden="1">0</definedName>
    <definedName name="solver_val" localSheetId="13" hidden="1">0</definedName>
    <definedName name="solver_ver" localSheetId="4" hidden="1">3</definedName>
    <definedName name="solver_ver" localSheetId="8" hidden="1">3</definedName>
    <definedName name="solver_ver" localSheetId="9" hidden="1">3</definedName>
    <definedName name="solver_ver" localSheetId="10" hidden="1">3</definedName>
    <definedName name="solver_ver" localSheetId="11" hidden="1">3</definedName>
    <definedName name="solver_ver" localSheetId="12" hidden="1">3</definedName>
    <definedName name="solver_ver" localSheetId="6" hidden="1">3</definedName>
    <definedName name="solver_ver" localSheetId="7" hidden="1">3</definedName>
    <definedName name="solver_ver" localSheetId="0" hidden="1">3</definedName>
    <definedName name="solver_ver" localSheetId="1" hidden="1">3</definedName>
    <definedName name="solver_ver" localSheetId="2" hidden="1">3</definedName>
    <definedName name="solver_ver" localSheetId="5" hidden="1">3</definedName>
    <definedName name="solver_ver" localSheetId="3" hidden="1">3</definedName>
    <definedName name="solver_ver" localSheetId="13" hidden="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15" i="17" l="1"/>
  <c r="Q7" i="17"/>
  <c r="L15" i="17"/>
  <c r="L7" i="17"/>
  <c r="I39" i="17"/>
  <c r="H39" i="17"/>
  <c r="G39" i="17"/>
  <c r="F39" i="17"/>
  <c r="I35" i="17"/>
  <c r="H35" i="17"/>
  <c r="G35" i="17"/>
  <c r="F35" i="17"/>
  <c r="Q14" i="17"/>
  <c r="Q6" i="17"/>
  <c r="L14" i="17"/>
  <c r="L6" i="17"/>
  <c r="I38" i="17" a="1"/>
  <c r="I38" i="17" s="1"/>
  <c r="H38" i="17" a="1"/>
  <c r="H38" i="17" s="1"/>
  <c r="G38" i="17" a="1"/>
  <c r="G38" i="17" s="1"/>
  <c r="F38" i="17" a="1"/>
  <c r="F38" i="17" s="1"/>
  <c r="I34" i="17"/>
  <c r="H34" i="17"/>
  <c r="F34" i="17"/>
  <c r="G34" i="17"/>
  <c r="I29" i="17"/>
  <c r="I30" i="17"/>
  <c r="I31" i="17"/>
  <c r="I32" i="17"/>
  <c r="H29" i="17"/>
  <c r="H30" i="17"/>
  <c r="H31" i="17"/>
  <c r="H32" i="17"/>
  <c r="G29" i="17"/>
  <c r="G30" i="17"/>
  <c r="G31" i="17"/>
  <c r="G32" i="17"/>
  <c r="I28" i="17"/>
  <c r="H28" i="17"/>
  <c r="G28" i="17"/>
  <c r="F29" i="17"/>
  <c r="F30" i="17"/>
  <c r="F31" i="17"/>
  <c r="F32" i="17"/>
  <c r="F28" i="17"/>
  <c r="C29" i="17"/>
  <c r="C30" i="17"/>
  <c r="C31" i="17"/>
  <c r="C32" i="17"/>
  <c r="C28" i="17"/>
  <c r="H5" i="17"/>
  <c r="H6" i="17"/>
  <c r="H7" i="17"/>
  <c r="H8" i="17"/>
  <c r="H9" i="17"/>
  <c r="H10" i="17"/>
  <c r="H11" i="17"/>
  <c r="H12" i="17"/>
  <c r="H13" i="17"/>
  <c r="H14" i="17"/>
  <c r="H15" i="17"/>
  <c r="H16" i="17"/>
  <c r="H17" i="17"/>
  <c r="H18" i="17"/>
  <c r="H19" i="17"/>
  <c r="H20" i="17"/>
  <c r="H4" i="17"/>
  <c r="B29" i="17"/>
  <c r="B30" i="17"/>
  <c r="B31" i="17"/>
  <c r="B32" i="17"/>
  <c r="B28" i="17"/>
  <c r="T5" i="16" l="1"/>
  <c r="T3" i="16"/>
  <c r="K7" i="16"/>
  <c r="K8" i="16"/>
  <c r="K9" i="16"/>
  <c r="K10" i="16"/>
  <c r="K14" i="16"/>
  <c r="K16" i="16"/>
  <c r="K17" i="16"/>
  <c r="K18" i="16"/>
  <c r="K20" i="16"/>
  <c r="B23" i="16"/>
  <c r="I4" i="16"/>
  <c r="I5" i="16"/>
  <c r="I6" i="16"/>
  <c r="I7" i="16"/>
  <c r="I8" i="16"/>
  <c r="I9" i="16"/>
  <c r="I10" i="16"/>
  <c r="I11" i="16"/>
  <c r="I12" i="16"/>
  <c r="I13" i="16"/>
  <c r="I14" i="16"/>
  <c r="I15" i="16"/>
  <c r="I16" i="16"/>
  <c r="I17" i="16"/>
  <c r="I18" i="16"/>
  <c r="I19" i="16"/>
  <c r="I20" i="16"/>
  <c r="I21" i="16"/>
  <c r="I22" i="16"/>
  <c r="I3" i="16"/>
  <c r="B31" i="16" l="1"/>
  <c r="F4" i="16" s="1"/>
  <c r="E4" i="16"/>
  <c r="E5" i="16"/>
  <c r="E6" i="16"/>
  <c r="E7" i="16"/>
  <c r="E8" i="16"/>
  <c r="E9" i="16"/>
  <c r="E10" i="16"/>
  <c r="E11" i="16"/>
  <c r="E12" i="16"/>
  <c r="E13" i="16"/>
  <c r="E14" i="16"/>
  <c r="E15" i="16"/>
  <c r="E16" i="16"/>
  <c r="E17" i="16"/>
  <c r="E18" i="16"/>
  <c r="E19" i="16"/>
  <c r="E20" i="16"/>
  <c r="E21" i="16"/>
  <c r="E22" i="16"/>
  <c r="E3" i="16"/>
  <c r="G4" i="16" l="1"/>
  <c r="H4" i="16" s="1"/>
  <c r="J4" i="16" s="1"/>
  <c r="K4" i="16"/>
  <c r="F19" i="16"/>
  <c r="F15" i="16"/>
  <c r="F22" i="16"/>
  <c r="F18" i="16"/>
  <c r="G18" i="16" s="1"/>
  <c r="H18" i="16" s="1"/>
  <c r="J18" i="16" s="1"/>
  <c r="L18" i="16" s="1"/>
  <c r="M18" i="16" s="1"/>
  <c r="F14" i="16"/>
  <c r="G14" i="16" s="1"/>
  <c r="H14" i="16" s="1"/>
  <c r="J14" i="16" s="1"/>
  <c r="L14" i="16" s="1"/>
  <c r="M14" i="16" s="1"/>
  <c r="F10" i="16"/>
  <c r="G10" i="16" s="1"/>
  <c r="H10" i="16" s="1"/>
  <c r="J10" i="16" s="1"/>
  <c r="L10" i="16" s="1"/>
  <c r="M10" i="16" s="1"/>
  <c r="F6" i="16"/>
  <c r="F11" i="16"/>
  <c r="F21" i="16"/>
  <c r="F17" i="16"/>
  <c r="G17" i="16" s="1"/>
  <c r="H17" i="16" s="1"/>
  <c r="J17" i="16" s="1"/>
  <c r="L17" i="16" s="1"/>
  <c r="M17" i="16" s="1"/>
  <c r="F13" i="16"/>
  <c r="F9" i="16"/>
  <c r="G9" i="16" s="1"/>
  <c r="H9" i="16" s="1"/>
  <c r="J9" i="16" s="1"/>
  <c r="L9" i="16" s="1"/>
  <c r="M9" i="16" s="1"/>
  <c r="F5" i="16"/>
  <c r="F7" i="16"/>
  <c r="G7" i="16" s="1"/>
  <c r="H7" i="16" s="1"/>
  <c r="J7" i="16" s="1"/>
  <c r="L7" i="16" s="1"/>
  <c r="F20" i="16"/>
  <c r="G20" i="16" s="1"/>
  <c r="H20" i="16" s="1"/>
  <c r="J20" i="16" s="1"/>
  <c r="L20" i="16" s="1"/>
  <c r="M20" i="16" s="1"/>
  <c r="F16" i="16"/>
  <c r="G16" i="16" s="1"/>
  <c r="H16" i="16" s="1"/>
  <c r="J16" i="16" s="1"/>
  <c r="L16" i="16" s="1"/>
  <c r="M16" i="16" s="1"/>
  <c r="F12" i="16"/>
  <c r="F8" i="16"/>
  <c r="G8" i="16" s="1"/>
  <c r="H8" i="16" s="1"/>
  <c r="J8" i="16" s="1"/>
  <c r="L8" i="16" s="1"/>
  <c r="M8" i="16" s="1"/>
  <c r="F3" i="16"/>
  <c r="K3" i="16" s="1"/>
  <c r="B35" i="15"/>
  <c r="D34" i="15"/>
  <c r="B34" i="15"/>
  <c r="D33" i="15"/>
  <c r="B33" i="15"/>
  <c r="H22" i="15"/>
  <c r="G22" i="15"/>
  <c r="C33" i="15" s="1"/>
  <c r="C34" i="15" s="1"/>
  <c r="F22" i="15"/>
  <c r="M7" i="16" l="1"/>
  <c r="L4" i="16"/>
  <c r="M4" i="16" s="1"/>
  <c r="G15" i="16"/>
  <c r="H15" i="16" s="1"/>
  <c r="J15" i="16" s="1"/>
  <c r="K15" i="16"/>
  <c r="G12" i="16"/>
  <c r="H12" i="16" s="1"/>
  <c r="J12" i="16" s="1"/>
  <c r="K12" i="16"/>
  <c r="G5" i="16"/>
  <c r="H5" i="16" s="1"/>
  <c r="J5" i="16" s="1"/>
  <c r="K5" i="16"/>
  <c r="G21" i="16"/>
  <c r="H21" i="16" s="1"/>
  <c r="J21" i="16" s="1"/>
  <c r="K21" i="16"/>
  <c r="G19" i="16"/>
  <c r="H19" i="16" s="1"/>
  <c r="J19" i="16" s="1"/>
  <c r="K19" i="16"/>
  <c r="G11" i="16"/>
  <c r="H11" i="16" s="1"/>
  <c r="J11" i="16" s="1"/>
  <c r="K11" i="16"/>
  <c r="G13" i="16"/>
  <c r="H13" i="16" s="1"/>
  <c r="J13" i="16" s="1"/>
  <c r="K13" i="16"/>
  <c r="G6" i="16"/>
  <c r="H6" i="16" s="1"/>
  <c r="J6" i="16" s="1"/>
  <c r="K6" i="16"/>
  <c r="G22" i="16"/>
  <c r="H22" i="16" s="1"/>
  <c r="J22" i="16" s="1"/>
  <c r="K22" i="16"/>
  <c r="G3" i="16"/>
  <c r="H3" i="16" s="1"/>
  <c r="J3" i="16" s="1"/>
  <c r="L3" i="16" s="1"/>
  <c r="M3" i="16" s="1"/>
  <c r="B30" i="15"/>
  <c r="R32" i="15"/>
  <c r="N33" i="15"/>
  <c r="N34" i="15"/>
  <c r="N32" i="15"/>
  <c r="L33" i="15"/>
  <c r="L34" i="15"/>
  <c r="L32" i="15"/>
  <c r="U26" i="15"/>
  <c r="U27" i="15"/>
  <c r="U25" i="15"/>
  <c r="R26" i="15"/>
  <c r="R27" i="15"/>
  <c r="R25" i="15"/>
  <c r="O27" i="15"/>
  <c r="O26" i="15"/>
  <c r="O25" i="15"/>
  <c r="L27" i="15"/>
  <c r="L26" i="15"/>
  <c r="L25" i="15"/>
  <c r="M20" i="15"/>
  <c r="N20" i="15"/>
  <c r="O20" i="15"/>
  <c r="P20" i="15"/>
  <c r="Q20" i="15"/>
  <c r="M19" i="15"/>
  <c r="N19" i="15"/>
  <c r="O19" i="15"/>
  <c r="P19" i="15"/>
  <c r="Q19" i="15"/>
  <c r="L20" i="15"/>
  <c r="L19" i="15"/>
  <c r="M18" i="15"/>
  <c r="N18" i="15"/>
  <c r="O18" i="15"/>
  <c r="P18" i="15"/>
  <c r="Q18" i="15"/>
  <c r="L18" i="15"/>
  <c r="F25" i="15"/>
  <c r="F24" i="15"/>
  <c r="H20" i="15"/>
  <c r="H21" i="15"/>
  <c r="F20" i="15"/>
  <c r="G19" i="15"/>
  <c r="F19" i="15"/>
  <c r="E20" i="15"/>
  <c r="E21" i="15"/>
  <c r="D20" i="15"/>
  <c r="D21" i="15"/>
  <c r="E19" i="15"/>
  <c r="D19" i="15"/>
  <c r="C20" i="15"/>
  <c r="C21" i="15"/>
  <c r="C19" i="15"/>
  <c r="L6" i="16" l="1"/>
  <c r="M6" i="16" s="1"/>
  <c r="L11" i="16"/>
  <c r="M11" i="16" s="1"/>
  <c r="L21" i="16"/>
  <c r="M21" i="16" s="1"/>
  <c r="L12" i="16"/>
  <c r="L22" i="16"/>
  <c r="M22" i="16" s="1"/>
  <c r="L13" i="16"/>
  <c r="M13" i="16" s="1"/>
  <c r="L19" i="16"/>
  <c r="M19" i="16" s="1"/>
  <c r="L5" i="16"/>
  <c r="M5" i="16" s="1"/>
  <c r="L15" i="16"/>
  <c r="M15" i="16" s="1"/>
  <c r="D29" i="14"/>
  <c r="D30" i="14"/>
  <c r="D26" i="14"/>
  <c r="G31" i="14" s="1"/>
  <c r="D27" i="14"/>
  <c r="D28" i="14"/>
  <c r="D31" i="14"/>
  <c r="D16" i="14"/>
  <c r="C14" i="14"/>
  <c r="E3" i="14"/>
  <c r="E4" i="14"/>
  <c r="E5" i="14"/>
  <c r="E6" i="14"/>
  <c r="E7" i="14"/>
  <c r="E8" i="14"/>
  <c r="M12" i="16" l="1"/>
  <c r="P3" i="16" s="1"/>
  <c r="G5" i="14"/>
  <c r="P4" i="16" l="1"/>
  <c r="P5" i="16"/>
  <c r="P8" i="16"/>
  <c r="D38" i="14"/>
  <c r="P9" i="16" l="1"/>
  <c r="P10" i="16"/>
  <c r="C21" i="14"/>
  <c r="E11" i="14"/>
  <c r="G27" i="13"/>
  <c r="D29" i="13"/>
  <c r="D28" i="13"/>
  <c r="D19" i="13"/>
  <c r="C19" i="13"/>
  <c r="E18" i="13"/>
  <c r="J2" i="12"/>
  <c r="I2" i="12"/>
  <c r="G11" i="12"/>
  <c r="G3" i="11"/>
  <c r="B12" i="11"/>
  <c r="C12" i="11" s="1"/>
  <c r="B11" i="11"/>
  <c r="C15" i="10"/>
  <c r="C14" i="10"/>
  <c r="F9" i="10"/>
  <c r="F9" i="9"/>
  <c r="F8" i="9"/>
  <c r="H8" i="9"/>
  <c r="Q3" i="8"/>
  <c r="L13" i="8"/>
  <c r="N5" i="8"/>
  <c r="N4" i="8"/>
  <c r="C4" i="14" l="1"/>
  <c r="B45" i="14" s="1"/>
  <c r="C5" i="14"/>
  <c r="B46" i="14" s="1"/>
  <c r="C3" i="14"/>
  <c r="B44" i="14" s="1"/>
  <c r="C7" i="14"/>
  <c r="B48" i="14" s="1"/>
  <c r="C6" i="14"/>
  <c r="B47" i="14" s="1"/>
  <c r="C8" i="14"/>
  <c r="B49" i="14" s="1"/>
  <c r="D16" i="8"/>
  <c r="C16" i="8"/>
  <c r="B16" i="8"/>
  <c r="M3" i="7"/>
  <c r="M2" i="7"/>
  <c r="J9" i="7"/>
  <c r="G4" i="6" l="1"/>
  <c r="G3" i="6"/>
  <c r="Q4" i="6"/>
  <c r="Q3" i="6"/>
  <c r="C14" i="5"/>
  <c r="C13" i="5"/>
  <c r="I12" i="5"/>
  <c r="M15" i="4"/>
  <c r="C23" i="4" s="1"/>
  <c r="L15" i="4"/>
  <c r="C22" i="4" s="1"/>
  <c r="K15" i="4"/>
  <c r="C21" i="4" s="1"/>
  <c r="J15" i="4"/>
  <c r="C20" i="4" s="1"/>
  <c r="I15" i="4"/>
  <c r="C19" i="4" s="1"/>
  <c r="N14" i="4"/>
  <c r="D14" i="4"/>
  <c r="N13" i="4"/>
  <c r="N12" i="4"/>
  <c r="M15" i="3"/>
  <c r="C23" i="3" s="1"/>
  <c r="L15" i="3"/>
  <c r="C22" i="3" s="1"/>
  <c r="K15" i="3"/>
  <c r="C21" i="3" s="1"/>
  <c r="J15" i="3"/>
  <c r="C20" i="3" s="1"/>
  <c r="I15" i="3"/>
  <c r="C19" i="3" s="1"/>
  <c r="N14" i="3"/>
  <c r="D14" i="3"/>
  <c r="N13" i="3"/>
  <c r="N12" i="3"/>
  <c r="M15" i="2"/>
  <c r="C23" i="2" s="1"/>
  <c r="L15" i="2"/>
  <c r="C22" i="2" s="1"/>
  <c r="K15" i="2"/>
  <c r="C21" i="2" s="1"/>
  <c r="J15" i="2"/>
  <c r="C20" i="2" s="1"/>
  <c r="I15" i="2"/>
  <c r="C19" i="2" s="1"/>
  <c r="N13" i="2"/>
  <c r="N14" i="2"/>
  <c r="N12" i="2"/>
  <c r="D14" i="2"/>
  <c r="F16" i="6" l="1"/>
  <c r="Q2" i="6"/>
  <c r="F21" i="1"/>
  <c r="L13" i="1"/>
  <c r="F20" i="1"/>
  <c r="F19" i="1"/>
</calcChain>
</file>

<file path=xl/sharedStrings.xml><?xml version="1.0" encoding="utf-8"?>
<sst xmlns="http://schemas.openxmlformats.org/spreadsheetml/2006/main" count="599" uniqueCount="336">
  <si>
    <t>Procedencia</t>
  </si>
  <si>
    <t>%Azufre</t>
  </si>
  <si>
    <t>Densidad</t>
  </si>
  <si>
    <t>Precio</t>
  </si>
  <si>
    <t>Kuwait</t>
  </si>
  <si>
    <t>Arabia</t>
  </si>
  <si>
    <t>Noruega</t>
  </si>
  <si>
    <t>Venezuela</t>
  </si>
  <si>
    <t>Unidades</t>
  </si>
  <si>
    <t>Restricciones</t>
  </si>
  <si>
    <t>%azufre mez</t>
  </si>
  <si>
    <t>densidad</t>
  </si>
  <si>
    <t>Total tonel</t>
  </si>
  <si>
    <t>%azf mez</t>
  </si>
  <si>
    <t>total cant</t>
  </si>
  <si>
    <t>Mis datos</t>
  </si>
  <si>
    <t>COSTE TOTAL MEZCLA: MINIMO</t>
  </si>
  <si>
    <t>Stock</t>
  </si>
  <si>
    <t>p1</t>
  </si>
  <si>
    <t>p2</t>
  </si>
  <si>
    <t>p3</t>
  </si>
  <si>
    <t>demanda menual</t>
  </si>
  <si>
    <t>sev</t>
  </si>
  <si>
    <t>mad</t>
  </si>
  <si>
    <t>bar</t>
  </si>
  <si>
    <t>san</t>
  </si>
  <si>
    <t>bil</t>
  </si>
  <si>
    <t>COSTES</t>
  </si>
  <si>
    <t>Ast</t>
  </si>
  <si>
    <t>Cast</t>
  </si>
  <si>
    <t>Mal</t>
  </si>
  <si>
    <t>Sev</t>
  </si>
  <si>
    <t>Mad</t>
  </si>
  <si>
    <t>Bar</t>
  </si>
  <si>
    <t>San</t>
  </si>
  <si>
    <t>Bilb</t>
  </si>
  <si>
    <t>Funcion objetivo</t>
  </si>
  <si>
    <t>Minimizar el coste de envío para satisfacer la demanda</t>
  </si>
  <si>
    <t>DISTRIBUCION DE UNIDADES DE COCHES</t>
  </si>
  <si>
    <t>TOTAL</t>
  </si>
  <si>
    <t>coches que salen de la planta de asturias por mes</t>
  </si>
  <si>
    <t>Suma total de los coches que llegan a las sedes</t>
  </si>
  <si>
    <t xml:space="preserve">Coches que llegan a </t>
  </si>
  <si>
    <t>msd</t>
  </si>
  <si>
    <t>Si el coste de enviar a sevilla desde asturias baja a 50 el total no se ve afectado porque se siguen enviando desde malaga que sale 20 mas barato por coche, y como no se viola ninguna restriccion pues siguen enviandose desde allí porque hay coches suficientes</t>
  </si>
  <si>
    <t>de malaga hay 840 y se requieren 540, luego hay de sobra y no hace falta coger mas de asturias que es el segundo mas barato</t>
  </si>
  <si>
    <t>Si el coste de barcelona se reduce a la mitad empata con el de malaga luego lo mismo nos da porque el grueso de los cocehs se manda desde castellon, los restantes nos dará  igual de donde porque el precio es el mismo, no hay predileccion y aunque la hubiese, para el precio global no influye</t>
  </si>
  <si>
    <t>Si se reduce en un 60 sí, porque en Sevilla no influye, porque sigue siendo mas barato desde malaga, pero en barcelona si influye puesto que en lugar de mandar desde malaga a 50 mandamos desde asturias a 40 y nos ahorramos 10 euros por coche ahora</t>
  </si>
  <si>
    <t>Y al mandar menos desde castellon (por ser al mismo precio 40 y 40) a barcelona aw pernite  que puedan mandarse a san sebastian todos por la via mas barata ahorrandonos en conjunto casi 4000 euros</t>
  </si>
  <si>
    <t>Paquetes A</t>
  </si>
  <si>
    <t>Paquetes B</t>
  </si>
  <si>
    <t>SC</t>
  </si>
  <si>
    <t>CC</t>
  </si>
  <si>
    <t>cc</t>
  </si>
  <si>
    <t>sc</t>
  </si>
  <si>
    <t>Unidades vender</t>
  </si>
  <si>
    <t>Paquete A</t>
  </si>
  <si>
    <t>Paquete B</t>
  </si>
  <si>
    <t>Funcion Objetivo</t>
  </si>
  <si>
    <t>Maximizar money</t>
  </si>
  <si>
    <t>Mis Totales</t>
  </si>
  <si>
    <t>MINA1</t>
  </si>
  <si>
    <t>MINA2</t>
  </si>
  <si>
    <t>ALMACEN1</t>
  </si>
  <si>
    <t>ALMACEN2</t>
  </si>
  <si>
    <t>PLANTA</t>
  </si>
  <si>
    <t>DEMANDA</t>
  </si>
  <si>
    <t>STOCK</t>
  </si>
  <si>
    <t>MINA 1</t>
  </si>
  <si>
    <t>MINA 2</t>
  </si>
  <si>
    <t>RESTRICCIONES</t>
  </si>
  <si>
    <t>Celda Objetivo --&gt;</t>
  </si>
  <si>
    <t>minimizar coste       ------&gt;</t>
  </si>
  <si>
    <t>Total de lo que llega a la planta</t>
  </si>
  <si>
    <t>Total de lo que saca la mina 1</t>
  </si>
  <si>
    <t>Total de lo que saca la mina 2</t>
  </si>
  <si>
    <t>bicis de paseo</t>
  </si>
  <si>
    <t>bicis de montaña</t>
  </si>
  <si>
    <t>€</t>
  </si>
  <si>
    <t>acero</t>
  </si>
  <si>
    <t>aluminio</t>
  </si>
  <si>
    <t xml:space="preserve">Stock </t>
  </si>
  <si>
    <t>Aluminio</t>
  </si>
  <si>
    <t>Acero</t>
  </si>
  <si>
    <t>Montaña</t>
  </si>
  <si>
    <t>Paseo</t>
  </si>
  <si>
    <t>Funcion objetivo: Maximizar el dinero con las bicis</t>
  </si>
  <si>
    <t>Mis totales</t>
  </si>
  <si>
    <t>tv</t>
  </si>
  <si>
    <t>ra</t>
  </si>
  <si>
    <t>pr</t>
  </si>
  <si>
    <t>costo por ud publ</t>
  </si>
  <si>
    <t>audiencia por ud publ</t>
  </si>
  <si>
    <t xml:space="preserve">presupuesto limitado </t>
  </si>
  <si>
    <t>numero de anuncios</t>
  </si>
  <si>
    <t xml:space="preserve">un anuncio lo ven </t>
  </si>
  <si>
    <t>cantidad de uds de television 0,10 (al menos) del total autorizado</t>
  </si>
  <si>
    <t>cantidades publicidad en radio igual al 0,5 de las uds public autorizadas</t>
  </si>
  <si>
    <t>UNIDADES AUTORIZADAS</t>
  </si>
  <si>
    <t>costo/ud</t>
  </si>
  <si>
    <t>Funcion Objetivo Maximizar la audiendia</t>
  </si>
  <si>
    <t>Coste</t>
  </si>
  <si>
    <t>Olivos A</t>
  </si>
  <si>
    <t>Olivos B</t>
  </si>
  <si>
    <t>Agua/ha</t>
  </si>
  <si>
    <t>coste/ha</t>
  </si>
  <si>
    <t>produccion/ha</t>
  </si>
  <si>
    <t>unidades</t>
  </si>
  <si>
    <t>Funcion Objetivo maximizar la produccion de aceite</t>
  </si>
  <si>
    <t>presupuesto</t>
  </si>
  <si>
    <t>stock agua</t>
  </si>
  <si>
    <t>costo</t>
  </si>
  <si>
    <t>agua</t>
  </si>
  <si>
    <t>Sofa a</t>
  </si>
  <si>
    <t>Sofa b</t>
  </si>
  <si>
    <t>beneficios</t>
  </si>
  <si>
    <t>horas trab</t>
  </si>
  <si>
    <t>uds tela</t>
  </si>
  <si>
    <t>restricciones</t>
  </si>
  <si>
    <t>Horas trab</t>
  </si>
  <si>
    <t>fundas mo A</t>
  </si>
  <si>
    <t>Maximizar el beneficio</t>
  </si>
  <si>
    <t>Unidades sofa</t>
  </si>
  <si>
    <t>totales</t>
  </si>
  <si>
    <t>horas</t>
  </si>
  <si>
    <t>electrici</t>
  </si>
  <si>
    <t>mec</t>
  </si>
  <si>
    <t>beneficio</t>
  </si>
  <si>
    <t>unids</t>
  </si>
  <si>
    <t>mecanicos &gt;= electricistas</t>
  </si>
  <si>
    <t>stock</t>
  </si>
  <si>
    <t>elec</t>
  </si>
  <si>
    <t>mis totales</t>
  </si>
  <si>
    <t>mecanicos</t>
  </si>
  <si>
    <t>electricistas</t>
  </si>
  <si>
    <t>Funcion objetivo maximizar el beneficio</t>
  </si>
  <si>
    <t>mecanicos &lt;= 2*electricistas</t>
  </si>
  <si>
    <t>curry</t>
  </si>
  <si>
    <t>pimenton</t>
  </si>
  <si>
    <t>hb1</t>
  </si>
  <si>
    <t>hb2</t>
  </si>
  <si>
    <t>vender maximo botellas curry</t>
  </si>
  <si>
    <t>Precio venta botella</t>
  </si>
  <si>
    <t>precio/onza</t>
  </si>
  <si>
    <t>Disponibilidad</t>
  </si>
  <si>
    <t>Funcion objetivo es maximidar el money de las hierbas para las botellas y l aventa de las restantes hasta las disponibles por su precio</t>
  </si>
  <si>
    <t>RESTRICION CABRITA LAS UNIDADES QUE SE VENDEN MAS LA QUE SE USAN DEBEN SUMAR EL STOCK</t>
  </si>
  <si>
    <t>Total hb1</t>
  </si>
  <si>
    <t>total hb2</t>
  </si>
  <si>
    <t>camiones</t>
  </si>
  <si>
    <t>a</t>
  </si>
  <si>
    <t>b</t>
  </si>
  <si>
    <t>esp refr</t>
  </si>
  <si>
    <t>esp no refr</t>
  </si>
  <si>
    <t>Total refr y no refr</t>
  </si>
  <si>
    <t xml:space="preserve">OJO QUE EL 50 POR CIEN DEL REFRIGERADO Y NO REFRIGERADO ES EL TOTAL DEL OTRO CAMION COJO EL 50 POR CIEN </t>
  </si>
  <si>
    <t>coste/km</t>
  </si>
  <si>
    <t>nº camiones</t>
  </si>
  <si>
    <t>material refr a transportar</t>
  </si>
  <si>
    <t>material no refr a transportar</t>
  </si>
  <si>
    <t>total prodcuto refrigerado</t>
  </si>
  <si>
    <t>total producto no refr</t>
  </si>
  <si>
    <t>funcion objetivo es minimizar el coste total</t>
  </si>
  <si>
    <t>enteros?</t>
  </si>
  <si>
    <t xml:space="preserve"> </t>
  </si>
  <si>
    <t>Demanda</t>
  </si>
  <si>
    <t>enero</t>
  </si>
  <si>
    <t>febrero</t>
  </si>
  <si>
    <t>marzo</t>
  </si>
  <si>
    <t>abril</t>
  </si>
  <si>
    <t>mayo</t>
  </si>
  <si>
    <t>junio</t>
  </si>
  <si>
    <t>Días laborables</t>
  </si>
  <si>
    <t>nº trabajadores</t>
  </si>
  <si>
    <t>jornada/día hacer páginas</t>
  </si>
  <si>
    <t>min en hacer una página</t>
  </si>
  <si>
    <t>minutos haciendo hojas al día</t>
  </si>
  <si>
    <t>nº hojas día 1 trabajador</t>
  </si>
  <si>
    <t>hojas/dia * nº dias</t>
  </si>
  <si>
    <t>Stock mensual</t>
  </si>
  <si>
    <t>Funcion objetivo -&gt; minimizar el coste</t>
  </si>
  <si>
    <t>/hora</t>
  </si>
  <si>
    <t>nº horas pagadas al dia</t>
  </si>
  <si>
    <t>*nº días</t>
  </si>
  <si>
    <t>€ obtienen al día</t>
  </si>
  <si>
    <t>Salario</t>
  </si>
  <si>
    <t>Salario para 1 trabajador</t>
  </si>
  <si>
    <t>Hay que cubrir como minimo la demanda todos los meses</t>
  </si>
  <si>
    <t>nº hojas/día trabajadores contratados</t>
  </si>
  <si>
    <t>numero de paginas subcontratadas</t>
  </si>
  <si>
    <t>precio</t>
  </si>
  <si>
    <t>precio por página</t>
  </si>
  <si>
    <t>coste</t>
  </si>
  <si>
    <t>AHORA DEBERÉ MIRAR PARA EL COSTE TOTAL CUANTAS ME SALE MEJOR SUBCONTRATAR Y CUANTAS ME SALE MEJOR PONER FIJAS</t>
  </si>
  <si>
    <t>COSTE TOTAL -&gt; MINIMIZAR</t>
  </si>
  <si>
    <t xml:space="preserve">nuevas restricciones </t>
  </si>
  <si>
    <t>Total hojas cada mes debe ser =&gt; demanda</t>
  </si>
  <si>
    <t>Total hojas</t>
  </si>
  <si>
    <t>e</t>
  </si>
  <si>
    <t>f</t>
  </si>
  <si>
    <t>m</t>
  </si>
  <si>
    <t>j</t>
  </si>
  <si>
    <t>MODELO SLIMLINE</t>
  </si>
  <si>
    <t>MODELO LAPTOP</t>
  </si>
  <si>
    <t>PRECIOS VENTA</t>
  </si>
  <si>
    <t>UNIDADES VENDIDAS</t>
  </si>
  <si>
    <t>POTENCIA</t>
  </si>
  <si>
    <t>PROC</t>
  </si>
  <si>
    <t>RAM</t>
  </si>
  <si>
    <t>SSD</t>
  </si>
  <si>
    <t>SLIMLINE</t>
  </si>
  <si>
    <t>LAPTOP</t>
  </si>
  <si>
    <t>H3</t>
  </si>
  <si>
    <t>H5</t>
  </si>
  <si>
    <t>H7</t>
  </si>
  <si>
    <t>COSTE U</t>
  </si>
  <si>
    <t>Unidades de cada elemento para cubrir la demanda</t>
  </si>
  <si>
    <t>Numero medio de piezas modelo Slimline</t>
  </si>
  <si>
    <t>Numero medio de piezas modelo Laptop</t>
  </si>
  <si>
    <t xml:space="preserve">Coste fabricacion </t>
  </si>
  <si>
    <t>Modelo Slimline</t>
  </si>
  <si>
    <t>h3</t>
  </si>
  <si>
    <t>h5</t>
  </si>
  <si>
    <t>h7</t>
  </si>
  <si>
    <t>Modelo Laptop</t>
  </si>
  <si>
    <t xml:space="preserve">beneficio </t>
  </si>
  <si>
    <t>COSTES DETALLADOS 1 SERVIDOR</t>
  </si>
  <si>
    <t>Modelo laptop</t>
  </si>
  <si>
    <t>Beneficios totales del mes</t>
  </si>
  <si>
    <t>beneficios para uno</t>
  </si>
  <si>
    <t>Modelo slimline</t>
  </si>
  <si>
    <t>Beneficio total del mes</t>
  </si>
  <si>
    <t>PLUS</t>
  </si>
  <si>
    <t>SI</t>
  </si>
  <si>
    <t>Totales:</t>
  </si>
  <si>
    <t>elemento 1</t>
  </si>
  <si>
    <t>elemento2</t>
  </si>
  <si>
    <t>plus</t>
  </si>
  <si>
    <t>no</t>
  </si>
  <si>
    <t>si</t>
  </si>
  <si>
    <t>Ventas</t>
  </si>
  <si>
    <t>Fecha de Ingreso</t>
  </si>
  <si>
    <t>Categoria</t>
  </si>
  <si>
    <t>A</t>
  </si>
  <si>
    <t>B</t>
  </si>
  <si>
    <t>C</t>
  </si>
  <si>
    <t>D</t>
  </si>
  <si>
    <t>E</t>
  </si>
  <si>
    <t>Nombre</t>
  </si>
  <si>
    <t>Juan</t>
  </si>
  <si>
    <t>María</t>
  </si>
  <si>
    <t>Antonio</t>
  </si>
  <si>
    <t>david</t>
  </si>
  <si>
    <t>Fernando</t>
  </si>
  <si>
    <t>Ana</t>
  </si>
  <si>
    <t>Sara</t>
  </si>
  <si>
    <t>Pedro</t>
  </si>
  <si>
    <t>Daniel</t>
  </si>
  <si>
    <t>José</t>
  </si>
  <si>
    <t>Sandra</t>
  </si>
  <si>
    <t>Montse</t>
  </si>
  <si>
    <t>Ramiro</t>
  </si>
  <si>
    <t>Hilario</t>
  </si>
  <si>
    <t>Alejandra</t>
  </si>
  <si>
    <t>Luis</t>
  </si>
  <si>
    <t>Marta</t>
  </si>
  <si>
    <t>Andrés</t>
  </si>
  <si>
    <t>Diana</t>
  </si>
  <si>
    <t>Salarios</t>
  </si>
  <si>
    <t>tipo</t>
  </si>
  <si>
    <t>dinero</t>
  </si>
  <si>
    <t>Antigüedad</t>
  </si>
  <si>
    <t>Fecha de hoy</t>
  </si>
  <si>
    <t>Plus corresponde</t>
  </si>
  <si>
    <t>nuevo salario</t>
  </si>
  <si>
    <t>Plus por edad</t>
  </si>
  <si>
    <t>Años</t>
  </si>
  <si>
    <t>Porcentaje</t>
  </si>
  <si>
    <t>plus ventas</t>
  </si>
  <si>
    <t>ventas</t>
  </si>
  <si>
    <t>%</t>
  </si>
  <si>
    <t>Comision por ventas</t>
  </si>
  <si>
    <t>plus media</t>
  </si>
  <si>
    <t>Media</t>
  </si>
  <si>
    <t>SALARIO BRUTO</t>
  </si>
  <si>
    <t xml:space="preserve">Beneficio/pérdida </t>
  </si>
  <si>
    <t>Mejor empleado del mes</t>
  </si>
  <si>
    <t>salario</t>
  </si>
  <si>
    <t>Peor empleado del mes</t>
  </si>
  <si>
    <t>numero de fernandos</t>
  </si>
  <si>
    <t>sueldo de los fernandos</t>
  </si>
  <si>
    <t>cod. Tienda</t>
  </si>
  <si>
    <t>Ciudad</t>
  </si>
  <si>
    <t>Ordenadores</t>
  </si>
  <si>
    <t>Telef</t>
  </si>
  <si>
    <t>Consolas</t>
  </si>
  <si>
    <t>Software</t>
  </si>
  <si>
    <t>Tienda1</t>
  </si>
  <si>
    <t>Salamanca</t>
  </si>
  <si>
    <t>Tienda2</t>
  </si>
  <si>
    <t>Valladolid</t>
  </si>
  <si>
    <t>Tienda3</t>
  </si>
  <si>
    <t>León</t>
  </si>
  <si>
    <t>Tienda4</t>
  </si>
  <si>
    <t>Zamora</t>
  </si>
  <si>
    <t>Tienda5</t>
  </si>
  <si>
    <t>Ávila</t>
  </si>
  <si>
    <t>Tienda6</t>
  </si>
  <si>
    <t>Tienda7</t>
  </si>
  <si>
    <t>Tienda8</t>
  </si>
  <si>
    <t>Tienda9</t>
  </si>
  <si>
    <t>Tienda10</t>
  </si>
  <si>
    <t>Tienda11</t>
  </si>
  <si>
    <t>Tienda12</t>
  </si>
  <si>
    <t>Tienda13</t>
  </si>
  <si>
    <t>Tienda14</t>
  </si>
  <si>
    <t>Tienda15</t>
  </si>
  <si>
    <t>Tienda16</t>
  </si>
  <si>
    <t>Tienda17</t>
  </si>
  <si>
    <t>TOTALES</t>
  </si>
  <si>
    <t>nº tiendas</t>
  </si>
  <si>
    <t>facturacion</t>
  </si>
  <si>
    <t>facturacion total</t>
  </si>
  <si>
    <t>tel</t>
  </si>
  <si>
    <t>cons</t>
  </si>
  <si>
    <t>soft</t>
  </si>
  <si>
    <t>ord</t>
  </si>
  <si>
    <t>Tienda que mas factura</t>
  </si>
  <si>
    <t>Tienda que menos factura</t>
  </si>
  <si>
    <t>cd tienda</t>
  </si>
  <si>
    <t>cod tienda</t>
  </si>
  <si>
    <t>ciudad que mas factura en total</t>
  </si>
  <si>
    <t>ciudad</t>
  </si>
  <si>
    <t>ciudad que menos factura en total</t>
  </si>
  <si>
    <t>tienda que mas factura de todas</t>
  </si>
  <si>
    <t>tienda que menos factura de todas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</si>
</sst>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0.00\ &quot;€&quot;;[Red]\-#,##0.00\ &quot;€&quot;"/>
    <numFmt numFmtId="164" formatCode="#,##0.00\ &quot;€&quot;"/>
  </numFmts>
  <fonts count="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11"/>
      <color theme="1"/>
      <name val="Calibri"/>
      <family val="2"/>
      <scheme val="minor"/>
    </font>
    <font>
      <sz val="11"/>
      <color rgb="FF3F3F76"/>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CC99"/>
      </patternFill>
    </fill>
    <fill>
      <patternFill patternType="solid">
        <fgColor rgb="FFFFFFCC"/>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indexed="64"/>
      </top>
      <bottom style="thin">
        <color indexed="64"/>
      </bottom>
      <diagonal/>
    </border>
    <border>
      <left/>
      <right style="thin">
        <color rgb="FF7F7F7F"/>
      </right>
      <top style="thin">
        <color indexed="64"/>
      </top>
      <bottom style="thin">
        <color indexed="64"/>
      </bottom>
      <diagonal/>
    </border>
    <border>
      <left style="thin">
        <color indexed="64"/>
      </left>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3" applyNumberFormat="0" applyAlignment="0" applyProtection="0"/>
    <xf numFmtId="0" fontId="6" fillId="6" borderId="3" applyNumberFormat="0" applyAlignment="0" applyProtection="0"/>
    <xf numFmtId="0" fontId="5" fillId="7" borderId="5" applyNumberFormat="0" applyFont="0" applyAlignment="0" applyProtection="0"/>
  </cellStyleXfs>
  <cellXfs count="38">
    <xf numFmtId="0" fontId="0" fillId="0" borderId="0" xfId="0"/>
    <xf numFmtId="0" fontId="0" fillId="0" borderId="1" xfId="0" applyBorder="1"/>
    <xf numFmtId="0" fontId="0" fillId="0" borderId="0" xfId="0" applyBorder="1"/>
    <xf numFmtId="0" fontId="0" fillId="0" borderId="2" xfId="0" applyBorder="1"/>
    <xf numFmtId="0" fontId="2" fillId="3" borderId="0" xfId="2"/>
    <xf numFmtId="0" fontId="1" fillId="2" borderId="0" xfId="1"/>
    <xf numFmtId="0" fontId="3" fillId="4" borderId="0" xfId="3"/>
    <xf numFmtId="0" fontId="0" fillId="0" borderId="1" xfId="0" applyBorder="1" applyAlignment="1">
      <alignment horizontal="center"/>
    </xf>
    <xf numFmtId="164" fontId="0" fillId="0" borderId="1" xfId="0" applyNumberFormat="1" applyBorder="1"/>
    <xf numFmtId="0" fontId="0" fillId="0" borderId="4" xfId="0" applyFill="1" applyBorder="1"/>
    <xf numFmtId="0" fontId="1" fillId="2" borderId="1" xfId="1" applyBorder="1"/>
    <xf numFmtId="0" fontId="2" fillId="3" borderId="1" xfId="2" applyBorder="1"/>
    <xf numFmtId="0" fontId="4" fillId="5" borderId="3" xfId="4"/>
    <xf numFmtId="0" fontId="0" fillId="0" borderId="1" xfId="0" applyBorder="1" applyAlignment="1">
      <alignment horizontal="center"/>
    </xf>
    <xf numFmtId="0" fontId="2" fillId="3" borderId="0" xfId="2" applyAlignment="1">
      <alignment horizontal="center"/>
    </xf>
    <xf numFmtId="0" fontId="0" fillId="7" borderId="5" xfId="6" applyFont="1"/>
    <xf numFmtId="8" fontId="0" fillId="0" borderId="0" xfId="0" applyNumberFormat="1"/>
    <xf numFmtId="0" fontId="0" fillId="0" borderId="0" xfId="0" applyAlignment="1">
      <alignment horizontal="center"/>
    </xf>
    <xf numFmtId="0" fontId="6" fillId="6" borderId="1" xfId="5" applyBorder="1" applyAlignment="1">
      <alignment horizontal="center"/>
    </xf>
    <xf numFmtId="0" fontId="6" fillId="6" borderId="1" xfId="5" applyBorder="1"/>
    <xf numFmtId="0" fontId="0" fillId="0" borderId="0" xfId="0" applyAlignment="1">
      <alignment horizontal="center"/>
    </xf>
    <xf numFmtId="0" fontId="6" fillId="6" borderId="3" xfId="5" applyAlignment="1">
      <alignment horizontal="center"/>
    </xf>
    <xf numFmtId="0" fontId="6" fillId="6" borderId="3" xfId="5"/>
    <xf numFmtId="0" fontId="6" fillId="6" borderId="0" xfId="5" applyBorder="1"/>
    <xf numFmtId="0" fontId="6" fillId="6" borderId="6" xfId="5" applyBorder="1" applyAlignment="1">
      <alignment horizontal="center"/>
    </xf>
    <xf numFmtId="0" fontId="6" fillId="6" borderId="7" xfId="5" applyBorder="1" applyAlignment="1">
      <alignment horizontal="center"/>
    </xf>
    <xf numFmtId="0" fontId="6" fillId="6" borderId="8" xfId="5" applyBorder="1" applyAlignment="1">
      <alignment horizontal="center"/>
    </xf>
    <xf numFmtId="0" fontId="6" fillId="6" borderId="9" xfId="5" applyBorder="1" applyAlignment="1">
      <alignment horizontal="center"/>
    </xf>
    <xf numFmtId="0" fontId="0" fillId="0" borderId="0" xfId="0" applyAlignment="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4" xfId="0" applyFill="1" applyBorder="1" applyAlignment="1">
      <alignment horizontal="center" vertical="center"/>
    </xf>
    <xf numFmtId="14" fontId="0" fillId="0" borderId="0" xfId="0" applyNumberFormat="1"/>
    <xf numFmtId="0" fontId="0" fillId="0" borderId="1" xfId="0" applyFill="1" applyBorder="1" applyAlignment="1">
      <alignment horizontal="center"/>
    </xf>
    <xf numFmtId="0" fontId="1" fillId="2" borderId="4" xfId="1" applyBorder="1" applyAlignment="1">
      <alignment horizontal="center" vertical="center"/>
    </xf>
    <xf numFmtId="0" fontId="1" fillId="2" borderId="10" xfId="1" applyBorder="1" applyAlignment="1">
      <alignment horizontal="left" vertical="center"/>
    </xf>
    <xf numFmtId="0" fontId="0" fillId="0" borderId="1" xfId="0" applyFill="1" applyBorder="1"/>
    <xf numFmtId="164" fontId="0" fillId="0" borderId="0" xfId="0" applyNumberFormat="1" applyFill="1" applyBorder="1"/>
  </cellXfs>
  <cellStyles count="7">
    <cellStyle name="Bueno" xfId="1" builtinId="26"/>
    <cellStyle name="Cálculo" xfId="4" builtinId="22"/>
    <cellStyle name="Entrada" xfId="5" builtinId="20"/>
    <cellStyle name="Incorrecto" xfId="2" builtinId="27"/>
    <cellStyle name="Neutral" xfId="3" builtinId="28"/>
    <cellStyle name="Normal" xfId="0" builtinId="0"/>
    <cellStyle name="Notas"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ventas vs salario</a:t>
            </a:r>
          </a:p>
        </c:rich>
      </c:tx>
      <c:layout>
        <c:manualLayout>
          <c:xMode val="edge"/>
          <c:yMode val="edge"/>
          <c:x val="0.3180137795275590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Hoja10!$B$2</c:f>
              <c:strCache>
                <c:ptCount val="1"/>
                <c:pt idx="0">
                  <c:v>Ventas</c:v>
                </c:pt>
              </c:strCache>
            </c:strRef>
          </c:tx>
          <c:spPr>
            <a:solidFill>
              <a:schemeClr val="accent1"/>
            </a:solidFill>
            <a:ln>
              <a:noFill/>
            </a:ln>
            <a:effectLst/>
            <a:sp3d/>
          </c:spPr>
          <c:invertIfNegative val="0"/>
          <c:cat>
            <c:strRef>
              <c:f>Hoja10!$A$3:$A$22</c:f>
              <c:strCache>
                <c:ptCount val="20"/>
                <c:pt idx="0">
                  <c:v>Juan</c:v>
                </c:pt>
                <c:pt idx="1">
                  <c:v>María</c:v>
                </c:pt>
                <c:pt idx="2">
                  <c:v>Antonio</c:v>
                </c:pt>
                <c:pt idx="3">
                  <c:v>david</c:v>
                </c:pt>
                <c:pt idx="4">
                  <c:v>Fernando</c:v>
                </c:pt>
                <c:pt idx="5">
                  <c:v>Ana</c:v>
                </c:pt>
                <c:pt idx="6">
                  <c:v>Sara</c:v>
                </c:pt>
                <c:pt idx="7">
                  <c:v>Pedro</c:v>
                </c:pt>
                <c:pt idx="8">
                  <c:v>Daniel</c:v>
                </c:pt>
                <c:pt idx="9">
                  <c:v>Fernando</c:v>
                </c:pt>
                <c:pt idx="10">
                  <c:v>José</c:v>
                </c:pt>
                <c:pt idx="11">
                  <c:v>Sandra</c:v>
                </c:pt>
                <c:pt idx="12">
                  <c:v>Montse</c:v>
                </c:pt>
                <c:pt idx="13">
                  <c:v>Ramiro</c:v>
                </c:pt>
                <c:pt idx="14">
                  <c:v>Hilario</c:v>
                </c:pt>
                <c:pt idx="15">
                  <c:v>Alejandra</c:v>
                </c:pt>
                <c:pt idx="16">
                  <c:v>Luis</c:v>
                </c:pt>
                <c:pt idx="17">
                  <c:v>Marta</c:v>
                </c:pt>
                <c:pt idx="18">
                  <c:v>Andrés</c:v>
                </c:pt>
                <c:pt idx="19">
                  <c:v>Diana</c:v>
                </c:pt>
              </c:strCache>
            </c:strRef>
          </c:cat>
          <c:val>
            <c:numRef>
              <c:f>Hoja10!$B$3:$B$22</c:f>
              <c:numCache>
                <c:formatCode>General</c:formatCode>
                <c:ptCount val="20"/>
                <c:pt idx="0">
                  <c:v>12500</c:v>
                </c:pt>
                <c:pt idx="1">
                  <c:v>11800</c:v>
                </c:pt>
                <c:pt idx="2">
                  <c:v>23000</c:v>
                </c:pt>
                <c:pt idx="3">
                  <c:v>14000</c:v>
                </c:pt>
                <c:pt idx="4">
                  <c:v>7500</c:v>
                </c:pt>
                <c:pt idx="5">
                  <c:v>6800</c:v>
                </c:pt>
                <c:pt idx="6">
                  <c:v>9350</c:v>
                </c:pt>
                <c:pt idx="7">
                  <c:v>4630</c:v>
                </c:pt>
                <c:pt idx="8">
                  <c:v>14000</c:v>
                </c:pt>
                <c:pt idx="9">
                  <c:v>17600</c:v>
                </c:pt>
                <c:pt idx="10">
                  <c:v>13000</c:v>
                </c:pt>
                <c:pt idx="11">
                  <c:v>4500</c:v>
                </c:pt>
                <c:pt idx="12">
                  <c:v>16000</c:v>
                </c:pt>
                <c:pt idx="13">
                  <c:v>3250</c:v>
                </c:pt>
                <c:pt idx="14">
                  <c:v>4900</c:v>
                </c:pt>
                <c:pt idx="15">
                  <c:v>7300</c:v>
                </c:pt>
                <c:pt idx="16">
                  <c:v>27000</c:v>
                </c:pt>
                <c:pt idx="17">
                  <c:v>2350</c:v>
                </c:pt>
                <c:pt idx="18">
                  <c:v>17500</c:v>
                </c:pt>
                <c:pt idx="19">
                  <c:v>13000</c:v>
                </c:pt>
              </c:numCache>
            </c:numRef>
          </c:val>
          <c:extLst>
            <c:ext xmlns:c16="http://schemas.microsoft.com/office/drawing/2014/chart" uri="{C3380CC4-5D6E-409C-BE32-E72D297353CC}">
              <c16:uniqueId val="{00000000-418F-4CA1-AD83-A702ECD06304}"/>
            </c:ext>
          </c:extLst>
        </c:ser>
        <c:ser>
          <c:idx val="1"/>
          <c:order val="1"/>
          <c:tx>
            <c:strRef>
              <c:f>Hoja10!$L$2</c:f>
              <c:strCache>
                <c:ptCount val="1"/>
                <c:pt idx="0">
                  <c:v>SALARIO BRUTO</c:v>
                </c:pt>
              </c:strCache>
            </c:strRef>
          </c:tx>
          <c:spPr>
            <a:solidFill>
              <a:schemeClr val="accent2"/>
            </a:solidFill>
            <a:ln>
              <a:noFill/>
            </a:ln>
            <a:effectLst/>
            <a:sp3d/>
          </c:spPr>
          <c:invertIfNegative val="0"/>
          <c:cat>
            <c:strRef>
              <c:f>Hoja10!$A$3:$A$22</c:f>
              <c:strCache>
                <c:ptCount val="20"/>
                <c:pt idx="0">
                  <c:v>Juan</c:v>
                </c:pt>
                <c:pt idx="1">
                  <c:v>María</c:v>
                </c:pt>
                <c:pt idx="2">
                  <c:v>Antonio</c:v>
                </c:pt>
                <c:pt idx="3">
                  <c:v>david</c:v>
                </c:pt>
                <c:pt idx="4">
                  <c:v>Fernando</c:v>
                </c:pt>
                <c:pt idx="5">
                  <c:v>Ana</c:v>
                </c:pt>
                <c:pt idx="6">
                  <c:v>Sara</c:v>
                </c:pt>
                <c:pt idx="7">
                  <c:v>Pedro</c:v>
                </c:pt>
                <c:pt idx="8">
                  <c:v>Daniel</c:v>
                </c:pt>
                <c:pt idx="9">
                  <c:v>Fernando</c:v>
                </c:pt>
                <c:pt idx="10">
                  <c:v>José</c:v>
                </c:pt>
                <c:pt idx="11">
                  <c:v>Sandra</c:v>
                </c:pt>
                <c:pt idx="12">
                  <c:v>Montse</c:v>
                </c:pt>
                <c:pt idx="13">
                  <c:v>Ramiro</c:v>
                </c:pt>
                <c:pt idx="14">
                  <c:v>Hilario</c:v>
                </c:pt>
                <c:pt idx="15">
                  <c:v>Alejandra</c:v>
                </c:pt>
                <c:pt idx="16">
                  <c:v>Luis</c:v>
                </c:pt>
                <c:pt idx="17">
                  <c:v>Marta</c:v>
                </c:pt>
                <c:pt idx="18">
                  <c:v>Andrés</c:v>
                </c:pt>
                <c:pt idx="19">
                  <c:v>Diana</c:v>
                </c:pt>
              </c:strCache>
            </c:strRef>
          </c:cat>
          <c:val>
            <c:numRef>
              <c:f>Hoja10!$L$3:$L$22</c:f>
              <c:numCache>
                <c:formatCode>General</c:formatCode>
                <c:ptCount val="20"/>
                <c:pt idx="0">
                  <c:v>1853.7600000000002</c:v>
                </c:pt>
                <c:pt idx="1">
                  <c:v>2118.08</c:v>
                </c:pt>
                <c:pt idx="2">
                  <c:v>1854.6399999999999</c:v>
                </c:pt>
                <c:pt idx="3">
                  <c:v>2242.88</c:v>
                </c:pt>
                <c:pt idx="4">
                  <c:v>2258.48</c:v>
                </c:pt>
                <c:pt idx="5">
                  <c:v>1404.4800000000002</c:v>
                </c:pt>
                <c:pt idx="6">
                  <c:v>2775.36</c:v>
                </c:pt>
                <c:pt idx="7">
                  <c:v>1610.7</c:v>
                </c:pt>
                <c:pt idx="8">
                  <c:v>2844.96</c:v>
                </c:pt>
                <c:pt idx="9">
                  <c:v>3274.48</c:v>
                </c:pt>
                <c:pt idx="10">
                  <c:v>2514.5600000000004</c:v>
                </c:pt>
                <c:pt idx="11">
                  <c:v>1258.95</c:v>
                </c:pt>
                <c:pt idx="12">
                  <c:v>2223.04</c:v>
                </c:pt>
                <c:pt idx="13">
                  <c:v>1556.1000000000001</c:v>
                </c:pt>
                <c:pt idx="14">
                  <c:v>2292.15</c:v>
                </c:pt>
                <c:pt idx="15">
                  <c:v>1453.7600000000002</c:v>
                </c:pt>
                <c:pt idx="16">
                  <c:v>1905.6799999999998</c:v>
                </c:pt>
                <c:pt idx="17">
                  <c:v>1680</c:v>
                </c:pt>
                <c:pt idx="18">
                  <c:v>2539.14</c:v>
                </c:pt>
                <c:pt idx="19">
                  <c:v>2514.5600000000004</c:v>
                </c:pt>
              </c:numCache>
            </c:numRef>
          </c:val>
          <c:extLst>
            <c:ext xmlns:c16="http://schemas.microsoft.com/office/drawing/2014/chart" uri="{C3380CC4-5D6E-409C-BE32-E72D297353CC}">
              <c16:uniqueId val="{00000001-418F-4CA1-AD83-A702ECD06304}"/>
            </c:ext>
          </c:extLst>
        </c:ser>
        <c:dLbls>
          <c:showLegendKey val="0"/>
          <c:showVal val="0"/>
          <c:showCatName val="0"/>
          <c:showSerName val="0"/>
          <c:showPercent val="0"/>
          <c:showBubbleSize val="0"/>
        </c:dLbls>
        <c:gapWidth val="150"/>
        <c:shape val="box"/>
        <c:axId val="1332167632"/>
        <c:axId val="1237404224"/>
        <c:axId val="0"/>
      </c:bar3DChart>
      <c:catAx>
        <c:axId val="1332167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37404224"/>
        <c:crosses val="autoZero"/>
        <c:auto val="1"/>
        <c:lblAlgn val="ctr"/>
        <c:lblOffset val="100"/>
        <c:noMultiLvlLbl val="0"/>
      </c:catAx>
      <c:valAx>
        <c:axId val="1237404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3216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Ingresos vs gastos</c:v>
          </c:tx>
          <c:spPr>
            <a:solidFill>
              <a:schemeClr val="accent1"/>
            </a:solidFill>
            <a:ln>
              <a:noFill/>
            </a:ln>
            <a:effectLst/>
            <a:sp3d/>
          </c:spPr>
          <c:invertIfNegative val="0"/>
          <c:cat>
            <c:strRef>
              <c:f>Hoja10!$A$3:$A$22</c:f>
              <c:strCache>
                <c:ptCount val="20"/>
                <c:pt idx="0">
                  <c:v>Juan</c:v>
                </c:pt>
                <c:pt idx="1">
                  <c:v>María</c:v>
                </c:pt>
                <c:pt idx="2">
                  <c:v>Antonio</c:v>
                </c:pt>
                <c:pt idx="3">
                  <c:v>david</c:v>
                </c:pt>
                <c:pt idx="4">
                  <c:v>Fernando</c:v>
                </c:pt>
                <c:pt idx="5">
                  <c:v>Ana</c:v>
                </c:pt>
                <c:pt idx="6">
                  <c:v>Sara</c:v>
                </c:pt>
                <c:pt idx="7">
                  <c:v>Pedro</c:v>
                </c:pt>
                <c:pt idx="8">
                  <c:v>Daniel</c:v>
                </c:pt>
                <c:pt idx="9">
                  <c:v>Fernando</c:v>
                </c:pt>
                <c:pt idx="10">
                  <c:v>José</c:v>
                </c:pt>
                <c:pt idx="11">
                  <c:v>Sandra</c:v>
                </c:pt>
                <c:pt idx="12">
                  <c:v>Montse</c:v>
                </c:pt>
                <c:pt idx="13">
                  <c:v>Ramiro</c:v>
                </c:pt>
                <c:pt idx="14">
                  <c:v>Hilario</c:v>
                </c:pt>
                <c:pt idx="15">
                  <c:v>Alejandra</c:v>
                </c:pt>
                <c:pt idx="16">
                  <c:v>Luis</c:v>
                </c:pt>
                <c:pt idx="17">
                  <c:v>Marta</c:v>
                </c:pt>
                <c:pt idx="18">
                  <c:v>Andrés</c:v>
                </c:pt>
                <c:pt idx="19">
                  <c:v>Diana</c:v>
                </c:pt>
              </c:strCache>
            </c:strRef>
          </c:cat>
          <c:val>
            <c:numRef>
              <c:f>Hoja10!$B$3:$B$22</c:f>
              <c:numCache>
                <c:formatCode>General</c:formatCode>
                <c:ptCount val="20"/>
                <c:pt idx="0">
                  <c:v>12500</c:v>
                </c:pt>
                <c:pt idx="1">
                  <c:v>11800</c:v>
                </c:pt>
                <c:pt idx="2">
                  <c:v>23000</c:v>
                </c:pt>
                <c:pt idx="3">
                  <c:v>14000</c:v>
                </c:pt>
                <c:pt idx="4">
                  <c:v>7500</c:v>
                </c:pt>
                <c:pt idx="5">
                  <c:v>6800</c:v>
                </c:pt>
                <c:pt idx="6">
                  <c:v>9350</c:v>
                </c:pt>
                <c:pt idx="7">
                  <c:v>4630</c:v>
                </c:pt>
                <c:pt idx="8">
                  <c:v>14000</c:v>
                </c:pt>
                <c:pt idx="9">
                  <c:v>17600</c:v>
                </c:pt>
                <c:pt idx="10">
                  <c:v>13000</c:v>
                </c:pt>
                <c:pt idx="11">
                  <c:v>4500</c:v>
                </c:pt>
                <c:pt idx="12">
                  <c:v>16000</c:v>
                </c:pt>
                <c:pt idx="13">
                  <c:v>3250</c:v>
                </c:pt>
                <c:pt idx="14">
                  <c:v>4900</c:v>
                </c:pt>
                <c:pt idx="15">
                  <c:v>7300</c:v>
                </c:pt>
                <c:pt idx="16">
                  <c:v>27000</c:v>
                </c:pt>
                <c:pt idx="17">
                  <c:v>2350</c:v>
                </c:pt>
                <c:pt idx="18">
                  <c:v>17500</c:v>
                </c:pt>
                <c:pt idx="19">
                  <c:v>13000</c:v>
                </c:pt>
              </c:numCache>
            </c:numRef>
          </c:val>
          <c:extLst>
            <c:ext xmlns:c16="http://schemas.microsoft.com/office/drawing/2014/chart" uri="{C3380CC4-5D6E-409C-BE32-E72D297353CC}">
              <c16:uniqueId val="{00000000-3C28-4AB7-A0A2-FDEEBC014570}"/>
            </c:ext>
          </c:extLst>
        </c:ser>
        <c:ser>
          <c:idx val="1"/>
          <c:order val="1"/>
          <c:spPr>
            <a:solidFill>
              <a:schemeClr val="accent2"/>
            </a:solidFill>
            <a:ln>
              <a:noFill/>
            </a:ln>
            <a:effectLst/>
            <a:sp3d/>
          </c:spPr>
          <c:invertIfNegative val="0"/>
          <c:val>
            <c:numRef>
              <c:f>Hoja10!$L$3:$L$22</c:f>
              <c:numCache>
                <c:formatCode>General</c:formatCode>
                <c:ptCount val="20"/>
                <c:pt idx="0">
                  <c:v>1853.7600000000002</c:v>
                </c:pt>
                <c:pt idx="1">
                  <c:v>2118.08</c:v>
                </c:pt>
                <c:pt idx="2">
                  <c:v>1854.6399999999999</c:v>
                </c:pt>
                <c:pt idx="3">
                  <c:v>2242.88</c:v>
                </c:pt>
                <c:pt idx="4">
                  <c:v>2258.48</c:v>
                </c:pt>
                <c:pt idx="5">
                  <c:v>1404.4800000000002</c:v>
                </c:pt>
                <c:pt idx="6">
                  <c:v>2775.36</c:v>
                </c:pt>
                <c:pt idx="7">
                  <c:v>1610.7</c:v>
                </c:pt>
                <c:pt idx="8">
                  <c:v>2844.96</c:v>
                </c:pt>
                <c:pt idx="9">
                  <c:v>3274.48</c:v>
                </c:pt>
                <c:pt idx="10">
                  <c:v>2514.5600000000004</c:v>
                </c:pt>
                <c:pt idx="11">
                  <c:v>1258.95</c:v>
                </c:pt>
                <c:pt idx="12">
                  <c:v>2223.04</c:v>
                </c:pt>
                <c:pt idx="13">
                  <c:v>1556.1000000000001</c:v>
                </c:pt>
                <c:pt idx="14">
                  <c:v>2292.15</c:v>
                </c:pt>
                <c:pt idx="15">
                  <c:v>1453.7600000000002</c:v>
                </c:pt>
                <c:pt idx="16">
                  <c:v>1905.6799999999998</c:v>
                </c:pt>
                <c:pt idx="17">
                  <c:v>1680</c:v>
                </c:pt>
                <c:pt idx="18">
                  <c:v>2539.14</c:v>
                </c:pt>
                <c:pt idx="19">
                  <c:v>2514.5600000000004</c:v>
                </c:pt>
              </c:numCache>
            </c:numRef>
          </c:val>
          <c:extLst>
            <c:ext xmlns:c16="http://schemas.microsoft.com/office/drawing/2014/chart" uri="{C3380CC4-5D6E-409C-BE32-E72D297353CC}">
              <c16:uniqueId val="{00000003-3C28-4AB7-A0A2-FDEEBC014570}"/>
            </c:ext>
          </c:extLst>
        </c:ser>
        <c:dLbls>
          <c:showLegendKey val="0"/>
          <c:showVal val="0"/>
          <c:showCatName val="0"/>
          <c:showSerName val="0"/>
          <c:showPercent val="0"/>
          <c:showBubbleSize val="0"/>
        </c:dLbls>
        <c:gapWidth val="150"/>
        <c:shape val="box"/>
        <c:axId val="1051105520"/>
        <c:axId val="1320531056"/>
        <c:axId val="0"/>
      </c:bar3DChart>
      <c:catAx>
        <c:axId val="10511055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20531056"/>
        <c:crosses val="autoZero"/>
        <c:auto val="1"/>
        <c:lblAlgn val="ctr"/>
        <c:lblOffset val="100"/>
        <c:noMultiLvlLbl val="0"/>
      </c:catAx>
      <c:valAx>
        <c:axId val="132053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51105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200025</xdr:colOff>
      <xdr:row>10</xdr:row>
      <xdr:rowOff>4762</xdr:rowOff>
    </xdr:from>
    <xdr:to>
      <xdr:col>20</xdr:col>
      <xdr:colOff>200025</xdr:colOff>
      <xdr:row>24</xdr:row>
      <xdr:rowOff>80962</xdr:rowOff>
    </xdr:to>
    <xdr:graphicFrame macro="">
      <xdr:nvGraphicFramePr>
        <xdr:cNvPr id="3" name="Gráfico 2">
          <a:extLst>
            <a:ext uri="{FF2B5EF4-FFF2-40B4-BE49-F238E27FC236}">
              <a16:creationId xmlns:a16="http://schemas.microsoft.com/office/drawing/2014/main" id="{96E7FDCF-DB5D-44A3-87D8-1FA7B6F740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1047750</xdr:colOff>
      <xdr:row>7</xdr:row>
      <xdr:rowOff>4762</xdr:rowOff>
    </xdr:from>
    <xdr:to>
      <xdr:col>12</xdr:col>
      <xdr:colOff>381000</xdr:colOff>
      <xdr:row>21</xdr:row>
      <xdr:rowOff>80962</xdr:rowOff>
    </xdr:to>
    <xdr:graphicFrame macro="">
      <xdr:nvGraphicFramePr>
        <xdr:cNvPr id="4" name="Gráfico 3">
          <a:extLst>
            <a:ext uri="{FF2B5EF4-FFF2-40B4-BE49-F238E27FC236}">
              <a16:creationId xmlns:a16="http://schemas.microsoft.com/office/drawing/2014/main" id="{12EDCE42-D722-4B54-8636-5DE3093E4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21"/>
  <sheetViews>
    <sheetView workbookViewId="0">
      <selection activeCell="F22" sqref="F22"/>
    </sheetView>
  </sheetViews>
  <sheetFormatPr baseColWidth="10" defaultColWidth="9.140625" defaultRowHeight="15" x14ac:dyDescent="0.25"/>
  <cols>
    <col min="2" max="2" width="11.85546875" bestFit="1" customWidth="1"/>
  </cols>
  <sheetData>
    <row r="2" spans="2:12" x14ac:dyDescent="0.25">
      <c r="B2" s="1" t="s">
        <v>0</v>
      </c>
      <c r="C2" s="1" t="s">
        <v>1</v>
      </c>
      <c r="D2" s="1" t="s">
        <v>2</v>
      </c>
      <c r="E2" s="3" t="s">
        <v>3</v>
      </c>
      <c r="F2" s="2"/>
    </row>
    <row r="3" spans="2:12" x14ac:dyDescent="0.25">
      <c r="B3" s="1" t="s">
        <v>4</v>
      </c>
      <c r="C3" s="1">
        <v>0.45</v>
      </c>
      <c r="D3" s="1">
        <v>0.91</v>
      </c>
      <c r="E3" s="3">
        <v>35000</v>
      </c>
      <c r="F3" s="2"/>
    </row>
    <row r="4" spans="2:12" x14ac:dyDescent="0.25">
      <c r="B4" s="1" t="s">
        <v>5</v>
      </c>
      <c r="C4" s="1">
        <v>0.4</v>
      </c>
      <c r="D4" s="1">
        <v>0.95</v>
      </c>
      <c r="E4" s="3">
        <v>31000</v>
      </c>
      <c r="F4" s="2"/>
    </row>
    <row r="5" spans="2:12" x14ac:dyDescent="0.25">
      <c r="B5" s="1" t="s">
        <v>6</v>
      </c>
      <c r="C5" s="1">
        <v>0.38</v>
      </c>
      <c r="D5" s="1">
        <v>0.89</v>
      </c>
      <c r="E5" s="3">
        <v>39000</v>
      </c>
      <c r="F5" s="2"/>
    </row>
    <row r="6" spans="2:12" x14ac:dyDescent="0.25">
      <c r="B6" s="1" t="s">
        <v>7</v>
      </c>
      <c r="C6" s="1">
        <v>0.41</v>
      </c>
      <c r="D6" s="1">
        <v>0.92</v>
      </c>
      <c r="E6" s="3">
        <v>34000</v>
      </c>
      <c r="F6" s="2"/>
    </row>
    <row r="7" spans="2:12" x14ac:dyDescent="0.25">
      <c r="F7" s="2"/>
    </row>
    <row r="11" spans="2:12" x14ac:dyDescent="0.25">
      <c r="B11" s="1" t="s">
        <v>0</v>
      </c>
      <c r="C11" s="1" t="s">
        <v>8</v>
      </c>
      <c r="D11" s="1"/>
      <c r="E11" s="1"/>
    </row>
    <row r="12" spans="2:12" x14ac:dyDescent="0.25">
      <c r="B12" s="1" t="s">
        <v>4</v>
      </c>
      <c r="C12" s="1">
        <v>1.8596235662471372E-15</v>
      </c>
      <c r="D12" s="1"/>
      <c r="E12" s="1"/>
    </row>
    <row r="13" spans="2:12" x14ac:dyDescent="0.25">
      <c r="B13" s="1" t="s">
        <v>5</v>
      </c>
      <c r="C13" s="1">
        <v>0</v>
      </c>
      <c r="D13" s="1"/>
      <c r="E13" s="1"/>
      <c r="I13" s="6" t="s">
        <v>16</v>
      </c>
      <c r="J13" s="6"/>
      <c r="K13" s="6"/>
      <c r="L13" s="6">
        <f>SUMPRODUCT(E3:E6,C12:C15)</f>
        <v>35666.666666666664</v>
      </c>
    </row>
    <row r="14" spans="2:12" x14ac:dyDescent="0.25">
      <c r="B14" s="1" t="s">
        <v>6</v>
      </c>
      <c r="C14" s="1">
        <v>0.33333333333333248</v>
      </c>
      <c r="D14" s="1"/>
      <c r="E14" s="1"/>
    </row>
    <row r="15" spans="2:12" x14ac:dyDescent="0.25">
      <c r="B15" s="1" t="s">
        <v>7</v>
      </c>
      <c r="C15" s="1">
        <v>0.66666666666666563</v>
      </c>
      <c r="D15" s="1"/>
      <c r="E15" s="1"/>
    </row>
    <row r="18" spans="2:6" x14ac:dyDescent="0.25">
      <c r="B18" s="4" t="s">
        <v>9</v>
      </c>
      <c r="C18" s="4"/>
      <c r="E18" s="5" t="s">
        <v>15</v>
      </c>
      <c r="F18" s="5"/>
    </row>
    <row r="19" spans="2:6" x14ac:dyDescent="0.25">
      <c r="B19" s="4" t="s">
        <v>10</v>
      </c>
      <c r="C19" s="4">
        <v>0.4</v>
      </c>
      <c r="E19" s="5" t="s">
        <v>13</v>
      </c>
      <c r="F19" s="5">
        <f>SUMPRODUCT(C12:C15,C3:C6)</f>
        <v>0.4</v>
      </c>
    </row>
    <row r="20" spans="2:6" x14ac:dyDescent="0.25">
      <c r="B20" s="4" t="s">
        <v>11</v>
      </c>
      <c r="C20" s="4">
        <v>0.91</v>
      </c>
      <c r="E20" s="5" t="s">
        <v>11</v>
      </c>
      <c r="F20" s="5">
        <f>SUMPRODUCT(C12:C15,D3:D6)</f>
        <v>0.90999999999999992</v>
      </c>
    </row>
    <row r="21" spans="2:6" x14ac:dyDescent="0.25">
      <c r="B21" s="4" t="s">
        <v>12</v>
      </c>
      <c r="C21" s="4">
        <v>1</v>
      </c>
      <c r="E21" s="5" t="s">
        <v>14</v>
      </c>
      <c r="F21" s="5">
        <f>SUM(C12:C15)</f>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4BE81-1245-446B-A7E8-0EDF55F1A424}">
  <dimension ref="B2:O26"/>
  <sheetViews>
    <sheetView workbookViewId="0">
      <selection activeCell="J22" sqref="J22:J24"/>
    </sheetView>
  </sheetViews>
  <sheetFormatPr baseColWidth="10" defaultRowHeight="15" x14ac:dyDescent="0.25"/>
  <sheetData>
    <row r="2" spans="2:15" x14ac:dyDescent="0.25">
      <c r="B2" s="14" t="s">
        <v>17</v>
      </c>
      <c r="C2" s="14"/>
      <c r="E2" s="14" t="s">
        <v>21</v>
      </c>
      <c r="F2" s="14"/>
      <c r="H2" s="13" t="s">
        <v>27</v>
      </c>
      <c r="I2" s="13"/>
      <c r="J2" s="13"/>
      <c r="K2" s="13"/>
      <c r="L2" s="13"/>
      <c r="M2" s="13"/>
    </row>
    <row r="3" spans="2:15" x14ac:dyDescent="0.25">
      <c r="B3" s="4" t="s">
        <v>18</v>
      </c>
      <c r="C3" s="4">
        <v>930</v>
      </c>
      <c r="E3" s="4" t="s">
        <v>22</v>
      </c>
      <c r="F3" s="4">
        <v>540</v>
      </c>
      <c r="H3" s="1"/>
      <c r="I3" s="1" t="s">
        <v>31</v>
      </c>
      <c r="J3" s="1" t="s">
        <v>32</v>
      </c>
      <c r="K3" s="1" t="s">
        <v>33</v>
      </c>
      <c r="L3" s="1" t="s">
        <v>34</v>
      </c>
      <c r="M3" s="1" t="s">
        <v>35</v>
      </c>
    </row>
    <row r="4" spans="2:15" x14ac:dyDescent="0.25">
      <c r="B4" s="4" t="s">
        <v>19</v>
      </c>
      <c r="C4" s="4">
        <v>780</v>
      </c>
      <c r="E4" s="4" t="s">
        <v>23</v>
      </c>
      <c r="F4" s="4">
        <v>240</v>
      </c>
      <c r="H4" s="1" t="s">
        <v>28</v>
      </c>
      <c r="I4" s="8">
        <v>100</v>
      </c>
      <c r="J4" s="8">
        <v>80</v>
      </c>
      <c r="K4" s="8">
        <v>100</v>
      </c>
      <c r="L4" s="8">
        <v>40</v>
      </c>
      <c r="M4" s="8">
        <v>50</v>
      </c>
    </row>
    <row r="5" spans="2:15" x14ac:dyDescent="0.25">
      <c r="B5" s="4" t="s">
        <v>20</v>
      </c>
      <c r="C5" s="4">
        <v>840</v>
      </c>
      <c r="E5" s="4" t="s">
        <v>24</v>
      </c>
      <c r="F5" s="4">
        <v>600</v>
      </c>
      <c r="H5" s="1" t="s">
        <v>29</v>
      </c>
      <c r="I5" s="8">
        <v>60</v>
      </c>
      <c r="J5" s="8">
        <v>50</v>
      </c>
      <c r="K5" s="8">
        <v>40</v>
      </c>
      <c r="L5" s="8">
        <v>30</v>
      </c>
      <c r="M5" s="8">
        <v>60</v>
      </c>
    </row>
    <row r="6" spans="2:15" x14ac:dyDescent="0.25">
      <c r="E6" s="4" t="s">
        <v>25</v>
      </c>
      <c r="F6" s="4">
        <v>480</v>
      </c>
      <c r="H6" s="1" t="s">
        <v>30</v>
      </c>
      <c r="I6" s="8">
        <v>30</v>
      </c>
      <c r="J6" s="8">
        <v>40</v>
      </c>
      <c r="K6" s="8">
        <v>50</v>
      </c>
      <c r="L6" s="8">
        <v>80</v>
      </c>
      <c r="M6" s="8">
        <v>80</v>
      </c>
    </row>
    <row r="7" spans="2:15" x14ac:dyDescent="0.25">
      <c r="E7" s="4" t="s">
        <v>26</v>
      </c>
      <c r="F7" s="4">
        <v>660</v>
      </c>
    </row>
    <row r="10" spans="2:15" x14ac:dyDescent="0.25">
      <c r="H10" s="13" t="s">
        <v>38</v>
      </c>
      <c r="I10" s="13"/>
      <c r="J10" s="13"/>
      <c r="K10" s="13"/>
      <c r="L10" s="13"/>
      <c r="M10" s="13"/>
    </row>
    <row r="11" spans="2:15" x14ac:dyDescent="0.25">
      <c r="H11" s="1"/>
      <c r="I11" s="1" t="s">
        <v>31</v>
      </c>
      <c r="J11" s="1" t="s">
        <v>32</v>
      </c>
      <c r="K11" s="1" t="s">
        <v>33</v>
      </c>
      <c r="L11" s="1" t="s">
        <v>34</v>
      </c>
      <c r="M11" s="1" t="s">
        <v>35</v>
      </c>
      <c r="N11" s="10" t="s">
        <v>39</v>
      </c>
    </row>
    <row r="12" spans="2:15" x14ac:dyDescent="0.25">
      <c r="H12" s="1" t="s">
        <v>28</v>
      </c>
      <c r="I12" s="1">
        <v>0</v>
      </c>
      <c r="J12" s="1">
        <v>0</v>
      </c>
      <c r="K12" s="1">
        <v>0</v>
      </c>
      <c r="L12" s="1">
        <v>270</v>
      </c>
      <c r="M12" s="1">
        <v>660</v>
      </c>
      <c r="N12" s="10">
        <f>SUM(I12:M12)</f>
        <v>930</v>
      </c>
      <c r="O12" t="s">
        <v>40</v>
      </c>
    </row>
    <row r="13" spans="2:15" x14ac:dyDescent="0.25">
      <c r="H13" s="1" t="s">
        <v>29</v>
      </c>
      <c r="I13" s="1">
        <v>0</v>
      </c>
      <c r="J13" s="1">
        <v>0</v>
      </c>
      <c r="K13" s="1">
        <v>570</v>
      </c>
      <c r="L13" s="1">
        <v>210</v>
      </c>
      <c r="M13" s="1">
        <v>0</v>
      </c>
      <c r="N13" s="10">
        <f t="shared" ref="N13:N14" si="0">SUM(I13:M13)</f>
        <v>780</v>
      </c>
    </row>
    <row r="14" spans="2:15" x14ac:dyDescent="0.25">
      <c r="B14" s="6" t="s">
        <v>36</v>
      </c>
      <c r="C14" s="6"/>
      <c r="D14" s="6">
        <f>SUMPRODUCT(I12:M14,I4:M6)</f>
        <v>100200</v>
      </c>
      <c r="E14" s="6"/>
      <c r="F14" s="6"/>
      <c r="H14" s="1" t="s">
        <v>30</v>
      </c>
      <c r="I14" s="1">
        <v>540</v>
      </c>
      <c r="J14" s="1">
        <v>240</v>
      </c>
      <c r="K14" s="1">
        <v>30</v>
      </c>
      <c r="L14" s="1">
        <v>0</v>
      </c>
      <c r="M14" s="1">
        <v>0</v>
      </c>
      <c r="N14" s="10">
        <f t="shared" si="0"/>
        <v>810</v>
      </c>
    </row>
    <row r="15" spans="2:15" x14ac:dyDescent="0.25">
      <c r="B15" s="6" t="s">
        <v>37</v>
      </c>
      <c r="C15" s="6"/>
      <c r="D15" s="6"/>
      <c r="E15" s="6"/>
      <c r="F15" s="6"/>
      <c r="H15" s="10" t="s">
        <v>39</v>
      </c>
      <c r="I15" s="10">
        <f>SUM(I12:I14)</f>
        <v>540</v>
      </c>
      <c r="J15" s="10">
        <f>SUM(J12:J14)</f>
        <v>240</v>
      </c>
      <c r="K15" s="10">
        <f>SUM(K12:K14)</f>
        <v>600</v>
      </c>
      <c r="L15" s="10">
        <f>SUM(L12:L14)</f>
        <v>480</v>
      </c>
      <c r="M15" s="10">
        <f>SUM(M12:M14)</f>
        <v>660</v>
      </c>
    </row>
    <row r="16" spans="2:15" x14ac:dyDescent="0.25">
      <c r="H16" s="9" t="s">
        <v>41</v>
      </c>
    </row>
    <row r="18" spans="2:10" x14ac:dyDescent="0.25">
      <c r="B18" s="5" t="s">
        <v>42</v>
      </c>
      <c r="C18" s="5"/>
    </row>
    <row r="19" spans="2:10" x14ac:dyDescent="0.25">
      <c r="B19" s="5" t="s">
        <v>22</v>
      </c>
      <c r="C19" s="5">
        <f>I15</f>
        <v>540</v>
      </c>
    </row>
    <row r="20" spans="2:10" x14ac:dyDescent="0.25">
      <c r="B20" s="5" t="s">
        <v>43</v>
      </c>
      <c r="C20" s="5">
        <f>J15</f>
        <v>240</v>
      </c>
    </row>
    <row r="21" spans="2:10" x14ac:dyDescent="0.25">
      <c r="B21" s="5" t="s">
        <v>24</v>
      </c>
      <c r="C21" s="5">
        <f>K15</f>
        <v>600</v>
      </c>
    </row>
    <row r="22" spans="2:10" x14ac:dyDescent="0.25">
      <c r="B22" s="5" t="s">
        <v>25</v>
      </c>
      <c r="C22" s="5">
        <f>L15</f>
        <v>480</v>
      </c>
      <c r="J22" t="s">
        <v>44</v>
      </c>
    </row>
    <row r="23" spans="2:10" x14ac:dyDescent="0.25">
      <c r="B23" s="5" t="s">
        <v>26</v>
      </c>
      <c r="C23" s="5">
        <f>M15</f>
        <v>660</v>
      </c>
      <c r="J23" t="s">
        <v>45</v>
      </c>
    </row>
    <row r="24" spans="2:10" x14ac:dyDescent="0.25">
      <c r="J24" t="s">
        <v>46</v>
      </c>
    </row>
    <row r="26" spans="2:10" x14ac:dyDescent="0.25">
      <c r="J26" t="s">
        <v>47</v>
      </c>
    </row>
  </sheetData>
  <mergeCells count="4">
    <mergeCell ref="H2:M2"/>
    <mergeCell ref="E2:F2"/>
    <mergeCell ref="B2:C2"/>
    <mergeCell ref="H10:M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BC59-69FF-4064-8C92-76222C0E39A3}">
  <dimension ref="B2:O24"/>
  <sheetViews>
    <sheetView workbookViewId="0">
      <selection activeCell="R1" sqref="R1"/>
    </sheetView>
  </sheetViews>
  <sheetFormatPr baseColWidth="10" defaultRowHeight="15" x14ac:dyDescent="0.25"/>
  <sheetData>
    <row r="2" spans="2:15" x14ac:dyDescent="0.25">
      <c r="B2" s="14" t="s">
        <v>17</v>
      </c>
      <c r="C2" s="14"/>
      <c r="E2" s="14" t="s">
        <v>21</v>
      </c>
      <c r="F2" s="14"/>
      <c r="H2" s="13" t="s">
        <v>27</v>
      </c>
      <c r="I2" s="13"/>
      <c r="J2" s="13"/>
      <c r="K2" s="13"/>
      <c r="L2" s="13"/>
      <c r="M2" s="13"/>
    </row>
    <row r="3" spans="2:15" x14ac:dyDescent="0.25">
      <c r="B3" s="4" t="s">
        <v>18</v>
      </c>
      <c r="C3" s="4">
        <v>930</v>
      </c>
      <c r="E3" s="4" t="s">
        <v>22</v>
      </c>
      <c r="F3" s="4">
        <v>540</v>
      </c>
      <c r="H3" s="1"/>
      <c r="I3" s="1" t="s">
        <v>31</v>
      </c>
      <c r="J3" s="1" t="s">
        <v>32</v>
      </c>
      <c r="K3" s="1" t="s">
        <v>33</v>
      </c>
      <c r="L3" s="1" t="s">
        <v>34</v>
      </c>
      <c r="M3" s="1" t="s">
        <v>35</v>
      </c>
    </row>
    <row r="4" spans="2:15" x14ac:dyDescent="0.25">
      <c r="B4" s="4" t="s">
        <v>19</v>
      </c>
      <c r="C4" s="4">
        <v>780</v>
      </c>
      <c r="E4" s="4" t="s">
        <v>23</v>
      </c>
      <c r="F4" s="4">
        <v>240</v>
      </c>
      <c r="H4" s="1" t="s">
        <v>28</v>
      </c>
      <c r="I4" s="8">
        <v>50</v>
      </c>
      <c r="J4" s="8">
        <v>80</v>
      </c>
      <c r="K4" s="8">
        <v>50</v>
      </c>
      <c r="L4" s="8">
        <v>40</v>
      </c>
      <c r="M4" s="8">
        <v>50</v>
      </c>
    </row>
    <row r="5" spans="2:15" x14ac:dyDescent="0.25">
      <c r="B5" s="4" t="s">
        <v>20</v>
      </c>
      <c r="C5" s="4">
        <v>840</v>
      </c>
      <c r="E5" s="4" t="s">
        <v>24</v>
      </c>
      <c r="F5" s="4">
        <v>600</v>
      </c>
      <c r="H5" s="1" t="s">
        <v>29</v>
      </c>
      <c r="I5" s="8">
        <v>60</v>
      </c>
      <c r="J5" s="8">
        <v>50</v>
      </c>
      <c r="K5" s="8">
        <v>40</v>
      </c>
      <c r="L5" s="8">
        <v>30</v>
      </c>
      <c r="M5" s="8">
        <v>60</v>
      </c>
    </row>
    <row r="6" spans="2:15" x14ac:dyDescent="0.25">
      <c r="E6" s="4" t="s">
        <v>25</v>
      </c>
      <c r="F6" s="4">
        <v>480</v>
      </c>
      <c r="H6" s="1" t="s">
        <v>30</v>
      </c>
      <c r="I6" s="8">
        <v>30</v>
      </c>
      <c r="J6" s="8">
        <v>40</v>
      </c>
      <c r="K6" s="8">
        <v>50</v>
      </c>
      <c r="L6" s="8">
        <v>80</v>
      </c>
      <c r="M6" s="8">
        <v>80</v>
      </c>
    </row>
    <row r="7" spans="2:15" x14ac:dyDescent="0.25">
      <c r="E7" s="4" t="s">
        <v>26</v>
      </c>
      <c r="F7" s="4">
        <v>660</v>
      </c>
    </row>
    <row r="10" spans="2:15" x14ac:dyDescent="0.25">
      <c r="H10" s="13" t="s">
        <v>38</v>
      </c>
      <c r="I10" s="13"/>
      <c r="J10" s="13"/>
      <c r="K10" s="13"/>
      <c r="L10" s="13"/>
      <c r="M10" s="13"/>
    </row>
    <row r="11" spans="2:15" x14ac:dyDescent="0.25">
      <c r="H11" s="1"/>
      <c r="I11" s="1" t="s">
        <v>31</v>
      </c>
      <c r="J11" s="1" t="s">
        <v>32</v>
      </c>
      <c r="K11" s="1" t="s">
        <v>33</v>
      </c>
      <c r="L11" s="1" t="s">
        <v>34</v>
      </c>
      <c r="M11" s="1" t="s">
        <v>35</v>
      </c>
      <c r="N11" s="10" t="s">
        <v>39</v>
      </c>
    </row>
    <row r="12" spans="2:15" x14ac:dyDescent="0.25">
      <c r="H12" s="1" t="s">
        <v>28</v>
      </c>
      <c r="I12" s="1">
        <v>0</v>
      </c>
      <c r="J12" s="1">
        <v>0</v>
      </c>
      <c r="K12" s="1">
        <v>0</v>
      </c>
      <c r="L12" s="1">
        <v>270</v>
      </c>
      <c r="M12" s="1">
        <v>660</v>
      </c>
      <c r="N12" s="10">
        <f>SUM(I12:M12)</f>
        <v>930</v>
      </c>
      <c r="O12" t="s">
        <v>40</v>
      </c>
    </row>
    <row r="13" spans="2:15" x14ac:dyDescent="0.25">
      <c r="H13" s="1" t="s">
        <v>29</v>
      </c>
      <c r="I13" s="1">
        <v>0</v>
      </c>
      <c r="J13" s="1">
        <v>0</v>
      </c>
      <c r="K13" s="1">
        <v>570</v>
      </c>
      <c r="L13" s="1">
        <v>210</v>
      </c>
      <c r="M13" s="1">
        <v>0</v>
      </c>
      <c r="N13" s="10">
        <f t="shared" ref="N13:N14" si="0">SUM(I13:M13)</f>
        <v>780</v>
      </c>
    </row>
    <row r="14" spans="2:15" x14ac:dyDescent="0.25">
      <c r="B14" s="6" t="s">
        <v>36</v>
      </c>
      <c r="C14" s="6"/>
      <c r="D14" s="6">
        <f>SUMPRODUCT(I12:M14,I4:M6)</f>
        <v>100200</v>
      </c>
      <c r="E14" s="6"/>
      <c r="F14" s="6"/>
      <c r="H14" s="1" t="s">
        <v>30</v>
      </c>
      <c r="I14" s="1">
        <v>540</v>
      </c>
      <c r="J14" s="1">
        <v>240</v>
      </c>
      <c r="K14" s="1">
        <v>30</v>
      </c>
      <c r="L14" s="1">
        <v>0</v>
      </c>
      <c r="M14" s="1">
        <v>0</v>
      </c>
      <c r="N14" s="10">
        <f t="shared" si="0"/>
        <v>810</v>
      </c>
    </row>
    <row r="15" spans="2:15" x14ac:dyDescent="0.25">
      <c r="B15" s="6" t="s">
        <v>37</v>
      </c>
      <c r="C15" s="6"/>
      <c r="D15" s="6"/>
      <c r="E15" s="6"/>
      <c r="F15" s="6"/>
      <c r="H15" s="10" t="s">
        <v>39</v>
      </c>
      <c r="I15" s="10">
        <f>SUM(I12:I14)</f>
        <v>540</v>
      </c>
      <c r="J15" s="10">
        <f>SUM(J12:J14)</f>
        <v>240</v>
      </c>
      <c r="K15" s="10">
        <f>SUM(K12:K14)</f>
        <v>600</v>
      </c>
      <c r="L15" s="10">
        <f>SUM(L12:L14)</f>
        <v>480</v>
      </c>
      <c r="M15" s="10">
        <f>SUM(M12:M14)</f>
        <v>660</v>
      </c>
    </row>
    <row r="16" spans="2:15" x14ac:dyDescent="0.25">
      <c r="H16" s="9" t="s">
        <v>41</v>
      </c>
    </row>
    <row r="18" spans="2:10" x14ac:dyDescent="0.25">
      <c r="B18" s="5" t="s">
        <v>42</v>
      </c>
      <c r="C18" s="5"/>
    </row>
    <row r="19" spans="2:10" x14ac:dyDescent="0.25">
      <c r="B19" s="5" t="s">
        <v>22</v>
      </c>
      <c r="C19" s="5">
        <f>I15</f>
        <v>540</v>
      </c>
    </row>
    <row r="20" spans="2:10" x14ac:dyDescent="0.25">
      <c r="B20" s="5" t="s">
        <v>43</v>
      </c>
      <c r="C20" s="5">
        <f>J15</f>
        <v>240</v>
      </c>
    </row>
    <row r="21" spans="2:10" x14ac:dyDescent="0.25">
      <c r="B21" s="5" t="s">
        <v>24</v>
      </c>
      <c r="C21" s="5">
        <f>K15</f>
        <v>600</v>
      </c>
    </row>
    <row r="22" spans="2:10" x14ac:dyDescent="0.25">
      <c r="B22" s="5" t="s">
        <v>25</v>
      </c>
      <c r="C22" s="5">
        <f>L15</f>
        <v>480</v>
      </c>
      <c r="J22" t="s">
        <v>44</v>
      </c>
    </row>
    <row r="23" spans="2:10" x14ac:dyDescent="0.25">
      <c r="B23" s="5" t="s">
        <v>26</v>
      </c>
      <c r="C23" s="5">
        <f>M15</f>
        <v>660</v>
      </c>
      <c r="J23" t="s">
        <v>45</v>
      </c>
    </row>
    <row r="24" spans="2:10" x14ac:dyDescent="0.25">
      <c r="J24" t="s">
        <v>46</v>
      </c>
    </row>
  </sheetData>
  <mergeCells count="4">
    <mergeCell ref="B2:C2"/>
    <mergeCell ref="E2:F2"/>
    <mergeCell ref="H2:M2"/>
    <mergeCell ref="H10:M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202C-7140-4167-9675-032474D84DF1}">
  <dimension ref="B2:O28"/>
  <sheetViews>
    <sheetView workbookViewId="0">
      <selection activeCell="N22" sqref="N22"/>
    </sheetView>
  </sheetViews>
  <sheetFormatPr baseColWidth="10" defaultRowHeight="15" x14ac:dyDescent="0.25"/>
  <sheetData>
    <row r="2" spans="2:15" x14ac:dyDescent="0.25">
      <c r="B2" s="14" t="s">
        <v>17</v>
      </c>
      <c r="C2" s="14"/>
      <c r="E2" s="14" t="s">
        <v>21</v>
      </c>
      <c r="F2" s="14"/>
      <c r="H2" s="13" t="s">
        <v>27</v>
      </c>
      <c r="I2" s="13"/>
      <c r="J2" s="13"/>
      <c r="K2" s="13"/>
      <c r="L2" s="13"/>
      <c r="M2" s="13"/>
    </row>
    <row r="3" spans="2:15" x14ac:dyDescent="0.25">
      <c r="B3" s="4" t="s">
        <v>18</v>
      </c>
      <c r="C3" s="4">
        <v>930</v>
      </c>
      <c r="E3" s="4" t="s">
        <v>22</v>
      </c>
      <c r="F3" s="4">
        <v>540</v>
      </c>
      <c r="H3" s="1"/>
      <c r="I3" s="1" t="s">
        <v>31</v>
      </c>
      <c r="J3" s="1" t="s">
        <v>32</v>
      </c>
      <c r="K3" s="1" t="s">
        <v>33</v>
      </c>
      <c r="L3" s="1" t="s">
        <v>34</v>
      </c>
      <c r="M3" s="1" t="s">
        <v>35</v>
      </c>
    </row>
    <row r="4" spans="2:15" x14ac:dyDescent="0.25">
      <c r="B4" s="4" t="s">
        <v>19</v>
      </c>
      <c r="C4" s="4">
        <v>780</v>
      </c>
      <c r="E4" s="4" t="s">
        <v>23</v>
      </c>
      <c r="F4" s="4">
        <v>240</v>
      </c>
      <c r="H4" s="1" t="s">
        <v>28</v>
      </c>
      <c r="I4" s="8">
        <v>40</v>
      </c>
      <c r="J4" s="8">
        <v>80</v>
      </c>
      <c r="K4" s="8">
        <v>40</v>
      </c>
      <c r="L4" s="8">
        <v>40</v>
      </c>
      <c r="M4" s="8">
        <v>50</v>
      </c>
    </row>
    <row r="5" spans="2:15" x14ac:dyDescent="0.25">
      <c r="B5" s="4" t="s">
        <v>20</v>
      </c>
      <c r="C5" s="4">
        <v>840</v>
      </c>
      <c r="E5" s="4" t="s">
        <v>24</v>
      </c>
      <c r="F5" s="4">
        <v>600</v>
      </c>
      <c r="H5" s="1" t="s">
        <v>29</v>
      </c>
      <c r="I5" s="8">
        <v>60</v>
      </c>
      <c r="J5" s="8">
        <v>50</v>
      </c>
      <c r="K5" s="8">
        <v>40</v>
      </c>
      <c r="L5" s="8">
        <v>30</v>
      </c>
      <c r="M5" s="8">
        <v>60</v>
      </c>
    </row>
    <row r="6" spans="2:15" x14ac:dyDescent="0.25">
      <c r="E6" s="4" t="s">
        <v>25</v>
      </c>
      <c r="F6" s="4">
        <v>480</v>
      </c>
      <c r="H6" s="1" t="s">
        <v>30</v>
      </c>
      <c r="I6" s="8">
        <v>30</v>
      </c>
      <c r="J6" s="8">
        <v>40</v>
      </c>
      <c r="K6" s="8">
        <v>50</v>
      </c>
      <c r="L6" s="8">
        <v>80</v>
      </c>
      <c r="M6" s="8">
        <v>80</v>
      </c>
    </row>
    <row r="7" spans="2:15" x14ac:dyDescent="0.25">
      <c r="E7" s="4" t="s">
        <v>26</v>
      </c>
      <c r="F7" s="4">
        <v>660</v>
      </c>
    </row>
    <row r="10" spans="2:15" x14ac:dyDescent="0.25">
      <c r="H10" s="13" t="s">
        <v>38</v>
      </c>
      <c r="I10" s="13"/>
      <c r="J10" s="13"/>
      <c r="K10" s="13"/>
      <c r="L10" s="13"/>
      <c r="M10" s="13"/>
    </row>
    <row r="11" spans="2:15" x14ac:dyDescent="0.25">
      <c r="H11" s="1"/>
      <c r="I11" s="1" t="s">
        <v>31</v>
      </c>
      <c r="J11" s="1" t="s">
        <v>32</v>
      </c>
      <c r="K11" s="1" t="s">
        <v>33</v>
      </c>
      <c r="L11" s="1" t="s">
        <v>34</v>
      </c>
      <c r="M11" s="1" t="s">
        <v>35</v>
      </c>
      <c r="N11" s="10" t="s">
        <v>39</v>
      </c>
    </row>
    <row r="12" spans="2:15" x14ac:dyDescent="0.25">
      <c r="H12" s="1" t="s">
        <v>28</v>
      </c>
      <c r="I12" s="1">
        <v>0</v>
      </c>
      <c r="J12" s="1">
        <v>0</v>
      </c>
      <c r="K12" s="1">
        <v>270</v>
      </c>
      <c r="L12" s="1">
        <v>0</v>
      </c>
      <c r="M12" s="1">
        <v>660</v>
      </c>
      <c r="N12" s="10">
        <f>SUM(I12:M12)</f>
        <v>930</v>
      </c>
      <c r="O12" t="s">
        <v>40</v>
      </c>
    </row>
    <row r="13" spans="2:15" x14ac:dyDescent="0.25">
      <c r="H13" s="1" t="s">
        <v>29</v>
      </c>
      <c r="I13" s="1">
        <v>0</v>
      </c>
      <c r="J13" s="1">
        <v>0</v>
      </c>
      <c r="K13" s="1">
        <v>300</v>
      </c>
      <c r="L13" s="1">
        <v>480</v>
      </c>
      <c r="M13" s="1">
        <v>0</v>
      </c>
      <c r="N13" s="10">
        <f t="shared" ref="N13:N14" si="0">SUM(I13:M13)</f>
        <v>780</v>
      </c>
    </row>
    <row r="14" spans="2:15" x14ac:dyDescent="0.25">
      <c r="B14" s="6" t="s">
        <v>36</v>
      </c>
      <c r="C14" s="6"/>
      <c r="D14" s="6">
        <f>SUMPRODUCT(I12:M14,I4:M6)</f>
        <v>97500</v>
      </c>
      <c r="E14" s="6"/>
      <c r="F14" s="6"/>
      <c r="H14" s="1" t="s">
        <v>30</v>
      </c>
      <c r="I14" s="1">
        <v>540</v>
      </c>
      <c r="J14" s="1">
        <v>240</v>
      </c>
      <c r="K14" s="1">
        <v>30</v>
      </c>
      <c r="L14" s="1">
        <v>0</v>
      </c>
      <c r="M14" s="1">
        <v>0</v>
      </c>
      <c r="N14" s="10">
        <f t="shared" si="0"/>
        <v>810</v>
      </c>
    </row>
    <row r="15" spans="2:15" x14ac:dyDescent="0.25">
      <c r="B15" s="6" t="s">
        <v>37</v>
      </c>
      <c r="C15" s="6"/>
      <c r="D15" s="6"/>
      <c r="E15" s="6"/>
      <c r="F15" s="6"/>
      <c r="H15" s="10" t="s">
        <v>39</v>
      </c>
      <c r="I15" s="10">
        <f>SUM(I12:I14)</f>
        <v>540</v>
      </c>
      <c r="J15" s="10">
        <f>SUM(J12:J14)</f>
        <v>240</v>
      </c>
      <c r="K15" s="10">
        <f>SUM(K12:K14)</f>
        <v>600</v>
      </c>
      <c r="L15" s="10">
        <f>SUM(L12:L14)</f>
        <v>480</v>
      </c>
      <c r="M15" s="10">
        <f>SUM(M12:M14)</f>
        <v>660</v>
      </c>
    </row>
    <row r="16" spans="2:15" x14ac:dyDescent="0.25">
      <c r="H16" s="9" t="s">
        <v>41</v>
      </c>
    </row>
    <row r="18" spans="2:10" x14ac:dyDescent="0.25">
      <c r="B18" s="5" t="s">
        <v>42</v>
      </c>
      <c r="C18" s="5"/>
    </row>
    <row r="19" spans="2:10" x14ac:dyDescent="0.25">
      <c r="B19" s="5" t="s">
        <v>22</v>
      </c>
      <c r="C19" s="5">
        <f>I15</f>
        <v>540</v>
      </c>
    </row>
    <row r="20" spans="2:10" x14ac:dyDescent="0.25">
      <c r="B20" s="5" t="s">
        <v>43</v>
      </c>
      <c r="C20" s="5">
        <f>J15</f>
        <v>240</v>
      </c>
    </row>
    <row r="21" spans="2:10" x14ac:dyDescent="0.25">
      <c r="B21" s="5" t="s">
        <v>24</v>
      </c>
      <c r="C21" s="5">
        <f>K15</f>
        <v>600</v>
      </c>
    </row>
    <row r="22" spans="2:10" x14ac:dyDescent="0.25">
      <c r="B22" s="5" t="s">
        <v>25</v>
      </c>
      <c r="C22" s="5">
        <f>L15</f>
        <v>480</v>
      </c>
    </row>
    <row r="23" spans="2:10" x14ac:dyDescent="0.25">
      <c r="B23" s="5" t="s">
        <v>26</v>
      </c>
      <c r="C23" s="5">
        <f>M15</f>
        <v>660</v>
      </c>
    </row>
    <row r="26" spans="2:10" x14ac:dyDescent="0.25">
      <c r="J26" t="s">
        <v>47</v>
      </c>
    </row>
    <row r="28" spans="2:10" x14ac:dyDescent="0.25">
      <c r="J28" t="s">
        <v>48</v>
      </c>
    </row>
  </sheetData>
  <mergeCells count="4">
    <mergeCell ref="B2:C2"/>
    <mergeCell ref="E2:F2"/>
    <mergeCell ref="H2:M2"/>
    <mergeCell ref="H10:M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25813-F648-47F1-A530-F2A5CDC96B3D}">
  <dimension ref="B1:I14"/>
  <sheetViews>
    <sheetView workbookViewId="0">
      <selection activeCell="J25" sqref="J25"/>
    </sheetView>
  </sheetViews>
  <sheetFormatPr baseColWidth="10" defaultRowHeight="15" x14ac:dyDescent="0.25"/>
  <sheetData>
    <row r="1" spans="2:9" x14ac:dyDescent="0.25">
      <c r="B1" s="1"/>
      <c r="C1" s="1" t="s">
        <v>51</v>
      </c>
      <c r="D1" s="1" t="s">
        <v>52</v>
      </c>
      <c r="E1" s="1" t="s">
        <v>3</v>
      </c>
    </row>
    <row r="2" spans="2:9" x14ac:dyDescent="0.25">
      <c r="B2" s="1" t="s">
        <v>49</v>
      </c>
      <c r="C2" s="1">
        <v>3</v>
      </c>
      <c r="D2" s="1">
        <v>3</v>
      </c>
      <c r="E2" s="1">
        <v>6</v>
      </c>
    </row>
    <row r="3" spans="2:9" x14ac:dyDescent="0.25">
      <c r="B3" s="1" t="s">
        <v>50</v>
      </c>
      <c r="C3" s="1">
        <v>4</v>
      </c>
      <c r="D3" s="1">
        <v>2</v>
      </c>
      <c r="E3" s="1">
        <v>5</v>
      </c>
    </row>
    <row r="6" spans="2:9" x14ac:dyDescent="0.25">
      <c r="B6" s="4" t="s">
        <v>17</v>
      </c>
      <c r="C6" s="4"/>
      <c r="E6" t="s">
        <v>55</v>
      </c>
    </row>
    <row r="7" spans="2:9" x14ac:dyDescent="0.25">
      <c r="B7" s="4" t="s">
        <v>53</v>
      </c>
      <c r="C7" s="4">
        <v>120</v>
      </c>
      <c r="E7" t="s">
        <v>56</v>
      </c>
      <c r="F7">
        <v>20</v>
      </c>
    </row>
    <row r="8" spans="2:9" x14ac:dyDescent="0.25">
      <c r="B8" s="4" t="s">
        <v>54</v>
      </c>
      <c r="C8" s="4">
        <v>180</v>
      </c>
      <c r="E8" t="s">
        <v>57</v>
      </c>
      <c r="F8">
        <v>30</v>
      </c>
    </row>
    <row r="11" spans="2:9" x14ac:dyDescent="0.25">
      <c r="G11" s="6" t="s">
        <v>58</v>
      </c>
      <c r="H11" s="6"/>
      <c r="I11" s="6"/>
    </row>
    <row r="12" spans="2:9" x14ac:dyDescent="0.25">
      <c r="B12" s="5" t="s">
        <v>60</v>
      </c>
      <c r="C12" s="5"/>
      <c r="G12" s="6" t="s">
        <v>59</v>
      </c>
      <c r="H12" s="6"/>
      <c r="I12" s="6">
        <f>SUMPRODUCT(F7:F8,E2:E3)</f>
        <v>270</v>
      </c>
    </row>
    <row r="13" spans="2:9" x14ac:dyDescent="0.25">
      <c r="B13" s="5" t="s">
        <v>54</v>
      </c>
      <c r="C13" s="5">
        <f>SUMPRODUCT(F7:F8,C2:C3)</f>
        <v>180</v>
      </c>
    </row>
    <row r="14" spans="2:9" x14ac:dyDescent="0.25">
      <c r="B14" s="5" t="s">
        <v>53</v>
      </c>
      <c r="C14" s="5">
        <f>SUMPRODUCT(F7:F8,D2:D3)</f>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1D4B3-E16E-4537-BBDA-6FE3CB0BC5D3}">
  <dimension ref="B2:Q16"/>
  <sheetViews>
    <sheetView workbookViewId="0">
      <selection activeCell="G6" sqref="G6"/>
    </sheetView>
  </sheetViews>
  <sheetFormatPr baseColWidth="10" defaultRowHeight="15" x14ac:dyDescent="0.25"/>
  <sheetData>
    <row r="2" spans="2:17" x14ac:dyDescent="0.25">
      <c r="B2" s="1"/>
      <c r="C2" s="1" t="s">
        <v>63</v>
      </c>
      <c r="D2" s="1" t="s">
        <v>64</v>
      </c>
      <c r="F2" s="11"/>
      <c r="G2" s="11" t="s">
        <v>65</v>
      </c>
      <c r="I2" s="4" t="s">
        <v>66</v>
      </c>
      <c r="J2" s="4"/>
      <c r="K2" s="4" t="s">
        <v>67</v>
      </c>
      <c r="L2" s="4"/>
      <c r="N2" s="5" t="s">
        <v>73</v>
      </c>
      <c r="O2" s="5"/>
      <c r="P2" s="5"/>
      <c r="Q2" s="5">
        <f>SUM(G3:G4)</f>
        <v>200</v>
      </c>
    </row>
    <row r="3" spans="2:17" x14ac:dyDescent="0.25">
      <c r="B3" s="1" t="s">
        <v>61</v>
      </c>
      <c r="C3" s="1">
        <v>60</v>
      </c>
      <c r="D3" s="1">
        <v>20</v>
      </c>
      <c r="F3" s="11" t="s">
        <v>63</v>
      </c>
      <c r="G3" s="11">
        <f>SUM(C3:C4)</f>
        <v>80</v>
      </c>
      <c r="I3" s="4" t="s">
        <v>65</v>
      </c>
      <c r="J3" s="4">
        <v>200</v>
      </c>
      <c r="K3" s="4" t="s">
        <v>68</v>
      </c>
      <c r="L3" s="4">
        <v>80</v>
      </c>
      <c r="N3" s="5" t="s">
        <v>74</v>
      </c>
      <c r="O3" s="5"/>
      <c r="P3" s="5"/>
      <c r="Q3" s="5">
        <f>SUM(C3:D3)</f>
        <v>80</v>
      </c>
    </row>
    <row r="4" spans="2:17" x14ac:dyDescent="0.25">
      <c r="B4" s="1" t="s">
        <v>62</v>
      </c>
      <c r="C4" s="1">
        <v>20</v>
      </c>
      <c r="D4" s="1">
        <v>100</v>
      </c>
      <c r="F4" s="11" t="s">
        <v>64</v>
      </c>
      <c r="G4" s="11">
        <f>SUM(D3:D4)</f>
        <v>120</v>
      </c>
      <c r="K4" s="4" t="s">
        <v>69</v>
      </c>
      <c r="L4" s="4">
        <v>120</v>
      </c>
      <c r="N4" s="5" t="s">
        <v>75</v>
      </c>
      <c r="O4" s="5"/>
      <c r="P4" s="5"/>
      <c r="Q4" s="5">
        <f>SUM(C4:D4)</f>
        <v>120</v>
      </c>
    </row>
    <row r="7" spans="2:17" x14ac:dyDescent="0.25">
      <c r="B7" s="1"/>
      <c r="C7" s="1" t="s">
        <v>63</v>
      </c>
      <c r="D7" s="1" t="s">
        <v>64</v>
      </c>
      <c r="F7" s="1"/>
      <c r="G7" s="1" t="s">
        <v>65</v>
      </c>
      <c r="I7" s="4" t="s">
        <v>70</v>
      </c>
      <c r="J7" s="4"/>
      <c r="K7" s="4"/>
      <c r="L7" s="4"/>
      <c r="M7" s="4"/>
      <c r="N7" s="4"/>
    </row>
    <row r="8" spans="2:17" x14ac:dyDescent="0.25">
      <c r="B8" s="1" t="s">
        <v>61</v>
      </c>
      <c r="C8" s="1">
        <v>6000</v>
      </c>
      <c r="D8" s="1">
        <v>5100</v>
      </c>
      <c r="F8" s="1" t="s">
        <v>63</v>
      </c>
      <c r="G8" s="1">
        <v>1200</v>
      </c>
      <c r="I8" s="4"/>
      <c r="J8" s="4"/>
      <c r="K8" s="4"/>
      <c r="L8" s="4"/>
      <c r="M8" s="4"/>
      <c r="N8" s="4"/>
    </row>
    <row r="9" spans="2:17" x14ac:dyDescent="0.25">
      <c r="B9" s="1" t="s">
        <v>62</v>
      </c>
      <c r="C9" s="1">
        <v>4800</v>
      </c>
      <c r="D9" s="1">
        <v>3300</v>
      </c>
      <c r="F9" s="1" t="s">
        <v>64</v>
      </c>
      <c r="G9" s="1">
        <v>2400</v>
      </c>
      <c r="I9" s="11"/>
      <c r="J9" s="11" t="s">
        <v>63</v>
      </c>
      <c r="K9" s="11" t="s">
        <v>64</v>
      </c>
      <c r="L9" s="4"/>
      <c r="M9" s="11"/>
      <c r="N9" s="11" t="s">
        <v>65</v>
      </c>
    </row>
    <row r="10" spans="2:17" x14ac:dyDescent="0.25">
      <c r="I10" s="11" t="s">
        <v>61</v>
      </c>
      <c r="J10" s="11">
        <v>60</v>
      </c>
      <c r="K10" s="11">
        <v>60</v>
      </c>
      <c r="L10" s="4"/>
      <c r="M10" s="11" t="s">
        <v>63</v>
      </c>
      <c r="N10" s="11">
        <v>140</v>
      </c>
    </row>
    <row r="11" spans="2:17" x14ac:dyDescent="0.25">
      <c r="I11" s="11" t="s">
        <v>62</v>
      </c>
      <c r="J11" s="11">
        <v>120</v>
      </c>
      <c r="K11" s="11">
        <v>100</v>
      </c>
      <c r="L11" s="4"/>
      <c r="M11" s="11" t="s">
        <v>64</v>
      </c>
      <c r="N11" s="11">
        <v>140</v>
      </c>
    </row>
    <row r="16" spans="2:17" x14ac:dyDescent="0.25">
      <c r="B16" s="6" t="s">
        <v>71</v>
      </c>
      <c r="C16" s="6"/>
      <c r="D16" s="6" t="s">
        <v>72</v>
      </c>
      <c r="E16" s="6"/>
      <c r="F16" s="6">
        <f>SUMPRODUCT(C3:D4,C8:D9)+SUMPRODUCT(G3:G4,G8:G9)</f>
        <v>1272000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63CC-1098-4D3D-BAD1-6ABF32BAB22E}">
  <dimension ref="B1:M9"/>
  <sheetViews>
    <sheetView workbookViewId="0">
      <selection activeCell="O10" sqref="O10"/>
    </sheetView>
  </sheetViews>
  <sheetFormatPr baseColWidth="10" defaultRowHeight="15" x14ac:dyDescent="0.25"/>
  <sheetData>
    <row r="1" spans="2:13" x14ac:dyDescent="0.25">
      <c r="D1" t="s">
        <v>78</v>
      </c>
      <c r="E1" t="s">
        <v>79</v>
      </c>
      <c r="F1" t="s">
        <v>80</v>
      </c>
      <c r="I1" s="4" t="s">
        <v>81</v>
      </c>
      <c r="J1" s="4"/>
      <c r="L1" s="5" t="s">
        <v>87</v>
      </c>
      <c r="M1" s="5"/>
    </row>
    <row r="2" spans="2:13" x14ac:dyDescent="0.25">
      <c r="B2" t="s">
        <v>76</v>
      </c>
      <c r="D2">
        <v>20000</v>
      </c>
      <c r="E2">
        <v>1</v>
      </c>
      <c r="F2">
        <v>3</v>
      </c>
      <c r="I2" s="4" t="s">
        <v>82</v>
      </c>
      <c r="J2" s="4">
        <v>120</v>
      </c>
      <c r="L2" s="5" t="s">
        <v>82</v>
      </c>
      <c r="M2" s="5">
        <f>SUMPRODUCT(C7:C8,F2:F3)</f>
        <v>120</v>
      </c>
    </row>
    <row r="3" spans="2:13" x14ac:dyDescent="0.25">
      <c r="B3" t="s">
        <v>77</v>
      </c>
      <c r="D3">
        <v>15000</v>
      </c>
      <c r="E3">
        <v>2</v>
      </c>
      <c r="F3">
        <v>2</v>
      </c>
      <c r="I3" s="4" t="s">
        <v>83</v>
      </c>
      <c r="J3" s="4">
        <v>80</v>
      </c>
      <c r="L3" s="5" t="s">
        <v>83</v>
      </c>
      <c r="M3" s="5">
        <f>SUMPRODUCT(C7:C8,E2:E3)</f>
        <v>80</v>
      </c>
    </row>
    <row r="6" spans="2:13" x14ac:dyDescent="0.25">
      <c r="B6" t="s">
        <v>8</v>
      </c>
    </row>
    <row r="7" spans="2:13" x14ac:dyDescent="0.25">
      <c r="B7" t="s">
        <v>85</v>
      </c>
      <c r="C7">
        <v>20.000000000000004</v>
      </c>
    </row>
    <row r="8" spans="2:13" x14ac:dyDescent="0.25">
      <c r="B8" t="s">
        <v>84</v>
      </c>
      <c r="C8">
        <v>29.999999999999996</v>
      </c>
    </row>
    <row r="9" spans="2:13" x14ac:dyDescent="0.25">
      <c r="F9" s="6" t="s">
        <v>86</v>
      </c>
      <c r="G9" s="6"/>
      <c r="H9" s="6"/>
      <c r="I9" s="6"/>
      <c r="J9" s="6">
        <f>SUMPRODUCT(C7:C8,D2:D3)</f>
        <v>850000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F4342-4136-4D44-BB40-5485E3F3A3CF}">
  <dimension ref="A2:Q16"/>
  <sheetViews>
    <sheetView topLeftCell="B1" workbookViewId="0">
      <selection activeCell="G19" sqref="G19"/>
    </sheetView>
  </sheetViews>
  <sheetFormatPr baseColWidth="10" defaultRowHeight="15" x14ac:dyDescent="0.25"/>
  <sheetData>
    <row r="2" spans="1:17" x14ac:dyDescent="0.25">
      <c r="P2" s="5" t="s">
        <v>87</v>
      </c>
      <c r="Q2" s="5"/>
    </row>
    <row r="3" spans="1:17" x14ac:dyDescent="0.25">
      <c r="H3" s="4" t="s">
        <v>93</v>
      </c>
      <c r="I3" s="4">
        <v>18500</v>
      </c>
      <c r="P3" s="5" t="s">
        <v>101</v>
      </c>
      <c r="Q3" s="5">
        <f>SUMPRODUCT(C9:E9,C6:E6)</f>
        <v>18200</v>
      </c>
    </row>
    <row r="4" spans="1:17" x14ac:dyDescent="0.25">
      <c r="C4" t="s">
        <v>88</v>
      </c>
      <c r="D4" t="s">
        <v>89</v>
      </c>
      <c r="E4" t="s">
        <v>90</v>
      </c>
      <c r="H4" s="4" t="s">
        <v>96</v>
      </c>
      <c r="I4" s="4"/>
      <c r="N4">
        <f>PRODUCT(0.1,SUM(C9:E9))</f>
        <v>2.8000000000000003</v>
      </c>
    </row>
    <row r="5" spans="1:17" x14ac:dyDescent="0.25">
      <c r="A5" t="s">
        <v>92</v>
      </c>
      <c r="C5">
        <v>100000</v>
      </c>
      <c r="D5">
        <v>18000</v>
      </c>
      <c r="E5">
        <v>40000</v>
      </c>
      <c r="F5" t="s">
        <v>95</v>
      </c>
      <c r="H5" s="4" t="s">
        <v>97</v>
      </c>
      <c r="I5" s="4"/>
      <c r="N5">
        <f>PRODUCT(0.5,SUM(C9:E9))</f>
        <v>14</v>
      </c>
    </row>
    <row r="6" spans="1:17" x14ac:dyDescent="0.25">
      <c r="A6" t="s">
        <v>91</v>
      </c>
      <c r="C6">
        <v>2000</v>
      </c>
      <c r="D6">
        <v>300</v>
      </c>
      <c r="E6">
        <v>600</v>
      </c>
    </row>
    <row r="9" spans="1:17" x14ac:dyDescent="0.25">
      <c r="A9" t="s">
        <v>94</v>
      </c>
      <c r="C9">
        <v>4</v>
      </c>
      <c r="D9">
        <v>14</v>
      </c>
      <c r="E9">
        <v>10</v>
      </c>
    </row>
    <row r="13" spans="1:17" x14ac:dyDescent="0.25">
      <c r="A13" s="12" t="s">
        <v>98</v>
      </c>
      <c r="B13" s="12"/>
      <c r="C13" s="12"/>
      <c r="D13" s="12"/>
      <c r="H13" t="s">
        <v>100</v>
      </c>
      <c r="L13">
        <f>SUMPRODUCT(C9:E9,C5:E5)</f>
        <v>1052000</v>
      </c>
    </row>
    <row r="14" spans="1:17" x14ac:dyDescent="0.25">
      <c r="A14" s="12"/>
      <c r="B14" s="12" t="s">
        <v>88</v>
      </c>
      <c r="C14" s="12" t="s">
        <v>89</v>
      </c>
      <c r="D14" s="12" t="s">
        <v>90</v>
      </c>
    </row>
    <row r="15" spans="1:17" x14ac:dyDescent="0.25">
      <c r="A15" s="12" t="s">
        <v>99</v>
      </c>
      <c r="B15" s="12">
        <v>2000</v>
      </c>
      <c r="C15" s="12">
        <v>300</v>
      </c>
      <c r="D15" s="12">
        <v>600</v>
      </c>
    </row>
    <row r="16" spans="1:17" x14ac:dyDescent="0.25">
      <c r="A16" s="12">
        <v>18500</v>
      </c>
      <c r="B16" s="12">
        <f>ROUND(A16/B15,0)</f>
        <v>9</v>
      </c>
      <c r="C16" s="12">
        <f>ROUND(A16/C15,0)</f>
        <v>62</v>
      </c>
      <c r="D16" s="12">
        <f>ROUND(A16/D15,0)</f>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A80CA-489C-4703-8515-0F29E7D3A5BB}">
  <dimension ref="B1:K9"/>
  <sheetViews>
    <sheetView workbookViewId="0">
      <selection activeCell="H8" sqref="H8"/>
    </sheetView>
  </sheetViews>
  <sheetFormatPr baseColWidth="10" defaultRowHeight="15" x14ac:dyDescent="0.25"/>
  <cols>
    <col min="5" max="5" width="13.85546875" bestFit="1" customWidth="1"/>
  </cols>
  <sheetData>
    <row r="1" spans="2:11" x14ac:dyDescent="0.25">
      <c r="C1" t="s">
        <v>104</v>
      </c>
      <c r="D1" t="s">
        <v>105</v>
      </c>
      <c r="E1" t="s">
        <v>106</v>
      </c>
      <c r="F1" t="s">
        <v>107</v>
      </c>
    </row>
    <row r="2" spans="2:11" x14ac:dyDescent="0.25">
      <c r="B2" t="s">
        <v>102</v>
      </c>
      <c r="C2">
        <v>4</v>
      </c>
      <c r="D2">
        <v>500</v>
      </c>
      <c r="E2">
        <v>500</v>
      </c>
      <c r="F2">
        <v>6</v>
      </c>
    </row>
    <row r="3" spans="2:11" x14ac:dyDescent="0.25">
      <c r="B3" t="s">
        <v>103</v>
      </c>
      <c r="C3">
        <v>3</v>
      </c>
      <c r="D3">
        <v>225</v>
      </c>
      <c r="E3">
        <v>300</v>
      </c>
      <c r="F3">
        <v>6.6666666666666661</v>
      </c>
    </row>
    <row r="7" spans="2:11" x14ac:dyDescent="0.25">
      <c r="B7" s="4" t="s">
        <v>9</v>
      </c>
      <c r="C7" s="4"/>
      <c r="E7" s="5" t="s">
        <v>87</v>
      </c>
      <c r="F7" s="5"/>
      <c r="H7" s="6" t="s">
        <v>108</v>
      </c>
      <c r="I7" s="6"/>
      <c r="J7" s="6"/>
      <c r="K7" s="6"/>
    </row>
    <row r="8" spans="2:11" x14ac:dyDescent="0.25">
      <c r="B8" s="4" t="s">
        <v>109</v>
      </c>
      <c r="C8" s="4">
        <v>4500</v>
      </c>
      <c r="E8" s="5" t="s">
        <v>111</v>
      </c>
      <c r="F8" s="5">
        <f>SUMPRODUCT(D2:D3,F2:F3)</f>
        <v>4500</v>
      </c>
      <c r="H8" s="6">
        <f>SUMPRODUCT(F2:F3,E2:E3)</f>
        <v>5000</v>
      </c>
      <c r="I8" s="6"/>
      <c r="J8" s="6"/>
      <c r="K8" s="6"/>
    </row>
    <row r="9" spans="2:11" x14ac:dyDescent="0.25">
      <c r="B9" s="4" t="s">
        <v>110</v>
      </c>
      <c r="C9" s="4">
        <v>44</v>
      </c>
      <c r="E9" s="5" t="s">
        <v>112</v>
      </c>
      <c r="F9" s="5">
        <f>SUMPRODUCT(C2:C3,F2:F3)</f>
        <v>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F7A-861F-4F86-B09F-528F7D03A0BA}">
  <dimension ref="B2:F15"/>
  <sheetViews>
    <sheetView workbookViewId="0">
      <selection activeCell="C11" sqref="C11"/>
    </sheetView>
  </sheetViews>
  <sheetFormatPr baseColWidth="10" defaultRowHeight="15" x14ac:dyDescent="0.25"/>
  <sheetData>
    <row r="2" spans="2:6" x14ac:dyDescent="0.25">
      <c r="C2" t="s">
        <v>115</v>
      </c>
      <c r="D2" t="s">
        <v>116</v>
      </c>
      <c r="E2" t="s">
        <v>117</v>
      </c>
      <c r="F2" t="s">
        <v>122</v>
      </c>
    </row>
    <row r="3" spans="2:6" x14ac:dyDescent="0.25">
      <c r="B3" t="s">
        <v>113</v>
      </c>
      <c r="C3">
        <v>40</v>
      </c>
      <c r="D3">
        <v>4</v>
      </c>
      <c r="E3">
        <v>3</v>
      </c>
      <c r="F3">
        <v>9</v>
      </c>
    </row>
    <row r="4" spans="2:6" x14ac:dyDescent="0.25">
      <c r="B4" t="s">
        <v>114</v>
      </c>
      <c r="C4">
        <v>20</v>
      </c>
      <c r="D4">
        <v>3</v>
      </c>
      <c r="E4">
        <v>5</v>
      </c>
      <c r="F4">
        <v>4</v>
      </c>
    </row>
    <row r="7" spans="2:6" x14ac:dyDescent="0.25">
      <c r="B7" t="s">
        <v>118</v>
      </c>
    </row>
    <row r="8" spans="2:6" x14ac:dyDescent="0.25">
      <c r="B8" t="s">
        <v>119</v>
      </c>
      <c r="C8">
        <v>48</v>
      </c>
      <c r="F8" t="s">
        <v>121</v>
      </c>
    </row>
    <row r="9" spans="2:6" x14ac:dyDescent="0.25">
      <c r="B9" t="s">
        <v>117</v>
      </c>
      <c r="C9">
        <v>60</v>
      </c>
      <c r="F9">
        <f>SUMPRODUCT(F3:F4,C3:C4)</f>
        <v>440</v>
      </c>
    </row>
    <row r="10" spans="2:6" x14ac:dyDescent="0.25">
      <c r="B10" t="s">
        <v>120</v>
      </c>
      <c r="C10">
        <v>9</v>
      </c>
    </row>
    <row r="13" spans="2:6" x14ac:dyDescent="0.25">
      <c r="B13" t="s">
        <v>123</v>
      </c>
    </row>
    <row r="14" spans="2:6" x14ac:dyDescent="0.25">
      <c r="B14" t="s">
        <v>124</v>
      </c>
      <c r="C14">
        <f>SUMPRODUCT(F3:F4,D3:D4)</f>
        <v>48</v>
      </c>
    </row>
    <row r="15" spans="2:6" x14ac:dyDescent="0.25">
      <c r="B15" t="s">
        <v>117</v>
      </c>
      <c r="C15">
        <f>SUMPRODUCT(F3:F4,E3:E4)</f>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93C45-E404-47FE-8983-089855C590AB}">
  <dimension ref="A1:I12"/>
  <sheetViews>
    <sheetView workbookViewId="0">
      <selection activeCell="B17" sqref="B17"/>
    </sheetView>
  </sheetViews>
  <sheetFormatPr baseColWidth="10" defaultRowHeight="15" x14ac:dyDescent="0.25"/>
  <sheetData>
    <row r="1" spans="1:9" x14ac:dyDescent="0.25">
      <c r="B1" t="s">
        <v>127</v>
      </c>
      <c r="C1" t="s">
        <v>128</v>
      </c>
    </row>
    <row r="2" spans="1:9" x14ac:dyDescent="0.25">
      <c r="A2" t="s">
        <v>125</v>
      </c>
      <c r="B2">
        <v>250</v>
      </c>
      <c r="C2">
        <v>20</v>
      </c>
      <c r="G2" s="6" t="s">
        <v>135</v>
      </c>
      <c r="H2" s="6"/>
      <c r="I2" s="6"/>
    </row>
    <row r="3" spans="1:9" x14ac:dyDescent="0.25">
      <c r="A3" t="s">
        <v>126</v>
      </c>
      <c r="B3">
        <v>200</v>
      </c>
      <c r="C3">
        <v>20</v>
      </c>
      <c r="G3" s="6">
        <f>SUMPRODUCT(C2:C3,B2:B3)</f>
        <v>9000</v>
      </c>
      <c r="H3" s="6"/>
      <c r="I3" s="6"/>
    </row>
    <row r="6" spans="1:9" x14ac:dyDescent="0.25">
      <c r="A6" s="4" t="s">
        <v>9</v>
      </c>
      <c r="B6" s="4"/>
      <c r="D6" s="4" t="s">
        <v>130</v>
      </c>
      <c r="E6" s="4"/>
    </row>
    <row r="7" spans="1:9" x14ac:dyDescent="0.25">
      <c r="A7" s="4" t="s">
        <v>129</v>
      </c>
      <c r="B7" s="4"/>
      <c r="D7" s="4" t="s">
        <v>131</v>
      </c>
      <c r="E7" s="4">
        <v>30</v>
      </c>
    </row>
    <row r="8" spans="1:9" x14ac:dyDescent="0.25">
      <c r="A8" s="4" t="s">
        <v>136</v>
      </c>
      <c r="B8" s="4"/>
      <c r="D8" s="4" t="s">
        <v>126</v>
      </c>
      <c r="E8" s="4">
        <v>20</v>
      </c>
    </row>
    <row r="10" spans="1:9" x14ac:dyDescent="0.25">
      <c r="A10" s="5" t="s">
        <v>132</v>
      </c>
      <c r="B10" s="5"/>
    </row>
    <row r="11" spans="1:9" x14ac:dyDescent="0.25">
      <c r="A11" s="5" t="s">
        <v>133</v>
      </c>
      <c r="B11" s="5">
        <f>C3</f>
        <v>20</v>
      </c>
    </row>
    <row r="12" spans="1:9" x14ac:dyDescent="0.25">
      <c r="A12" s="5" t="s">
        <v>134</v>
      </c>
      <c r="B12" s="5">
        <f>C2</f>
        <v>20</v>
      </c>
      <c r="C12" s="5">
        <f>PRODUCT(B12,2)</f>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38FB7-9703-4049-AF85-CEF6E31FE9FF}">
  <dimension ref="A1:Q14"/>
  <sheetViews>
    <sheetView workbookViewId="0">
      <selection activeCell="H23" sqref="H23"/>
    </sheetView>
  </sheetViews>
  <sheetFormatPr baseColWidth="10" defaultRowHeight="15" x14ac:dyDescent="0.25"/>
  <cols>
    <col min="2" max="2" width="13.85546875" bestFit="1" customWidth="1"/>
    <col min="5" max="5" width="18.85546875" bestFit="1" customWidth="1"/>
  </cols>
  <sheetData>
    <row r="1" spans="1:17" x14ac:dyDescent="0.25">
      <c r="C1" t="s">
        <v>139</v>
      </c>
      <c r="D1" t="s">
        <v>140</v>
      </c>
      <c r="E1" t="s">
        <v>142</v>
      </c>
      <c r="F1" t="s">
        <v>107</v>
      </c>
      <c r="I1" s="5" t="s">
        <v>147</v>
      </c>
      <c r="J1" s="5" t="s">
        <v>148</v>
      </c>
    </row>
    <row r="2" spans="1:17" x14ac:dyDescent="0.25">
      <c r="B2" t="s">
        <v>137</v>
      </c>
      <c r="C2">
        <v>5</v>
      </c>
      <c r="D2">
        <v>3</v>
      </c>
      <c r="E2">
        <v>2750</v>
      </c>
      <c r="F2">
        <v>1500</v>
      </c>
      <c r="I2" s="5">
        <f>SUMPRODUCT(F2:F3,C2:C3)+C5</f>
        <v>10000</v>
      </c>
      <c r="J2" s="5">
        <f>SUMPRODUCT(F2:F3,D2:D3)+D5</f>
        <v>8500</v>
      </c>
    </row>
    <row r="3" spans="1:17" x14ac:dyDescent="0.25">
      <c r="B3" t="s">
        <v>138</v>
      </c>
      <c r="C3">
        <v>2</v>
      </c>
      <c r="D3">
        <v>3</v>
      </c>
      <c r="E3">
        <v>1300</v>
      </c>
      <c r="F3">
        <v>1250</v>
      </c>
    </row>
    <row r="4" spans="1:17" x14ac:dyDescent="0.25">
      <c r="B4" t="s">
        <v>143</v>
      </c>
      <c r="C4">
        <v>375</v>
      </c>
      <c r="D4">
        <v>167</v>
      </c>
    </row>
    <row r="5" spans="1:17" x14ac:dyDescent="0.25">
      <c r="B5" t="s">
        <v>8</v>
      </c>
      <c r="C5">
        <v>0</v>
      </c>
      <c r="D5">
        <v>250</v>
      </c>
    </row>
    <row r="8" spans="1:17" x14ac:dyDescent="0.25">
      <c r="A8" s="4" t="s">
        <v>146</v>
      </c>
      <c r="B8" s="4"/>
      <c r="C8" s="4"/>
      <c r="D8" s="4"/>
      <c r="E8" s="4"/>
      <c r="F8" s="4"/>
      <c r="G8" s="4"/>
    </row>
    <row r="10" spans="1:17" x14ac:dyDescent="0.25">
      <c r="A10" s="4" t="s">
        <v>17</v>
      </c>
      <c r="B10" s="4"/>
      <c r="C10" s="4"/>
      <c r="G10" s="6" t="s">
        <v>145</v>
      </c>
      <c r="H10" s="6"/>
      <c r="I10" s="6"/>
      <c r="J10" s="6"/>
      <c r="K10" s="6"/>
      <c r="L10" s="6"/>
      <c r="M10" s="6"/>
      <c r="N10" s="6"/>
      <c r="O10" s="6"/>
      <c r="P10" s="6"/>
      <c r="Q10" s="6"/>
    </row>
    <row r="11" spans="1:17" x14ac:dyDescent="0.25">
      <c r="A11" s="4" t="s">
        <v>144</v>
      </c>
      <c r="B11" s="4">
        <v>10000</v>
      </c>
      <c r="C11" s="4">
        <v>8500</v>
      </c>
      <c r="G11" s="6">
        <f>SUMPRODUCT(F2:F3,E2:E3)+SUMPRODUCT(C5:D5,C4:D4)</f>
        <v>5791750</v>
      </c>
      <c r="H11" s="6"/>
      <c r="I11" s="6"/>
      <c r="J11" s="6"/>
      <c r="K11" s="6"/>
      <c r="L11" s="6"/>
      <c r="M11" s="6"/>
      <c r="N11" s="6"/>
      <c r="O11" s="6"/>
      <c r="P11" s="6"/>
      <c r="Q11" s="6"/>
    </row>
    <row r="13" spans="1:17" x14ac:dyDescent="0.25">
      <c r="A13" s="4" t="s">
        <v>9</v>
      </c>
      <c r="B13" s="4"/>
      <c r="C13" s="4"/>
      <c r="D13" s="4"/>
      <c r="E13" s="4"/>
    </row>
    <row r="14" spans="1:17" x14ac:dyDescent="0.25">
      <c r="A14" s="4" t="s">
        <v>141</v>
      </c>
      <c r="B14" s="4"/>
      <c r="C14" s="4"/>
      <c r="D14" s="4">
        <v>1500</v>
      </c>
      <c r="E14"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3FB22-ECAF-427E-9DAB-CCC3BE01FEBD}">
  <dimension ref="A14:I29"/>
  <sheetViews>
    <sheetView topLeftCell="A13" workbookViewId="0">
      <selection activeCell="N32" sqref="N32"/>
    </sheetView>
  </sheetViews>
  <sheetFormatPr baseColWidth="10" defaultRowHeight="15" x14ac:dyDescent="0.25"/>
  <sheetData>
    <row r="14" spans="4:4" x14ac:dyDescent="0.25">
      <c r="D14" t="s">
        <v>155</v>
      </c>
    </row>
    <row r="17" spans="1:9" x14ac:dyDescent="0.25">
      <c r="B17" t="s">
        <v>149</v>
      </c>
      <c r="C17" t="s">
        <v>152</v>
      </c>
      <c r="D17" t="s">
        <v>153</v>
      </c>
      <c r="E17" t="s">
        <v>154</v>
      </c>
      <c r="G17" t="s">
        <v>156</v>
      </c>
      <c r="H17" t="s">
        <v>157</v>
      </c>
    </row>
    <row r="18" spans="1:9" x14ac:dyDescent="0.25">
      <c r="B18" t="s">
        <v>150</v>
      </c>
      <c r="C18">
        <v>20</v>
      </c>
      <c r="D18">
        <v>40</v>
      </c>
      <c r="E18">
        <f>SUM(C18:D18)</f>
        <v>60</v>
      </c>
      <c r="G18">
        <v>30</v>
      </c>
      <c r="H18">
        <v>50</v>
      </c>
    </row>
    <row r="19" spans="1:9" x14ac:dyDescent="0.25">
      <c r="B19" t="s">
        <v>151</v>
      </c>
      <c r="C19">
        <f>PRODUCT(0.5,E18)</f>
        <v>30</v>
      </c>
      <c r="D19">
        <f>PRODUCT(0.5,E18)</f>
        <v>30</v>
      </c>
      <c r="G19">
        <v>40</v>
      </c>
      <c r="H19">
        <v>66.666666666666671</v>
      </c>
      <c r="I19" t="s">
        <v>163</v>
      </c>
    </row>
    <row r="22" spans="1:9" x14ac:dyDescent="0.25">
      <c r="A22" t="s">
        <v>164</v>
      </c>
    </row>
    <row r="23" spans="1:9" x14ac:dyDescent="0.25">
      <c r="A23" t="s">
        <v>158</v>
      </c>
      <c r="D23">
        <v>3000</v>
      </c>
    </row>
    <row r="24" spans="1:9" x14ac:dyDescent="0.25">
      <c r="A24" t="s">
        <v>159</v>
      </c>
      <c r="D24">
        <v>4000</v>
      </c>
    </row>
    <row r="26" spans="1:9" x14ac:dyDescent="0.25">
      <c r="G26" t="s">
        <v>162</v>
      </c>
    </row>
    <row r="27" spans="1:9" x14ac:dyDescent="0.25">
      <c r="A27" t="s">
        <v>87</v>
      </c>
      <c r="G27">
        <f>SUMPRODUCT(H18:H19,G18:G19)</f>
        <v>4166.666666666667</v>
      </c>
    </row>
    <row r="28" spans="1:9" x14ac:dyDescent="0.25">
      <c r="A28" t="s">
        <v>160</v>
      </c>
      <c r="D28">
        <f>SUMPRODUCT(H18:H19,C18:C19)</f>
        <v>3000</v>
      </c>
    </row>
    <row r="29" spans="1:9" x14ac:dyDescent="0.25">
      <c r="A29" t="s">
        <v>161</v>
      </c>
      <c r="D29">
        <f>SUMPRODUCT(H18:H19,D18:D19)</f>
        <v>4000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B6E0E-E914-4ADB-8D54-748F6EBF6699}">
  <dimension ref="A1:J49"/>
  <sheetViews>
    <sheetView topLeftCell="A25" workbookViewId="0">
      <selection activeCell="D38" sqref="D38"/>
    </sheetView>
  </sheetViews>
  <sheetFormatPr baseColWidth="10" defaultRowHeight="15" x14ac:dyDescent="0.25"/>
  <cols>
    <col min="3" max="3" width="17.28515625" bestFit="1" customWidth="1"/>
    <col min="4" max="4" width="14.28515625" bestFit="1" customWidth="1"/>
    <col min="5" max="5" width="11.85546875" bestFit="1" customWidth="1"/>
  </cols>
  <sheetData>
    <row r="1" spans="1:10" x14ac:dyDescent="0.25">
      <c r="C1" s="4" t="s">
        <v>178</v>
      </c>
      <c r="D1" s="4"/>
    </row>
    <row r="2" spans="1:10" x14ac:dyDescent="0.25">
      <c r="A2" s="4" t="s">
        <v>165</v>
      </c>
      <c r="C2" s="4" t="s">
        <v>179</v>
      </c>
      <c r="D2" s="4" t="s">
        <v>172</v>
      </c>
      <c r="E2" s="4" t="s">
        <v>185</v>
      </c>
    </row>
    <row r="3" spans="1:10" x14ac:dyDescent="0.25">
      <c r="A3" s="4">
        <v>750000</v>
      </c>
      <c r="B3" s="15" t="s">
        <v>166</v>
      </c>
      <c r="C3" s="4">
        <f>PRODUCT($D$16,D3)</f>
        <v>689850</v>
      </c>
      <c r="D3" s="4">
        <v>21</v>
      </c>
      <c r="E3" s="4">
        <f>PRODUCT($C$21,$C$10,D3)</f>
        <v>1361304</v>
      </c>
    </row>
    <row r="4" spans="1:10" x14ac:dyDescent="0.25">
      <c r="A4" s="4">
        <v>810000</v>
      </c>
      <c r="B4" s="15" t="s">
        <v>167</v>
      </c>
      <c r="C4" s="4">
        <f t="shared" ref="C4:C8" si="0">PRODUCT($D$16,D4)</f>
        <v>657000</v>
      </c>
      <c r="D4" s="4">
        <v>20</v>
      </c>
      <c r="E4" s="4">
        <f>PRODUCT($C$21,$C$10,D4)</f>
        <v>1296480</v>
      </c>
      <c r="G4" s="6" t="s">
        <v>180</v>
      </c>
      <c r="H4" s="6"/>
      <c r="I4" s="6"/>
    </row>
    <row r="5" spans="1:10" x14ac:dyDescent="0.25">
      <c r="A5" s="4">
        <v>690000</v>
      </c>
      <c r="B5" s="15" t="s">
        <v>168</v>
      </c>
      <c r="C5" s="4">
        <f t="shared" si="0"/>
        <v>689850</v>
      </c>
      <c r="D5" s="4">
        <v>21</v>
      </c>
      <c r="E5" s="4">
        <f t="shared" ref="E5:E8" si="1">PRODUCT($C$21,$C$10,D5)</f>
        <v>1361304</v>
      </c>
      <c r="G5" s="6">
        <f>SUM(E3:E8)</f>
        <v>8038176</v>
      </c>
      <c r="H5" s="6"/>
      <c r="I5" s="6"/>
    </row>
    <row r="6" spans="1:10" x14ac:dyDescent="0.25">
      <c r="A6" s="4">
        <v>600000</v>
      </c>
      <c r="B6" s="15" t="s">
        <v>169</v>
      </c>
      <c r="C6" s="4">
        <f t="shared" si="0"/>
        <v>657000</v>
      </c>
      <c r="D6" s="4">
        <v>20</v>
      </c>
      <c r="E6" s="4">
        <f>PRODUCT($C$21,$C$10,D6)</f>
        <v>1296480</v>
      </c>
    </row>
    <row r="7" spans="1:10" x14ac:dyDescent="0.25">
      <c r="A7" s="4">
        <v>660000</v>
      </c>
      <c r="B7" s="15" t="s">
        <v>170</v>
      </c>
      <c r="C7" s="4">
        <f t="shared" si="0"/>
        <v>689850</v>
      </c>
      <c r="D7" s="4">
        <v>21</v>
      </c>
      <c r="E7" s="4">
        <f t="shared" si="1"/>
        <v>1361304</v>
      </c>
    </row>
    <row r="8" spans="1:10" x14ac:dyDescent="0.25">
      <c r="A8" s="4">
        <v>720000</v>
      </c>
      <c r="B8" s="15" t="s">
        <v>171</v>
      </c>
      <c r="C8" s="4">
        <f t="shared" si="0"/>
        <v>689850</v>
      </c>
      <c r="D8" s="4">
        <v>21</v>
      </c>
      <c r="E8" s="4">
        <f t="shared" si="1"/>
        <v>1361304</v>
      </c>
    </row>
    <row r="10" spans="1:10" x14ac:dyDescent="0.25">
      <c r="A10" t="s">
        <v>173</v>
      </c>
      <c r="C10">
        <v>876</v>
      </c>
      <c r="E10" t="s">
        <v>176</v>
      </c>
      <c r="J10" t="s">
        <v>9</v>
      </c>
    </row>
    <row r="11" spans="1:10" x14ac:dyDescent="0.25">
      <c r="A11" t="s">
        <v>174</v>
      </c>
      <c r="C11">
        <v>7</v>
      </c>
      <c r="D11">
        <v>30</v>
      </c>
      <c r="E11">
        <f>SUM(PRODUCT(C11,60),D11)</f>
        <v>450</v>
      </c>
      <c r="J11" t="s">
        <v>187</v>
      </c>
    </row>
    <row r="12" spans="1:10" x14ac:dyDescent="0.25">
      <c r="A12" t="s">
        <v>175</v>
      </c>
      <c r="D12">
        <v>12</v>
      </c>
    </row>
    <row r="14" spans="1:10" x14ac:dyDescent="0.25">
      <c r="A14" t="s">
        <v>177</v>
      </c>
      <c r="C14">
        <f>E11/D12</f>
        <v>37.5</v>
      </c>
    </row>
    <row r="16" spans="1:10" x14ac:dyDescent="0.25">
      <c r="A16" t="s">
        <v>188</v>
      </c>
      <c r="D16">
        <f>PRODUCT(C14,C10)</f>
        <v>32850</v>
      </c>
    </row>
    <row r="19" spans="1:8" x14ac:dyDescent="0.25">
      <c r="A19" t="s">
        <v>186</v>
      </c>
      <c r="C19" s="16">
        <v>9.25</v>
      </c>
      <c r="D19" t="s">
        <v>181</v>
      </c>
    </row>
    <row r="20" spans="1:8" x14ac:dyDescent="0.25">
      <c r="A20" t="s">
        <v>182</v>
      </c>
      <c r="C20">
        <v>8</v>
      </c>
      <c r="D20" t="s">
        <v>183</v>
      </c>
    </row>
    <row r="21" spans="1:8" x14ac:dyDescent="0.25">
      <c r="A21" t="s">
        <v>184</v>
      </c>
      <c r="C21">
        <f>PRODUCT(C19:C20)</f>
        <v>74</v>
      </c>
    </row>
    <row r="25" spans="1:8" x14ac:dyDescent="0.25">
      <c r="A25" t="s">
        <v>189</v>
      </c>
      <c r="D25" t="s">
        <v>190</v>
      </c>
    </row>
    <row r="26" spans="1:8" x14ac:dyDescent="0.25">
      <c r="A26" s="4">
        <v>60150.000000000058</v>
      </c>
      <c r="B26" s="17"/>
      <c r="C26" s="17"/>
      <c r="D26" s="17">
        <f>PRODUCT(A26,$H$28)</f>
        <v>180450.00000000017</v>
      </c>
    </row>
    <row r="27" spans="1:8" x14ac:dyDescent="0.25">
      <c r="A27" s="4">
        <v>153000.00000000003</v>
      </c>
      <c r="B27" s="17"/>
      <c r="C27" s="17"/>
      <c r="D27" s="17">
        <f t="shared" ref="D27:D31" si="2">PRODUCT(A27,$H$28)</f>
        <v>459000.00000000012</v>
      </c>
    </row>
    <row r="28" spans="1:8" x14ac:dyDescent="0.25">
      <c r="A28" s="4">
        <v>150.00000000005545</v>
      </c>
      <c r="B28" s="17"/>
      <c r="C28" s="17"/>
      <c r="D28" s="17">
        <f t="shared" si="2"/>
        <v>450.00000000016632</v>
      </c>
      <c r="F28" t="s">
        <v>191</v>
      </c>
      <c r="H28">
        <v>3</v>
      </c>
    </row>
    <row r="29" spans="1:8" x14ac:dyDescent="0.25">
      <c r="A29" s="4">
        <v>0</v>
      </c>
      <c r="B29" s="17"/>
      <c r="C29" s="17"/>
      <c r="D29" s="17">
        <f t="shared" si="2"/>
        <v>0</v>
      </c>
    </row>
    <row r="30" spans="1:8" x14ac:dyDescent="0.25">
      <c r="A30" s="4">
        <v>0</v>
      </c>
      <c r="B30" s="17"/>
      <c r="C30" s="17"/>
      <c r="D30" s="17">
        <f t="shared" si="2"/>
        <v>0</v>
      </c>
    </row>
    <row r="31" spans="1:8" x14ac:dyDescent="0.25">
      <c r="A31" s="4">
        <v>30150.000000000055</v>
      </c>
      <c r="B31" s="17"/>
      <c r="C31" s="17"/>
      <c r="D31" s="17">
        <f t="shared" si="2"/>
        <v>90450.00000000016</v>
      </c>
      <c r="F31" s="6" t="s">
        <v>192</v>
      </c>
      <c r="G31" s="6">
        <f>SUM(D26:D31)</f>
        <v>730350.00000000047</v>
      </c>
    </row>
    <row r="36" spans="1:4" x14ac:dyDescent="0.25">
      <c r="A36" t="s">
        <v>193</v>
      </c>
    </row>
    <row r="38" spans="1:4" x14ac:dyDescent="0.25">
      <c r="A38" s="6" t="s">
        <v>194</v>
      </c>
      <c r="B38" s="6"/>
      <c r="C38" s="6"/>
      <c r="D38" s="6">
        <f>SUM(G5,G31)</f>
        <v>8768526</v>
      </c>
    </row>
    <row r="40" spans="1:4" x14ac:dyDescent="0.25">
      <c r="A40" s="4" t="s">
        <v>195</v>
      </c>
      <c r="B40" s="4"/>
      <c r="C40" s="4"/>
    </row>
    <row r="41" spans="1:4" x14ac:dyDescent="0.25">
      <c r="A41" s="4"/>
      <c r="B41" s="4"/>
      <c r="C41" s="4"/>
    </row>
    <row r="42" spans="1:4" x14ac:dyDescent="0.25">
      <c r="A42" s="4" t="s">
        <v>196</v>
      </c>
      <c r="B42" s="4"/>
      <c r="C42" s="4"/>
    </row>
    <row r="43" spans="1:4" x14ac:dyDescent="0.25">
      <c r="A43" s="4" t="s">
        <v>197</v>
      </c>
      <c r="B43" s="4"/>
      <c r="C43" s="4"/>
    </row>
    <row r="44" spans="1:4" x14ac:dyDescent="0.25">
      <c r="A44" s="4" t="s">
        <v>198</v>
      </c>
      <c r="B44" s="4">
        <f>SUM(A26,C3)</f>
        <v>750000</v>
      </c>
      <c r="C44" s="4"/>
    </row>
    <row r="45" spans="1:4" x14ac:dyDescent="0.25">
      <c r="A45" s="4" t="s">
        <v>199</v>
      </c>
      <c r="B45" s="4">
        <f t="shared" ref="B45:B49" si="3">SUM(A27,C4)</f>
        <v>810000</v>
      </c>
      <c r="C45" s="4"/>
    </row>
    <row r="46" spans="1:4" x14ac:dyDescent="0.25">
      <c r="A46" s="4" t="s">
        <v>200</v>
      </c>
      <c r="B46" s="4">
        <f t="shared" si="3"/>
        <v>690000</v>
      </c>
      <c r="C46" s="4"/>
    </row>
    <row r="47" spans="1:4" x14ac:dyDescent="0.25">
      <c r="A47" s="4" t="s">
        <v>150</v>
      </c>
      <c r="B47" s="4">
        <f t="shared" si="3"/>
        <v>657000</v>
      </c>
      <c r="C47" s="4"/>
    </row>
    <row r="48" spans="1:4" x14ac:dyDescent="0.25">
      <c r="A48" s="4" t="s">
        <v>200</v>
      </c>
      <c r="B48" s="4">
        <f t="shared" si="3"/>
        <v>689850</v>
      </c>
      <c r="C48" s="4"/>
    </row>
    <row r="49" spans="1:3" x14ac:dyDescent="0.25">
      <c r="A49" s="4" t="s">
        <v>201</v>
      </c>
      <c r="B49" s="4">
        <f t="shared" si="3"/>
        <v>720000</v>
      </c>
      <c r="C49"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F4CB1-1A71-4C6D-B6B5-20920DA9190D}">
  <dimension ref="A4:U39"/>
  <sheetViews>
    <sheetView topLeftCell="A10" workbookViewId="0">
      <selection activeCell="B35" sqref="B35"/>
    </sheetView>
  </sheetViews>
  <sheetFormatPr baseColWidth="10" defaultRowHeight="15" x14ac:dyDescent="0.25"/>
  <sheetData>
    <row r="4" spans="2:18" x14ac:dyDescent="0.25">
      <c r="B4" s="18" t="s">
        <v>202</v>
      </c>
      <c r="C4" s="18"/>
      <c r="D4" s="18"/>
      <c r="E4" s="18"/>
      <c r="F4" s="18" t="s">
        <v>203</v>
      </c>
      <c r="G4" s="18"/>
      <c r="H4" s="18"/>
      <c r="K4" s="18" t="s">
        <v>204</v>
      </c>
      <c r="L4" s="18"/>
      <c r="M4" s="18"/>
      <c r="P4" s="18" t="s">
        <v>205</v>
      </c>
      <c r="Q4" s="18"/>
      <c r="R4" s="18"/>
    </row>
    <row r="5" spans="2:18" x14ac:dyDescent="0.25">
      <c r="B5" s="19" t="s">
        <v>206</v>
      </c>
      <c r="C5" s="19" t="s">
        <v>207</v>
      </c>
      <c r="D5" s="19" t="s">
        <v>208</v>
      </c>
      <c r="E5" s="19" t="s">
        <v>209</v>
      </c>
      <c r="F5" s="19" t="s">
        <v>207</v>
      </c>
      <c r="G5" s="19" t="s">
        <v>208</v>
      </c>
      <c r="H5" s="19" t="s">
        <v>209</v>
      </c>
      <c r="K5" s="19" t="s">
        <v>206</v>
      </c>
      <c r="L5" s="19" t="s">
        <v>210</v>
      </c>
      <c r="M5" s="19" t="s">
        <v>211</v>
      </c>
      <c r="P5" s="19" t="s">
        <v>206</v>
      </c>
      <c r="Q5" s="19" t="s">
        <v>210</v>
      </c>
      <c r="R5" s="19" t="s">
        <v>211</v>
      </c>
    </row>
    <row r="6" spans="2:18" x14ac:dyDescent="0.25">
      <c r="B6" s="19" t="s">
        <v>212</v>
      </c>
      <c r="C6" s="1">
        <v>8</v>
      </c>
      <c r="D6" s="1">
        <v>32</v>
      </c>
      <c r="E6" s="1">
        <v>4</v>
      </c>
      <c r="F6" s="1">
        <v>4</v>
      </c>
      <c r="G6" s="1">
        <v>8</v>
      </c>
      <c r="H6" s="1">
        <v>2</v>
      </c>
      <c r="K6" s="19" t="s">
        <v>212</v>
      </c>
      <c r="L6" s="1">
        <v>3200</v>
      </c>
      <c r="M6" s="1">
        <v>2200</v>
      </c>
      <c r="P6" s="19" t="s">
        <v>212</v>
      </c>
      <c r="Q6" s="1">
        <v>23</v>
      </c>
      <c r="R6" s="1">
        <v>31</v>
      </c>
    </row>
    <row r="7" spans="2:18" x14ac:dyDescent="0.25">
      <c r="B7" s="19" t="s">
        <v>213</v>
      </c>
      <c r="C7" s="1">
        <v>16</v>
      </c>
      <c r="D7" s="1">
        <v>64</v>
      </c>
      <c r="E7" s="1">
        <v>8</v>
      </c>
      <c r="F7" s="1">
        <v>8</v>
      </c>
      <c r="G7" s="1">
        <v>16</v>
      </c>
      <c r="H7" s="1">
        <v>4</v>
      </c>
      <c r="K7" s="19" t="s">
        <v>213</v>
      </c>
      <c r="L7" s="1">
        <v>3800</v>
      </c>
      <c r="M7" s="1">
        <v>2500</v>
      </c>
      <c r="P7" s="19" t="s">
        <v>213</v>
      </c>
      <c r="Q7" s="1">
        <v>30</v>
      </c>
      <c r="R7" s="1">
        <v>60</v>
      </c>
    </row>
    <row r="8" spans="2:18" x14ac:dyDescent="0.25">
      <c r="B8" s="19" t="s">
        <v>214</v>
      </c>
      <c r="C8" s="1">
        <v>32</v>
      </c>
      <c r="D8" s="1">
        <v>128</v>
      </c>
      <c r="E8" s="1">
        <v>16</v>
      </c>
      <c r="F8" s="1">
        <v>16</v>
      </c>
      <c r="G8" s="1">
        <v>32</v>
      </c>
      <c r="H8" s="1">
        <v>6</v>
      </c>
      <c r="K8" s="19" t="s">
        <v>214</v>
      </c>
      <c r="L8" s="1">
        <v>5000</v>
      </c>
      <c r="M8" s="1">
        <v>2900</v>
      </c>
      <c r="P8" s="19" t="s">
        <v>214</v>
      </c>
      <c r="Q8" s="1">
        <v>18</v>
      </c>
      <c r="R8" s="1">
        <v>40</v>
      </c>
    </row>
    <row r="9" spans="2:18" x14ac:dyDescent="0.25">
      <c r="B9" s="19" t="s">
        <v>215</v>
      </c>
      <c r="C9" s="1">
        <v>27</v>
      </c>
      <c r="D9" s="1">
        <v>5</v>
      </c>
      <c r="E9" s="1">
        <v>90</v>
      </c>
      <c r="F9" s="1">
        <v>30</v>
      </c>
      <c r="G9" s="1">
        <v>8</v>
      </c>
      <c r="H9" s="1">
        <v>120</v>
      </c>
    </row>
    <row r="15" spans="2:18" x14ac:dyDescent="0.25">
      <c r="K15" s="21" t="s">
        <v>226</v>
      </c>
      <c r="L15" s="21"/>
      <c r="M15" s="21"/>
      <c r="N15" s="21"/>
      <c r="O15" s="21"/>
      <c r="P15" s="21"/>
      <c r="Q15" s="21"/>
    </row>
    <row r="16" spans="2:18" x14ac:dyDescent="0.25">
      <c r="B16" s="21" t="s">
        <v>216</v>
      </c>
      <c r="C16" s="21"/>
      <c r="D16" s="21"/>
      <c r="E16" s="21"/>
      <c r="F16" s="21"/>
      <c r="G16" s="21"/>
      <c r="H16" s="21"/>
      <c r="K16" s="18" t="s">
        <v>202</v>
      </c>
      <c r="L16" s="18"/>
      <c r="M16" s="18"/>
      <c r="N16" s="18"/>
      <c r="O16" s="18" t="s">
        <v>203</v>
      </c>
      <c r="P16" s="18"/>
      <c r="Q16" s="18"/>
    </row>
    <row r="17" spans="1:21" x14ac:dyDescent="0.25">
      <c r="B17" s="18" t="s">
        <v>202</v>
      </c>
      <c r="C17" s="18"/>
      <c r="D17" s="18"/>
      <c r="E17" s="18"/>
      <c r="F17" s="18" t="s">
        <v>203</v>
      </c>
      <c r="G17" s="18"/>
      <c r="H17" s="18"/>
      <c r="K17" s="19" t="s">
        <v>206</v>
      </c>
      <c r="L17" s="19" t="s">
        <v>207</v>
      </c>
      <c r="M17" s="19" t="s">
        <v>208</v>
      </c>
      <c r="N17" s="19" t="s">
        <v>209</v>
      </c>
      <c r="O17" s="19" t="s">
        <v>207</v>
      </c>
      <c r="P17" s="19" t="s">
        <v>208</v>
      </c>
      <c r="Q17" s="19" t="s">
        <v>209</v>
      </c>
    </row>
    <row r="18" spans="1:21" x14ac:dyDescent="0.25">
      <c r="B18" s="19" t="s">
        <v>206</v>
      </c>
      <c r="C18" s="19" t="s">
        <v>207</v>
      </c>
      <c r="D18" s="19" t="s">
        <v>208</v>
      </c>
      <c r="E18" s="19" t="s">
        <v>209</v>
      </c>
      <c r="F18" s="19" t="s">
        <v>207</v>
      </c>
      <c r="G18" s="19" t="s">
        <v>208</v>
      </c>
      <c r="H18" s="19" t="s">
        <v>209</v>
      </c>
      <c r="K18" s="19" t="s">
        <v>212</v>
      </c>
      <c r="L18" s="1">
        <f>PRODUCT(C9,C6)</f>
        <v>216</v>
      </c>
      <c r="M18" s="1">
        <f t="shared" ref="M18:Q18" si="0">PRODUCT(D9,D6)</f>
        <v>160</v>
      </c>
      <c r="N18" s="1">
        <f t="shared" si="0"/>
        <v>360</v>
      </c>
      <c r="O18" s="1">
        <f t="shared" si="0"/>
        <v>120</v>
      </c>
      <c r="P18" s="1">
        <f t="shared" si="0"/>
        <v>64</v>
      </c>
      <c r="Q18" s="1">
        <f t="shared" si="0"/>
        <v>240</v>
      </c>
    </row>
    <row r="19" spans="1:21" x14ac:dyDescent="0.25">
      <c r="B19" s="19" t="s">
        <v>212</v>
      </c>
      <c r="C19" s="1">
        <f>PRODUCT(C6,Q6)</f>
        <v>184</v>
      </c>
      <c r="D19" s="1">
        <f>PRODUCT(D6,Q6)</f>
        <v>736</v>
      </c>
      <c r="E19" s="1">
        <f>PRODUCT(E6,Q6)</f>
        <v>92</v>
      </c>
      <c r="F19" s="1">
        <f>PRODUCT(F6,R6)</f>
        <v>124</v>
      </c>
      <c r="G19" s="1">
        <f>PRODUCT(G6,R6)</f>
        <v>248</v>
      </c>
      <c r="H19" s="1">
        <v>0</v>
      </c>
      <c r="K19" s="19" t="s">
        <v>213</v>
      </c>
      <c r="L19" s="1">
        <f>PRODUCT(C7,C9)</f>
        <v>432</v>
      </c>
      <c r="M19" s="1">
        <f t="shared" ref="M19:Q19" si="1">PRODUCT(D7,D9)</f>
        <v>320</v>
      </c>
      <c r="N19" s="1">
        <f t="shared" si="1"/>
        <v>720</v>
      </c>
      <c r="O19" s="1">
        <f t="shared" si="1"/>
        <v>240</v>
      </c>
      <c r="P19" s="1">
        <f t="shared" si="1"/>
        <v>128</v>
      </c>
      <c r="Q19" s="1">
        <f t="shared" si="1"/>
        <v>480</v>
      </c>
    </row>
    <row r="20" spans="1:21" x14ac:dyDescent="0.25">
      <c r="B20" s="19" t="s">
        <v>213</v>
      </c>
      <c r="C20" s="1">
        <f t="shared" ref="C20:C21" si="2">PRODUCT(C7,Q7)</f>
        <v>480</v>
      </c>
      <c r="D20" s="1">
        <f t="shared" ref="D20:D21" si="3">PRODUCT(D7,Q7)</f>
        <v>1920</v>
      </c>
      <c r="E20" s="1">
        <f t="shared" ref="E20:E21" si="4">PRODUCT(E7,Q7)</f>
        <v>240</v>
      </c>
      <c r="F20" s="1">
        <f t="shared" ref="F20:F21" si="5">PRODUCT(F7,R7)</f>
        <v>480</v>
      </c>
      <c r="G20" s="1">
        <v>10000</v>
      </c>
      <c r="H20" s="1">
        <f t="shared" ref="H20:H21" si="6">PRODUCT(H7,R7)</f>
        <v>240</v>
      </c>
      <c r="K20" s="19" t="s">
        <v>214</v>
      </c>
      <c r="L20" s="1">
        <f>PRODUCT(C8:C9)</f>
        <v>864</v>
      </c>
      <c r="M20" s="1">
        <f t="shared" ref="M20:Q20" si="7">PRODUCT(D8:D9)</f>
        <v>640</v>
      </c>
      <c r="N20" s="1">
        <f t="shared" si="7"/>
        <v>1440</v>
      </c>
      <c r="O20" s="1">
        <f t="shared" si="7"/>
        <v>480</v>
      </c>
      <c r="P20" s="1">
        <f t="shared" si="7"/>
        <v>256</v>
      </c>
      <c r="Q20" s="1">
        <f t="shared" si="7"/>
        <v>720</v>
      </c>
    </row>
    <row r="21" spans="1:21" x14ac:dyDescent="0.25">
      <c r="B21" s="19" t="s">
        <v>214</v>
      </c>
      <c r="C21" s="1">
        <f t="shared" si="2"/>
        <v>576</v>
      </c>
      <c r="D21" s="1">
        <f t="shared" si="3"/>
        <v>2304</v>
      </c>
      <c r="E21" s="1">
        <f t="shared" si="4"/>
        <v>288</v>
      </c>
      <c r="F21" s="1">
        <v>0</v>
      </c>
      <c r="G21" s="1">
        <v>100</v>
      </c>
      <c r="H21" s="1">
        <f t="shared" si="6"/>
        <v>240</v>
      </c>
    </row>
    <row r="22" spans="1:21" x14ac:dyDescent="0.25">
      <c r="E22" s="5" t="s">
        <v>234</v>
      </c>
      <c r="F22" s="5">
        <f>SUM(F19:F21)</f>
        <v>604</v>
      </c>
      <c r="G22" s="5">
        <f>SUM(G19:G21)</f>
        <v>10348</v>
      </c>
      <c r="H22" s="5">
        <f>SUM(H19:H21)</f>
        <v>480</v>
      </c>
      <c r="Q22" s="20" t="s">
        <v>229</v>
      </c>
      <c r="R22" s="20"/>
      <c r="S22" s="20"/>
      <c r="T22" s="20"/>
      <c r="U22" s="20"/>
    </row>
    <row r="23" spans="1:21" x14ac:dyDescent="0.25">
      <c r="K23" s="24" t="s">
        <v>219</v>
      </c>
      <c r="L23" s="25"/>
      <c r="N23" s="24" t="s">
        <v>219</v>
      </c>
      <c r="O23" s="25"/>
      <c r="Q23" s="24" t="s">
        <v>127</v>
      </c>
      <c r="R23" s="25"/>
      <c r="T23" s="24" t="s">
        <v>225</v>
      </c>
      <c r="U23" s="25"/>
    </row>
    <row r="24" spans="1:21" x14ac:dyDescent="0.25">
      <c r="B24" s="23" t="s">
        <v>217</v>
      </c>
      <c r="F24">
        <f>AVERAGE(C6:E8)</f>
        <v>34.222222222222221</v>
      </c>
      <c r="K24" s="24" t="s">
        <v>220</v>
      </c>
      <c r="L24" s="25"/>
      <c r="N24" s="24" t="s">
        <v>224</v>
      </c>
      <c r="O24" s="25"/>
      <c r="Q24" s="24" t="s">
        <v>220</v>
      </c>
      <c r="R24" s="25"/>
      <c r="T24" s="24" t="s">
        <v>227</v>
      </c>
      <c r="U24" s="25"/>
    </row>
    <row r="25" spans="1:21" x14ac:dyDescent="0.25">
      <c r="B25" s="23" t="s">
        <v>218</v>
      </c>
      <c r="F25">
        <f>AVERAGE(F6:H8)</f>
        <v>10.666666666666666</v>
      </c>
      <c r="K25" s="22" t="s">
        <v>221</v>
      </c>
      <c r="L25" s="22">
        <f>SUM(L18:N18)</f>
        <v>736</v>
      </c>
      <c r="N25" s="22" t="s">
        <v>221</v>
      </c>
      <c r="O25" s="22">
        <f>SUM(O18:Q18)</f>
        <v>424</v>
      </c>
      <c r="Q25" s="22" t="s">
        <v>221</v>
      </c>
      <c r="R25" s="22">
        <f>L6-L25</f>
        <v>2464</v>
      </c>
      <c r="T25" s="22" t="s">
        <v>221</v>
      </c>
      <c r="U25" s="22">
        <f>M6-O25</f>
        <v>1776</v>
      </c>
    </row>
    <row r="26" spans="1:21" x14ac:dyDescent="0.25">
      <c r="K26" s="22" t="s">
        <v>222</v>
      </c>
      <c r="L26" s="22">
        <f>SUM(L19:N19)</f>
        <v>1472</v>
      </c>
      <c r="N26" s="22" t="s">
        <v>222</v>
      </c>
      <c r="O26" s="22">
        <f>SUM(O19:Q19)</f>
        <v>848</v>
      </c>
      <c r="Q26" s="22" t="s">
        <v>222</v>
      </c>
      <c r="R26" s="22">
        <f t="shared" ref="R26:R27" si="8">L7-L26</f>
        <v>2328</v>
      </c>
      <c r="T26" s="22" t="s">
        <v>222</v>
      </c>
      <c r="U26" s="22">
        <f t="shared" ref="U26:U27" si="9">M7-O26</f>
        <v>1652</v>
      </c>
    </row>
    <row r="27" spans="1:21" x14ac:dyDescent="0.25">
      <c r="K27" s="22" t="s">
        <v>223</v>
      </c>
      <c r="L27" s="22">
        <f>SUM(L20:N20)</f>
        <v>2944</v>
      </c>
      <c r="N27" s="22" t="s">
        <v>223</v>
      </c>
      <c r="O27" s="22">
        <f>SUM(O20:Q20)</f>
        <v>1456</v>
      </c>
      <c r="Q27" s="22" t="s">
        <v>223</v>
      </c>
      <c r="R27" s="22">
        <f t="shared" si="8"/>
        <v>2056</v>
      </c>
      <c r="T27" s="22" t="s">
        <v>223</v>
      </c>
      <c r="U27" s="22">
        <f t="shared" si="9"/>
        <v>1444</v>
      </c>
    </row>
    <row r="29" spans="1:21" x14ac:dyDescent="0.25">
      <c r="B29" t="s">
        <v>232</v>
      </c>
    </row>
    <row r="30" spans="1:21" x14ac:dyDescent="0.25">
      <c r="A30" t="s">
        <v>233</v>
      </c>
      <c r="B30">
        <f>IF(AND(F22&gt;1000,G22&gt;1000,H22&gt;1000),1000,IF(AND(F22&lt;=1000,G22&lt;=1000,H22&lt;=1000),0,300))</f>
        <v>300</v>
      </c>
      <c r="K30" s="18" t="s">
        <v>228</v>
      </c>
      <c r="L30" s="18"/>
      <c r="M30" s="18"/>
      <c r="N30" s="18"/>
    </row>
    <row r="31" spans="1:21" x14ac:dyDescent="0.25">
      <c r="K31" s="26" t="s">
        <v>230</v>
      </c>
      <c r="L31" s="27"/>
      <c r="M31" s="26" t="s">
        <v>227</v>
      </c>
      <c r="N31" s="27"/>
    </row>
    <row r="32" spans="1:21" x14ac:dyDescent="0.25">
      <c r="B32" t="s">
        <v>235</v>
      </c>
      <c r="C32" t="s">
        <v>236</v>
      </c>
      <c r="D32" t="s">
        <v>236</v>
      </c>
      <c r="K32" s="19" t="s">
        <v>221</v>
      </c>
      <c r="L32" s="1">
        <f>R25*Q6</f>
        <v>56672</v>
      </c>
      <c r="M32" s="22" t="s">
        <v>221</v>
      </c>
      <c r="N32" s="1">
        <f>PRODUCT(U25,R6)</f>
        <v>55056</v>
      </c>
      <c r="P32" s="5" t="s">
        <v>231</v>
      </c>
      <c r="Q32" s="5"/>
      <c r="R32" s="5">
        <f>SUM(L32:L34,N32:N34)</f>
        <v>375456</v>
      </c>
    </row>
    <row r="33" spans="1:14" x14ac:dyDescent="0.25">
      <c r="B33">
        <f>F22</f>
        <v>604</v>
      </c>
      <c r="C33">
        <f t="shared" ref="C33:D33" si="10">G22</f>
        <v>10348</v>
      </c>
      <c r="D33">
        <f t="shared" si="10"/>
        <v>480</v>
      </c>
      <c r="K33" s="19" t="s">
        <v>222</v>
      </c>
      <c r="L33" s="1">
        <f t="shared" ref="L33:L34" si="11">R26*Q7</f>
        <v>69840</v>
      </c>
      <c r="M33" s="22" t="s">
        <v>222</v>
      </c>
      <c r="N33" s="1">
        <f t="shared" ref="N33:N34" si="12">PRODUCT(U26,R7)</f>
        <v>99120</v>
      </c>
    </row>
    <row r="34" spans="1:14" x14ac:dyDescent="0.25">
      <c r="B34" t="str">
        <f>HLOOKUP(B33,$B$38:$D$39,2,TRUE)</f>
        <v>no</v>
      </c>
      <c r="C34" t="str">
        <f t="shared" ref="C34:D34" si="13">HLOOKUP(C33,$B$38:$D$39,2,TRUE)</f>
        <v>si</v>
      </c>
      <c r="D34" t="str">
        <f t="shared" si="13"/>
        <v>no</v>
      </c>
      <c r="K34" s="19" t="s">
        <v>223</v>
      </c>
      <c r="L34" s="1">
        <f t="shared" si="11"/>
        <v>37008</v>
      </c>
      <c r="M34" s="22" t="s">
        <v>223</v>
      </c>
      <c r="N34" s="1">
        <f t="shared" si="12"/>
        <v>57760</v>
      </c>
    </row>
    <row r="35" spans="1:14" x14ac:dyDescent="0.25">
      <c r="A35" t="s">
        <v>237</v>
      </c>
      <c r="B35" s="28">
        <f>IF(B34:D34="no",0,IF(B34:D34="si",1000,300))</f>
        <v>0</v>
      </c>
      <c r="C35" s="28"/>
      <c r="D35" s="28"/>
    </row>
    <row r="38" spans="1:14" x14ac:dyDescent="0.25">
      <c r="B38">
        <v>0</v>
      </c>
      <c r="C38">
        <v>1000</v>
      </c>
      <c r="D38">
        <v>100000</v>
      </c>
    </row>
    <row r="39" spans="1:14" x14ac:dyDescent="0.25">
      <c r="B39" t="s">
        <v>238</v>
      </c>
      <c r="C39" t="s">
        <v>239</v>
      </c>
      <c r="D39" t="s">
        <v>239</v>
      </c>
    </row>
  </sheetData>
  <mergeCells count="22">
    <mergeCell ref="T23:U23"/>
    <mergeCell ref="T24:U24"/>
    <mergeCell ref="K15:Q15"/>
    <mergeCell ref="Q22:U22"/>
    <mergeCell ref="K30:N30"/>
    <mergeCell ref="K31:L31"/>
    <mergeCell ref="M31:N31"/>
    <mergeCell ref="K23:L23"/>
    <mergeCell ref="K24:L24"/>
    <mergeCell ref="N23:O23"/>
    <mergeCell ref="N24:O24"/>
    <mergeCell ref="Q23:R23"/>
    <mergeCell ref="Q24:R24"/>
    <mergeCell ref="B4:E4"/>
    <mergeCell ref="F4:H4"/>
    <mergeCell ref="K4:M4"/>
    <mergeCell ref="P4:R4"/>
    <mergeCell ref="B17:E17"/>
    <mergeCell ref="F17:H17"/>
    <mergeCell ref="B16:H16"/>
    <mergeCell ref="K16:N16"/>
    <mergeCell ref="O16:Q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B29AF-16C0-49F0-BB45-0847FD307C12}">
  <dimension ref="A2:T31"/>
  <sheetViews>
    <sheetView workbookViewId="0">
      <selection activeCell="P11" sqref="P11"/>
    </sheetView>
  </sheetViews>
  <sheetFormatPr baseColWidth="10" defaultRowHeight="15" x14ac:dyDescent="0.25"/>
  <cols>
    <col min="2" max="2" width="11.85546875" bestFit="1" customWidth="1"/>
    <col min="3" max="3" width="15.85546875" bestFit="1" customWidth="1"/>
    <col min="7" max="7" width="16.42578125" bestFit="1" customWidth="1"/>
    <col min="8" max="8" width="12.85546875" bestFit="1" customWidth="1"/>
    <col min="12" max="12" width="15" bestFit="1" customWidth="1"/>
    <col min="13" max="13" width="17.7109375" bestFit="1" customWidth="1"/>
  </cols>
  <sheetData>
    <row r="2" spans="1:20" x14ac:dyDescent="0.25">
      <c r="A2" s="29" t="s">
        <v>248</v>
      </c>
      <c r="B2" s="29" t="s">
        <v>240</v>
      </c>
      <c r="C2" s="29" t="s">
        <v>241</v>
      </c>
      <c r="D2" s="29" t="s">
        <v>242</v>
      </c>
      <c r="E2" s="31" t="s">
        <v>185</v>
      </c>
      <c r="F2" s="34" t="s">
        <v>271</v>
      </c>
      <c r="G2" s="31" t="s">
        <v>273</v>
      </c>
      <c r="H2" s="31" t="s">
        <v>274</v>
      </c>
      <c r="I2" s="34" t="s">
        <v>278</v>
      </c>
      <c r="J2" s="34" t="s">
        <v>274</v>
      </c>
      <c r="K2" s="34" t="s">
        <v>282</v>
      </c>
      <c r="L2" s="34" t="s">
        <v>284</v>
      </c>
      <c r="M2" s="34" t="s">
        <v>285</v>
      </c>
      <c r="O2" s="35" t="s">
        <v>286</v>
      </c>
      <c r="P2" s="5"/>
      <c r="T2" t="s">
        <v>253</v>
      </c>
    </row>
    <row r="3" spans="1:20" x14ac:dyDescent="0.25">
      <c r="A3" s="29" t="s">
        <v>249</v>
      </c>
      <c r="B3" s="29">
        <v>12500</v>
      </c>
      <c r="C3" s="30">
        <v>36267</v>
      </c>
      <c r="D3" s="29" t="s">
        <v>243</v>
      </c>
      <c r="E3">
        <f>HLOOKUP(D3,$A$27:$E$28,2,FALSE)</f>
        <v>1100</v>
      </c>
      <c r="F3" s="5">
        <f ca="1">DATEDIF(C3,$B$31,"y")</f>
        <v>20</v>
      </c>
      <c r="G3">
        <f ca="1">HLOOKUP(F3,$H$27:$L$28,2,TRUE)</f>
        <v>0.18</v>
      </c>
      <c r="H3">
        <f ca="1">SUM(PRODUCT(G3,E3),E3)</f>
        <v>1298</v>
      </c>
      <c r="I3" s="5">
        <f>HLOOKUP(B3,$P$27:$S$28,2,TRUE)</f>
        <v>1.1200000000000001</v>
      </c>
      <c r="J3" s="5">
        <f ca="1">PRODUCT(H3:I3)</f>
        <v>1453.7600000000002</v>
      </c>
      <c r="K3" s="5">
        <f ca="1">IF(B3&gt;$B$23,IF(F3&gt;=10,400,200),0)</f>
        <v>400</v>
      </c>
      <c r="L3" s="5">
        <f ca="1">SUM(J3:K3)</f>
        <v>1853.7600000000002</v>
      </c>
      <c r="M3" s="5">
        <f ca="1">SUM(B3,-L3)</f>
        <v>10646.24</v>
      </c>
      <c r="O3" s="5" t="s">
        <v>127</v>
      </c>
      <c r="P3" s="5">
        <f ca="1">MAX(M3:M22)</f>
        <v>25094.32</v>
      </c>
      <c r="R3" s="5" t="s">
        <v>289</v>
      </c>
      <c r="S3" s="5"/>
      <c r="T3" s="5">
        <f>COUNTIF(A3:A22,T2)</f>
        <v>2</v>
      </c>
    </row>
    <row r="4" spans="1:20" x14ac:dyDescent="0.25">
      <c r="A4" s="29" t="s">
        <v>250</v>
      </c>
      <c r="B4" s="29">
        <v>11800</v>
      </c>
      <c r="C4" s="30">
        <v>37158</v>
      </c>
      <c r="D4" s="29" t="s">
        <v>244</v>
      </c>
      <c r="E4">
        <f t="shared" ref="E4:E22" si="0">HLOOKUP(D4,$A$27:$E$28,2,FALSE)</f>
        <v>1300</v>
      </c>
      <c r="F4" s="5">
        <f t="shared" ref="F4:F22" ca="1" si="1">DATEDIF(C4,$B$31,"y")</f>
        <v>18</v>
      </c>
      <c r="G4">
        <f t="shared" ref="G4:G22" ca="1" si="2">HLOOKUP(F4,$H$27:$L$28,2,TRUE)</f>
        <v>0.18</v>
      </c>
      <c r="H4">
        <f t="shared" ref="H4:H22" ca="1" si="3">SUM(PRODUCT(G4,E4),E4)</f>
        <v>1534</v>
      </c>
      <c r="I4" s="5">
        <f t="shared" ref="I4:I22" si="4">HLOOKUP(B4,$P$27:$S$28,2,TRUE)</f>
        <v>1.1200000000000001</v>
      </c>
      <c r="J4" s="5">
        <f t="shared" ref="J4:J22" ca="1" si="5">PRODUCT(H4:I4)</f>
        <v>1718.0800000000002</v>
      </c>
      <c r="K4" s="5">
        <f t="shared" ref="K4:K22" ca="1" si="6">IF(B4&gt;$B$23,IF(F4&gt;=10,400,200),0)</f>
        <v>400</v>
      </c>
      <c r="L4" s="5">
        <f t="shared" ref="L4:L22" ca="1" si="7">SUM(J4:K4)</f>
        <v>2118.08</v>
      </c>
      <c r="M4" s="5">
        <f t="shared" ref="M4:M22" ca="1" si="8">SUM(B4,-L4)</f>
        <v>9681.92</v>
      </c>
      <c r="O4" s="5" t="s">
        <v>248</v>
      </c>
      <c r="P4" s="5" t="str">
        <f ca="1">OFFSET(A2,MATCH(P3,M3:M22,0),0)</f>
        <v>Luis</v>
      </c>
    </row>
    <row r="5" spans="1:20" x14ac:dyDescent="0.25">
      <c r="A5" s="29" t="s">
        <v>251</v>
      </c>
      <c r="B5" s="29">
        <v>23000</v>
      </c>
      <c r="C5" s="30">
        <v>39531</v>
      </c>
      <c r="D5" s="29" t="s">
        <v>243</v>
      </c>
      <c r="E5">
        <f t="shared" si="0"/>
        <v>1100</v>
      </c>
      <c r="F5" s="5">
        <f t="shared" ca="1" si="1"/>
        <v>11</v>
      </c>
      <c r="G5">
        <f t="shared" ca="1" si="2"/>
        <v>0.14000000000000001</v>
      </c>
      <c r="H5">
        <f t="shared" ca="1" si="3"/>
        <v>1254</v>
      </c>
      <c r="I5" s="5">
        <f t="shared" si="4"/>
        <v>1.1599999999999999</v>
      </c>
      <c r="J5" s="5">
        <f t="shared" ca="1" si="5"/>
        <v>1454.6399999999999</v>
      </c>
      <c r="K5" s="5">
        <f t="shared" ca="1" si="6"/>
        <v>400</v>
      </c>
      <c r="L5" s="5">
        <f t="shared" ca="1" si="7"/>
        <v>1854.6399999999999</v>
      </c>
      <c r="M5" s="5">
        <f t="shared" ca="1" si="8"/>
        <v>21145.360000000001</v>
      </c>
      <c r="O5" s="5" t="s">
        <v>287</v>
      </c>
      <c r="P5" s="5">
        <f ca="1">OFFSET(L2,MATCH(P3,M3:M22,0),0)</f>
        <v>1905.6799999999998</v>
      </c>
      <c r="R5" s="5" t="s">
        <v>290</v>
      </c>
      <c r="S5" s="5"/>
      <c r="T5" s="5">
        <f>SUMIF(A3:A22,T2,B3:B22)</f>
        <v>25100</v>
      </c>
    </row>
    <row r="6" spans="1:20" x14ac:dyDescent="0.25">
      <c r="A6" s="29" t="s">
        <v>252</v>
      </c>
      <c r="B6" s="29">
        <v>14000</v>
      </c>
      <c r="C6" s="30">
        <v>40824</v>
      </c>
      <c r="D6" s="29" t="s">
        <v>245</v>
      </c>
      <c r="E6">
        <f t="shared" si="0"/>
        <v>1600</v>
      </c>
      <c r="F6" s="5">
        <f t="shared" ca="1" si="1"/>
        <v>8</v>
      </c>
      <c r="G6">
        <f t="shared" ca="1" si="2"/>
        <v>0.14000000000000001</v>
      </c>
      <c r="H6">
        <f t="shared" ca="1" si="3"/>
        <v>1824</v>
      </c>
      <c r="I6" s="5">
        <f t="shared" si="4"/>
        <v>1.1200000000000001</v>
      </c>
      <c r="J6" s="5">
        <f t="shared" ca="1" si="5"/>
        <v>2042.88</v>
      </c>
      <c r="K6" s="5">
        <f t="shared" ca="1" si="6"/>
        <v>200</v>
      </c>
      <c r="L6" s="5">
        <f t="shared" ca="1" si="7"/>
        <v>2242.88</v>
      </c>
      <c r="M6" s="5">
        <f t="shared" ca="1" si="8"/>
        <v>11757.119999999999</v>
      </c>
    </row>
    <row r="7" spans="1:20" x14ac:dyDescent="0.25">
      <c r="A7" s="29" t="s">
        <v>253</v>
      </c>
      <c r="B7" s="29">
        <v>7500</v>
      </c>
      <c r="C7" s="30">
        <v>42377</v>
      </c>
      <c r="D7" s="29" t="s">
        <v>246</v>
      </c>
      <c r="E7">
        <f t="shared" si="0"/>
        <v>1850</v>
      </c>
      <c r="F7" s="5">
        <f t="shared" ca="1" si="1"/>
        <v>3</v>
      </c>
      <c r="G7">
        <f t="shared" ca="1" si="2"/>
        <v>0.09</v>
      </c>
      <c r="H7">
        <f t="shared" ca="1" si="3"/>
        <v>2016.5</v>
      </c>
      <c r="I7" s="5">
        <f t="shared" si="4"/>
        <v>1.1200000000000001</v>
      </c>
      <c r="J7" s="5">
        <f t="shared" ca="1" si="5"/>
        <v>2258.48</v>
      </c>
      <c r="K7" s="5">
        <f t="shared" si="6"/>
        <v>0</v>
      </c>
      <c r="L7" s="5">
        <f t="shared" ca="1" si="7"/>
        <v>2258.48</v>
      </c>
      <c r="M7" s="5">
        <f t="shared" ca="1" si="8"/>
        <v>5241.5200000000004</v>
      </c>
      <c r="O7" s="5" t="s">
        <v>288</v>
      </c>
      <c r="P7" s="5"/>
    </row>
    <row r="8" spans="1:20" x14ac:dyDescent="0.25">
      <c r="A8" s="29" t="s">
        <v>254</v>
      </c>
      <c r="B8" s="29">
        <v>6800</v>
      </c>
      <c r="C8" s="30">
        <v>39276</v>
      </c>
      <c r="D8" s="29" t="s">
        <v>243</v>
      </c>
      <c r="E8">
        <f t="shared" si="0"/>
        <v>1100</v>
      </c>
      <c r="F8" s="5">
        <f t="shared" ca="1" si="1"/>
        <v>12</v>
      </c>
      <c r="G8">
        <f t="shared" ca="1" si="2"/>
        <v>0.14000000000000001</v>
      </c>
      <c r="H8">
        <f t="shared" ca="1" si="3"/>
        <v>1254</v>
      </c>
      <c r="I8" s="5">
        <f t="shared" si="4"/>
        <v>1.1200000000000001</v>
      </c>
      <c r="J8" s="5">
        <f t="shared" ca="1" si="5"/>
        <v>1404.4800000000002</v>
      </c>
      <c r="K8" s="5">
        <f t="shared" si="6"/>
        <v>0</v>
      </c>
      <c r="L8" s="5">
        <f t="shared" ca="1" si="7"/>
        <v>1404.4800000000002</v>
      </c>
      <c r="M8" s="5">
        <f t="shared" ca="1" si="8"/>
        <v>5395.5199999999995</v>
      </c>
      <c r="O8" s="5" t="s">
        <v>127</v>
      </c>
      <c r="P8" s="5">
        <f ca="1">MIN(M3:M22)</f>
        <v>670</v>
      </c>
    </row>
    <row r="9" spans="1:20" x14ac:dyDescent="0.25">
      <c r="A9" s="29" t="s">
        <v>255</v>
      </c>
      <c r="B9" s="29">
        <v>9350</v>
      </c>
      <c r="C9" s="30">
        <v>35341</v>
      </c>
      <c r="D9" s="29" t="s">
        <v>247</v>
      </c>
      <c r="E9">
        <f t="shared" si="0"/>
        <v>2100</v>
      </c>
      <c r="F9" s="5">
        <f t="shared" ca="1" si="1"/>
        <v>23</v>
      </c>
      <c r="G9">
        <f t="shared" ca="1" si="2"/>
        <v>0.18</v>
      </c>
      <c r="H9">
        <f t="shared" ca="1" si="3"/>
        <v>2478</v>
      </c>
      <c r="I9" s="5">
        <f t="shared" si="4"/>
        <v>1.1200000000000001</v>
      </c>
      <c r="J9" s="5">
        <f t="shared" ca="1" si="5"/>
        <v>2775.36</v>
      </c>
      <c r="K9" s="5">
        <f t="shared" si="6"/>
        <v>0</v>
      </c>
      <c r="L9" s="5">
        <f t="shared" ca="1" si="7"/>
        <v>2775.36</v>
      </c>
      <c r="M9" s="5">
        <f t="shared" ca="1" si="8"/>
        <v>6574.6399999999994</v>
      </c>
      <c r="O9" s="5" t="s">
        <v>248</v>
      </c>
      <c r="P9" s="5" t="str">
        <f ca="1">OFFSET(A2,MATCH(P8,M3:M22,0),0)</f>
        <v>Marta</v>
      </c>
    </row>
    <row r="10" spans="1:20" x14ac:dyDescent="0.25">
      <c r="A10" s="29" t="s">
        <v>256</v>
      </c>
      <c r="B10" s="29">
        <v>4630</v>
      </c>
      <c r="C10" s="30">
        <v>34502</v>
      </c>
      <c r="D10" s="29" t="s">
        <v>244</v>
      </c>
      <c r="E10">
        <f t="shared" si="0"/>
        <v>1300</v>
      </c>
      <c r="F10" s="5">
        <f t="shared" ca="1" si="1"/>
        <v>25</v>
      </c>
      <c r="G10">
        <f t="shared" ca="1" si="2"/>
        <v>0.18</v>
      </c>
      <c r="H10">
        <f t="shared" ca="1" si="3"/>
        <v>1534</v>
      </c>
      <c r="I10" s="5">
        <f t="shared" si="4"/>
        <v>1.05</v>
      </c>
      <c r="J10" s="5">
        <f t="shared" ca="1" si="5"/>
        <v>1610.7</v>
      </c>
      <c r="K10" s="5">
        <f t="shared" si="6"/>
        <v>0</v>
      </c>
      <c r="L10" s="5">
        <f t="shared" ca="1" si="7"/>
        <v>1610.7</v>
      </c>
      <c r="M10" s="5">
        <f t="shared" ca="1" si="8"/>
        <v>3019.3</v>
      </c>
      <c r="O10" s="5" t="s">
        <v>287</v>
      </c>
      <c r="P10" s="5">
        <f ca="1">OFFSET(L2,MATCH(P8,M3:M22,0),0)</f>
        <v>1680</v>
      </c>
    </row>
    <row r="11" spans="1:20" x14ac:dyDescent="0.25">
      <c r="A11" s="29" t="s">
        <v>257</v>
      </c>
      <c r="B11" s="29">
        <v>14000</v>
      </c>
      <c r="C11" s="30">
        <v>33714</v>
      </c>
      <c r="D11" s="29" t="s">
        <v>246</v>
      </c>
      <c r="E11">
        <f t="shared" si="0"/>
        <v>1850</v>
      </c>
      <c r="F11" s="5">
        <f t="shared" ca="1" si="1"/>
        <v>27</v>
      </c>
      <c r="G11">
        <f t="shared" ca="1" si="2"/>
        <v>0.18</v>
      </c>
      <c r="H11">
        <f t="shared" ca="1" si="3"/>
        <v>2183</v>
      </c>
      <c r="I11" s="5">
        <f t="shared" si="4"/>
        <v>1.1200000000000001</v>
      </c>
      <c r="J11" s="5">
        <f t="shared" ca="1" si="5"/>
        <v>2444.96</v>
      </c>
      <c r="K11" s="5">
        <f t="shared" ca="1" si="6"/>
        <v>400</v>
      </c>
      <c r="L11" s="5">
        <f t="shared" ca="1" si="7"/>
        <v>2844.96</v>
      </c>
      <c r="M11" s="5">
        <f t="shared" ca="1" si="8"/>
        <v>11155.04</v>
      </c>
    </row>
    <row r="12" spans="1:20" x14ac:dyDescent="0.25">
      <c r="A12" s="29" t="s">
        <v>253</v>
      </c>
      <c r="B12" s="29">
        <v>17600</v>
      </c>
      <c r="C12" s="30">
        <v>36526</v>
      </c>
      <c r="D12" s="29" t="s">
        <v>247</v>
      </c>
      <c r="E12">
        <f t="shared" si="0"/>
        <v>2100</v>
      </c>
      <c r="F12" s="5">
        <f t="shared" ca="1" si="1"/>
        <v>19</v>
      </c>
      <c r="G12">
        <f t="shared" ca="1" si="2"/>
        <v>0.18</v>
      </c>
      <c r="H12">
        <f t="shared" ca="1" si="3"/>
        <v>2478</v>
      </c>
      <c r="I12" s="5">
        <f t="shared" si="4"/>
        <v>1.1599999999999999</v>
      </c>
      <c r="J12" s="5">
        <f t="shared" ca="1" si="5"/>
        <v>2874.48</v>
      </c>
      <c r="K12" s="5">
        <f t="shared" ca="1" si="6"/>
        <v>400</v>
      </c>
      <c r="L12" s="5">
        <f t="shared" ca="1" si="7"/>
        <v>3274.48</v>
      </c>
      <c r="M12" s="5">
        <f t="shared" ca="1" si="8"/>
        <v>14325.52</v>
      </c>
    </row>
    <row r="13" spans="1:20" x14ac:dyDescent="0.25">
      <c r="A13" s="29" t="s">
        <v>258</v>
      </c>
      <c r="B13" s="29">
        <v>13000</v>
      </c>
      <c r="C13" s="30">
        <v>38237</v>
      </c>
      <c r="D13" s="29" t="s">
        <v>245</v>
      </c>
      <c r="E13">
        <f t="shared" si="0"/>
        <v>1600</v>
      </c>
      <c r="F13" s="5">
        <f t="shared" ca="1" si="1"/>
        <v>15</v>
      </c>
      <c r="G13">
        <f t="shared" ca="1" si="2"/>
        <v>0.18</v>
      </c>
      <c r="H13">
        <f t="shared" ca="1" si="3"/>
        <v>1888</v>
      </c>
      <c r="I13" s="5">
        <f t="shared" si="4"/>
        <v>1.1200000000000001</v>
      </c>
      <c r="J13" s="5">
        <f t="shared" ca="1" si="5"/>
        <v>2114.5600000000004</v>
      </c>
      <c r="K13" s="5">
        <f t="shared" ca="1" si="6"/>
        <v>400</v>
      </c>
      <c r="L13" s="5">
        <f t="shared" ca="1" si="7"/>
        <v>2514.5600000000004</v>
      </c>
      <c r="M13" s="5">
        <f t="shared" ca="1" si="8"/>
        <v>10485.439999999999</v>
      </c>
    </row>
    <row r="14" spans="1:20" x14ac:dyDescent="0.25">
      <c r="A14" s="29" t="s">
        <v>259</v>
      </c>
      <c r="B14" s="29">
        <v>4500</v>
      </c>
      <c r="C14" s="30">
        <v>41440</v>
      </c>
      <c r="D14" s="29" t="s">
        <v>243</v>
      </c>
      <c r="E14">
        <f t="shared" si="0"/>
        <v>1100</v>
      </c>
      <c r="F14" s="5">
        <f t="shared" ca="1" si="1"/>
        <v>6</v>
      </c>
      <c r="G14">
        <f t="shared" ca="1" si="2"/>
        <v>0.09</v>
      </c>
      <c r="H14">
        <f t="shared" ca="1" si="3"/>
        <v>1199</v>
      </c>
      <c r="I14" s="5">
        <f t="shared" si="4"/>
        <v>1.05</v>
      </c>
      <c r="J14" s="5">
        <f t="shared" ca="1" si="5"/>
        <v>1258.95</v>
      </c>
      <c r="K14" s="5">
        <f t="shared" si="6"/>
        <v>0</v>
      </c>
      <c r="L14" s="5">
        <f t="shared" ca="1" si="7"/>
        <v>1258.95</v>
      </c>
      <c r="M14" s="5">
        <f t="shared" ca="1" si="8"/>
        <v>3241.05</v>
      </c>
    </row>
    <row r="15" spans="1:20" x14ac:dyDescent="0.25">
      <c r="A15" s="29" t="s">
        <v>260</v>
      </c>
      <c r="B15" s="29">
        <v>16000</v>
      </c>
      <c r="C15" s="30">
        <v>42117</v>
      </c>
      <c r="D15" s="29" t="s">
        <v>245</v>
      </c>
      <c r="E15">
        <f t="shared" si="0"/>
        <v>1600</v>
      </c>
      <c r="F15" s="5">
        <f t="shared" ca="1" si="1"/>
        <v>4</v>
      </c>
      <c r="G15">
        <f t="shared" ca="1" si="2"/>
        <v>0.09</v>
      </c>
      <c r="H15">
        <f t="shared" ca="1" si="3"/>
        <v>1744</v>
      </c>
      <c r="I15" s="5">
        <f t="shared" si="4"/>
        <v>1.1599999999999999</v>
      </c>
      <c r="J15" s="5">
        <f t="shared" ca="1" si="5"/>
        <v>2023.04</v>
      </c>
      <c r="K15" s="5">
        <f t="shared" ca="1" si="6"/>
        <v>200</v>
      </c>
      <c r="L15" s="5">
        <f t="shared" ca="1" si="7"/>
        <v>2223.04</v>
      </c>
      <c r="M15" s="5">
        <f t="shared" ca="1" si="8"/>
        <v>13776.96</v>
      </c>
    </row>
    <row r="16" spans="1:20" x14ac:dyDescent="0.25">
      <c r="A16" s="29" t="s">
        <v>261</v>
      </c>
      <c r="B16" s="29">
        <v>3250</v>
      </c>
      <c r="C16" s="30">
        <v>39507</v>
      </c>
      <c r="D16" s="29" t="s">
        <v>244</v>
      </c>
      <c r="E16">
        <f t="shared" si="0"/>
        <v>1300</v>
      </c>
      <c r="F16" s="5">
        <f t="shared" ca="1" si="1"/>
        <v>11</v>
      </c>
      <c r="G16">
        <f t="shared" ca="1" si="2"/>
        <v>0.14000000000000001</v>
      </c>
      <c r="H16">
        <f t="shared" ca="1" si="3"/>
        <v>1482</v>
      </c>
      <c r="I16" s="5">
        <f t="shared" si="4"/>
        <v>1.05</v>
      </c>
      <c r="J16" s="5">
        <f t="shared" ca="1" si="5"/>
        <v>1556.1000000000001</v>
      </c>
      <c r="K16" s="5">
        <f t="shared" si="6"/>
        <v>0</v>
      </c>
      <c r="L16" s="5">
        <f t="shared" ca="1" si="7"/>
        <v>1556.1000000000001</v>
      </c>
      <c r="M16" s="5">
        <f t="shared" ca="1" si="8"/>
        <v>1693.8999999999999</v>
      </c>
    </row>
    <row r="17" spans="1:19" x14ac:dyDescent="0.25">
      <c r="A17" s="29" t="s">
        <v>262</v>
      </c>
      <c r="B17" s="29">
        <v>4900</v>
      </c>
      <c r="C17" s="30">
        <v>34926</v>
      </c>
      <c r="D17" s="29" t="s">
        <v>246</v>
      </c>
      <c r="E17">
        <f t="shared" si="0"/>
        <v>1850</v>
      </c>
      <c r="F17" s="5">
        <f t="shared" ca="1" si="1"/>
        <v>24</v>
      </c>
      <c r="G17">
        <f t="shared" ca="1" si="2"/>
        <v>0.18</v>
      </c>
      <c r="H17">
        <f t="shared" ca="1" si="3"/>
        <v>2183</v>
      </c>
      <c r="I17" s="5">
        <f t="shared" si="4"/>
        <v>1.05</v>
      </c>
      <c r="J17" s="5">
        <f t="shared" ca="1" si="5"/>
        <v>2292.15</v>
      </c>
      <c r="K17" s="5">
        <f t="shared" si="6"/>
        <v>0</v>
      </c>
      <c r="L17" s="5">
        <f t="shared" ca="1" si="7"/>
        <v>2292.15</v>
      </c>
      <c r="M17" s="5">
        <f t="shared" ca="1" si="8"/>
        <v>2607.85</v>
      </c>
    </row>
    <row r="18" spans="1:19" x14ac:dyDescent="0.25">
      <c r="A18" s="29" t="s">
        <v>263</v>
      </c>
      <c r="B18" s="29">
        <v>7300</v>
      </c>
      <c r="C18" s="30">
        <v>37463</v>
      </c>
      <c r="D18" s="29" t="s">
        <v>243</v>
      </c>
      <c r="E18">
        <f t="shared" si="0"/>
        <v>1100</v>
      </c>
      <c r="F18" s="5">
        <f t="shared" ca="1" si="1"/>
        <v>17</v>
      </c>
      <c r="G18">
        <f t="shared" ca="1" si="2"/>
        <v>0.18</v>
      </c>
      <c r="H18">
        <f t="shared" ca="1" si="3"/>
        <v>1298</v>
      </c>
      <c r="I18" s="5">
        <f t="shared" si="4"/>
        <v>1.1200000000000001</v>
      </c>
      <c r="J18" s="5">
        <f t="shared" ca="1" si="5"/>
        <v>1453.7600000000002</v>
      </c>
      <c r="K18" s="5">
        <f t="shared" si="6"/>
        <v>0</v>
      </c>
      <c r="L18" s="5">
        <f t="shared" ca="1" si="7"/>
        <v>1453.7600000000002</v>
      </c>
      <c r="M18" s="5">
        <f t="shared" ca="1" si="8"/>
        <v>5846.24</v>
      </c>
    </row>
    <row r="19" spans="1:19" x14ac:dyDescent="0.25">
      <c r="A19" s="29" t="s">
        <v>264</v>
      </c>
      <c r="B19" s="29">
        <v>27000</v>
      </c>
      <c r="C19" s="30">
        <v>33410</v>
      </c>
      <c r="D19" s="29" t="s">
        <v>243</v>
      </c>
      <c r="E19">
        <f t="shared" si="0"/>
        <v>1100</v>
      </c>
      <c r="F19" s="5">
        <f t="shared" ca="1" si="1"/>
        <v>28</v>
      </c>
      <c r="G19">
        <f t="shared" ca="1" si="2"/>
        <v>0.18</v>
      </c>
      <c r="H19">
        <f t="shared" ca="1" si="3"/>
        <v>1298</v>
      </c>
      <c r="I19" s="5">
        <f t="shared" si="4"/>
        <v>1.1599999999999999</v>
      </c>
      <c r="J19" s="5">
        <f t="shared" ca="1" si="5"/>
        <v>1505.6799999999998</v>
      </c>
      <c r="K19" s="5">
        <f t="shared" ca="1" si="6"/>
        <v>400</v>
      </c>
      <c r="L19" s="5">
        <f t="shared" ca="1" si="7"/>
        <v>1905.6799999999998</v>
      </c>
      <c r="M19" s="5">
        <f t="shared" ca="1" si="8"/>
        <v>25094.32</v>
      </c>
    </row>
    <row r="20" spans="1:19" x14ac:dyDescent="0.25">
      <c r="A20" s="29" t="s">
        <v>265</v>
      </c>
      <c r="B20" s="29">
        <v>2350</v>
      </c>
      <c r="C20" s="30">
        <v>43719</v>
      </c>
      <c r="D20" s="29" t="s">
        <v>245</v>
      </c>
      <c r="E20">
        <f t="shared" si="0"/>
        <v>1600</v>
      </c>
      <c r="F20" s="5">
        <f t="shared" ca="1" si="1"/>
        <v>0</v>
      </c>
      <c r="G20">
        <f t="shared" ca="1" si="2"/>
        <v>0</v>
      </c>
      <c r="H20">
        <f t="shared" ca="1" si="3"/>
        <v>1600</v>
      </c>
      <c r="I20" s="5">
        <f t="shared" si="4"/>
        <v>1.05</v>
      </c>
      <c r="J20" s="5">
        <f t="shared" ca="1" si="5"/>
        <v>1680</v>
      </c>
      <c r="K20" s="5">
        <f t="shared" si="6"/>
        <v>0</v>
      </c>
      <c r="L20" s="5">
        <f t="shared" ca="1" si="7"/>
        <v>1680</v>
      </c>
      <c r="M20" s="5">
        <f t="shared" ca="1" si="8"/>
        <v>670</v>
      </c>
    </row>
    <row r="21" spans="1:19" x14ac:dyDescent="0.25">
      <c r="A21" s="29" t="s">
        <v>266</v>
      </c>
      <c r="B21" s="29">
        <v>17500</v>
      </c>
      <c r="C21" s="30">
        <v>40968</v>
      </c>
      <c r="D21" s="29" t="s">
        <v>246</v>
      </c>
      <c r="E21">
        <f t="shared" si="0"/>
        <v>1850</v>
      </c>
      <c r="F21" s="5">
        <f t="shared" ca="1" si="1"/>
        <v>7</v>
      </c>
      <c r="G21">
        <f t="shared" ca="1" si="2"/>
        <v>0.09</v>
      </c>
      <c r="H21">
        <f t="shared" ca="1" si="3"/>
        <v>2016.5</v>
      </c>
      <c r="I21" s="5">
        <f t="shared" si="4"/>
        <v>1.1599999999999999</v>
      </c>
      <c r="J21" s="5">
        <f t="shared" ca="1" si="5"/>
        <v>2339.14</v>
      </c>
      <c r="K21" s="5">
        <f t="shared" ca="1" si="6"/>
        <v>200</v>
      </c>
      <c r="L21" s="5">
        <f t="shared" ca="1" si="7"/>
        <v>2539.14</v>
      </c>
      <c r="M21" s="5">
        <f t="shared" ca="1" si="8"/>
        <v>14960.86</v>
      </c>
    </row>
    <row r="22" spans="1:19" x14ac:dyDescent="0.25">
      <c r="A22" s="29" t="s">
        <v>267</v>
      </c>
      <c r="B22" s="29">
        <v>13000</v>
      </c>
      <c r="C22" s="30">
        <v>35063</v>
      </c>
      <c r="D22" s="29" t="s">
        <v>245</v>
      </c>
      <c r="E22">
        <f t="shared" si="0"/>
        <v>1600</v>
      </c>
      <c r="F22" s="5">
        <f t="shared" ca="1" si="1"/>
        <v>23</v>
      </c>
      <c r="G22">
        <f t="shared" ca="1" si="2"/>
        <v>0.18</v>
      </c>
      <c r="H22">
        <f t="shared" ca="1" si="3"/>
        <v>1888</v>
      </c>
      <c r="I22" s="5">
        <f t="shared" si="4"/>
        <v>1.1200000000000001</v>
      </c>
      <c r="J22" s="5">
        <f t="shared" ca="1" si="5"/>
        <v>2114.5600000000004</v>
      </c>
      <c r="K22" s="5">
        <f t="shared" ca="1" si="6"/>
        <v>400</v>
      </c>
      <c r="L22" s="5">
        <f t="shared" ca="1" si="7"/>
        <v>2514.5600000000004</v>
      </c>
      <c r="M22" s="5">
        <f t="shared" ca="1" si="8"/>
        <v>10485.439999999999</v>
      </c>
    </row>
    <row r="23" spans="1:19" x14ac:dyDescent="0.25">
      <c r="A23" s="31" t="s">
        <v>283</v>
      </c>
      <c r="B23">
        <f>AVERAGE(B3:B22)</f>
        <v>11499</v>
      </c>
    </row>
    <row r="26" spans="1:19" x14ac:dyDescent="0.25">
      <c r="A26" s="13" t="s">
        <v>268</v>
      </c>
      <c r="B26" s="13"/>
      <c r="C26" s="13"/>
      <c r="D26" s="13"/>
      <c r="E26" s="13"/>
      <c r="F26" s="13"/>
      <c r="H26" s="13" t="s">
        <v>275</v>
      </c>
      <c r="I26" s="13"/>
      <c r="J26" s="13"/>
      <c r="K26" s="13"/>
      <c r="L26" s="13"/>
      <c r="M26" s="13"/>
      <c r="O26" s="13" t="s">
        <v>281</v>
      </c>
      <c r="P26" s="13"/>
      <c r="Q26" s="13"/>
      <c r="R26" s="13"/>
      <c r="S26" s="13"/>
    </row>
    <row r="27" spans="1:19" x14ac:dyDescent="0.25">
      <c r="A27" s="7" t="s">
        <v>243</v>
      </c>
      <c r="B27" s="7" t="s">
        <v>244</v>
      </c>
      <c r="C27" s="7" t="s">
        <v>245</v>
      </c>
      <c r="D27" s="7" t="s">
        <v>246</v>
      </c>
      <c r="E27" s="7" t="s">
        <v>247</v>
      </c>
      <c r="F27" s="7" t="s">
        <v>269</v>
      </c>
      <c r="H27" s="1">
        <v>0</v>
      </c>
      <c r="I27" s="1">
        <v>3</v>
      </c>
      <c r="J27" s="1">
        <v>8</v>
      </c>
      <c r="K27" s="1">
        <v>15</v>
      </c>
      <c r="L27" s="1">
        <v>100</v>
      </c>
      <c r="M27" s="1" t="s">
        <v>276</v>
      </c>
      <c r="O27" s="1" t="s">
        <v>279</v>
      </c>
      <c r="P27" s="7">
        <v>0</v>
      </c>
      <c r="Q27" s="7">
        <v>6000</v>
      </c>
      <c r="R27" s="7">
        <v>15000</v>
      </c>
      <c r="S27" s="7">
        <v>100000</v>
      </c>
    </row>
    <row r="28" spans="1:19" x14ac:dyDescent="0.25">
      <c r="A28" s="7">
        <v>1100</v>
      </c>
      <c r="B28" s="7">
        <v>1300</v>
      </c>
      <c r="C28" s="7">
        <v>1600</v>
      </c>
      <c r="D28" s="7">
        <v>1850</v>
      </c>
      <c r="E28" s="7">
        <v>2100</v>
      </c>
      <c r="F28" s="7" t="s">
        <v>270</v>
      </c>
      <c r="H28" s="33">
        <v>0</v>
      </c>
      <c r="I28" s="33">
        <v>0.09</v>
      </c>
      <c r="J28" s="33">
        <v>0.14000000000000001</v>
      </c>
      <c r="K28" s="33">
        <v>0.18</v>
      </c>
      <c r="L28" s="33">
        <v>0.18</v>
      </c>
      <c r="M28" s="1" t="s">
        <v>277</v>
      </c>
      <c r="O28" s="1" t="s">
        <v>280</v>
      </c>
      <c r="P28" s="1">
        <v>1.05</v>
      </c>
      <c r="Q28" s="1">
        <v>1.1200000000000001</v>
      </c>
      <c r="R28" s="1">
        <v>1.1599999999999999</v>
      </c>
      <c r="S28" s="1">
        <v>1.1599999999999999</v>
      </c>
    </row>
    <row r="31" spans="1:19" x14ac:dyDescent="0.25">
      <c r="A31" t="s">
        <v>272</v>
      </c>
      <c r="B31" s="32">
        <f ca="1">TODAY()</f>
        <v>43819</v>
      </c>
    </row>
  </sheetData>
  <mergeCells count="3">
    <mergeCell ref="A26:F26"/>
    <mergeCell ref="H26:M26"/>
    <mergeCell ref="O26:S2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AF33D-3957-44FE-86BD-4E1F40717D3E}">
  <dimension ref="A3:Q39"/>
  <sheetViews>
    <sheetView tabSelected="1" workbookViewId="0">
      <selection activeCell="Q16" sqref="Q16"/>
    </sheetView>
  </sheetViews>
  <sheetFormatPr baseColWidth="10" defaultRowHeight="15" x14ac:dyDescent="0.25"/>
  <cols>
    <col min="2" max="2" width="11.85546875" bestFit="1" customWidth="1"/>
    <col min="7" max="7" width="11.85546875" bestFit="1" customWidth="1"/>
    <col min="8" max="8" width="15.42578125" bestFit="1" customWidth="1"/>
  </cols>
  <sheetData>
    <row r="3" spans="2:17" x14ac:dyDescent="0.25">
      <c r="B3" s="1" t="s">
        <v>291</v>
      </c>
      <c r="C3" s="1" t="s">
        <v>292</v>
      </c>
      <c r="D3" s="1" t="s">
        <v>293</v>
      </c>
      <c r="E3" s="1" t="s">
        <v>294</v>
      </c>
      <c r="F3" s="1" t="s">
        <v>295</v>
      </c>
      <c r="G3" s="1" t="s">
        <v>296</v>
      </c>
      <c r="H3" s="36" t="s">
        <v>322</v>
      </c>
    </row>
    <row r="4" spans="2:17" x14ac:dyDescent="0.25">
      <c r="B4" s="1" t="s">
        <v>297</v>
      </c>
      <c r="C4" s="1" t="s">
        <v>298</v>
      </c>
      <c r="D4" s="1">
        <v>1350</v>
      </c>
      <c r="E4" s="1">
        <v>5014</v>
      </c>
      <c r="F4" s="1">
        <v>5418</v>
      </c>
      <c r="G4" s="1">
        <v>0</v>
      </c>
      <c r="H4" s="1">
        <f>SUM(D4:G4)</f>
        <v>11782</v>
      </c>
    </row>
    <row r="5" spans="2:17" x14ac:dyDescent="0.25">
      <c r="B5" s="1" t="s">
        <v>299</v>
      </c>
      <c r="C5" s="1" t="s">
        <v>300</v>
      </c>
      <c r="D5" s="1">
        <v>4835</v>
      </c>
      <c r="E5" s="1">
        <v>2185</v>
      </c>
      <c r="F5" s="1">
        <v>0</v>
      </c>
      <c r="G5" s="1">
        <v>4362</v>
      </c>
      <c r="H5" s="1">
        <f t="shared" ref="H5:H20" si="0">SUM(D5:G5)</f>
        <v>11382</v>
      </c>
      <c r="K5" t="s">
        <v>331</v>
      </c>
      <c r="P5" t="s">
        <v>334</v>
      </c>
    </row>
    <row r="6" spans="2:17" x14ac:dyDescent="0.25">
      <c r="B6" s="1" t="s">
        <v>301</v>
      </c>
      <c r="C6" s="1" t="s">
        <v>302</v>
      </c>
      <c r="D6" s="1">
        <v>3587</v>
      </c>
      <c r="E6" s="1">
        <v>0</v>
      </c>
      <c r="F6" s="1">
        <v>6845</v>
      </c>
      <c r="G6" s="1">
        <v>1547</v>
      </c>
      <c r="H6" s="1">
        <f t="shared" si="0"/>
        <v>11979</v>
      </c>
      <c r="K6" t="s">
        <v>321</v>
      </c>
      <c r="L6">
        <f>MAX(C28:C32)</f>
        <v>36334</v>
      </c>
      <c r="P6" t="s">
        <v>321</v>
      </c>
      <c r="Q6">
        <f>MAX(H4:H20)</f>
        <v>13432</v>
      </c>
    </row>
    <row r="7" spans="2:17" x14ac:dyDescent="0.25">
      <c r="B7" s="1" t="s">
        <v>303</v>
      </c>
      <c r="C7" s="1" t="s">
        <v>304</v>
      </c>
      <c r="D7" s="1">
        <v>1925</v>
      </c>
      <c r="E7" s="1">
        <v>7358</v>
      </c>
      <c r="F7" s="1">
        <v>2541</v>
      </c>
      <c r="G7" s="1">
        <v>0</v>
      </c>
      <c r="H7" s="1">
        <f t="shared" si="0"/>
        <v>11824</v>
      </c>
      <c r="K7" t="s">
        <v>332</v>
      </c>
      <c r="L7" t="str">
        <f ca="1">OFFSET(A27,MATCH(L6,C28:C32,0),0)</f>
        <v>Salamanca</v>
      </c>
      <c r="P7" t="s">
        <v>329</v>
      </c>
      <c r="Q7" t="str">
        <f ca="1">OFFSET(B3,MATCH(Q6,H4:H20,0),0)</f>
        <v>Tienda15</v>
      </c>
    </row>
    <row r="8" spans="2:17" x14ac:dyDescent="0.25">
      <c r="B8" s="1" t="s">
        <v>305</v>
      </c>
      <c r="C8" s="1" t="s">
        <v>306</v>
      </c>
      <c r="D8" s="1">
        <v>2050</v>
      </c>
      <c r="E8" s="1">
        <v>0</v>
      </c>
      <c r="F8" s="1">
        <v>1258</v>
      </c>
      <c r="G8" s="1">
        <v>2365</v>
      </c>
      <c r="H8" s="1">
        <f t="shared" si="0"/>
        <v>5673</v>
      </c>
    </row>
    <row r="9" spans="2:17" x14ac:dyDescent="0.25">
      <c r="B9" s="1" t="s">
        <v>307</v>
      </c>
      <c r="C9" s="1" t="s">
        <v>298</v>
      </c>
      <c r="D9" s="1">
        <v>3015</v>
      </c>
      <c r="E9" s="1">
        <v>2485</v>
      </c>
      <c r="F9" s="1">
        <v>480</v>
      </c>
      <c r="G9" s="1">
        <v>4652</v>
      </c>
      <c r="H9" s="1">
        <f t="shared" si="0"/>
        <v>10632</v>
      </c>
    </row>
    <row r="10" spans="2:17" x14ac:dyDescent="0.25">
      <c r="B10" s="1" t="s">
        <v>308</v>
      </c>
      <c r="C10" s="1" t="s">
        <v>304</v>
      </c>
      <c r="D10" s="1">
        <v>1088</v>
      </c>
      <c r="E10" s="1">
        <v>1800</v>
      </c>
      <c r="F10" s="1">
        <v>1050</v>
      </c>
      <c r="G10" s="1">
        <v>3914</v>
      </c>
      <c r="H10" s="1">
        <f t="shared" si="0"/>
        <v>7852</v>
      </c>
    </row>
    <row r="11" spans="2:17" x14ac:dyDescent="0.25">
      <c r="B11" s="1" t="s">
        <v>309</v>
      </c>
      <c r="C11" s="1" t="s">
        <v>306</v>
      </c>
      <c r="D11" s="1">
        <v>369</v>
      </c>
      <c r="E11" s="1">
        <v>1680</v>
      </c>
      <c r="F11" s="1">
        <v>2365</v>
      </c>
      <c r="G11" s="1">
        <v>1087</v>
      </c>
      <c r="H11" s="1">
        <f t="shared" si="0"/>
        <v>5501</v>
      </c>
    </row>
    <row r="12" spans="2:17" x14ac:dyDescent="0.25">
      <c r="B12" s="1" t="s">
        <v>310</v>
      </c>
      <c r="C12" s="1" t="s">
        <v>302</v>
      </c>
      <c r="D12" s="1">
        <v>1125</v>
      </c>
      <c r="E12" s="1">
        <v>3341</v>
      </c>
      <c r="F12" s="1">
        <v>5418</v>
      </c>
      <c r="G12" s="1">
        <v>2364</v>
      </c>
      <c r="H12" s="1">
        <f t="shared" si="0"/>
        <v>12248</v>
      </c>
    </row>
    <row r="13" spans="2:17" x14ac:dyDescent="0.25">
      <c r="B13" s="1" t="s">
        <v>311</v>
      </c>
      <c r="C13" s="1" t="s">
        <v>298</v>
      </c>
      <c r="D13" s="1">
        <v>0</v>
      </c>
      <c r="E13" s="1">
        <v>1942</v>
      </c>
      <c r="F13" s="1">
        <v>3452</v>
      </c>
      <c r="G13" s="1">
        <v>0</v>
      </c>
      <c r="H13" s="1">
        <f t="shared" si="0"/>
        <v>5394</v>
      </c>
      <c r="K13" t="s">
        <v>333</v>
      </c>
      <c r="P13" t="s">
        <v>335</v>
      </c>
    </row>
    <row r="14" spans="2:17" x14ac:dyDescent="0.25">
      <c r="B14" s="1" t="s">
        <v>312</v>
      </c>
      <c r="C14" s="1" t="s">
        <v>300</v>
      </c>
      <c r="D14" s="1">
        <v>495</v>
      </c>
      <c r="E14" s="1">
        <v>0</v>
      </c>
      <c r="F14" s="1">
        <v>0</v>
      </c>
      <c r="G14" s="1">
        <v>3914</v>
      </c>
      <c r="H14" s="1">
        <f t="shared" si="0"/>
        <v>4409</v>
      </c>
      <c r="K14" t="s">
        <v>321</v>
      </c>
      <c r="L14">
        <f>MIN(C28:C32)</f>
        <v>15791</v>
      </c>
      <c r="P14" t="s">
        <v>321</v>
      </c>
      <c r="Q14">
        <f>MIN(H4:H20)</f>
        <v>2500</v>
      </c>
    </row>
    <row r="15" spans="2:17" x14ac:dyDescent="0.25">
      <c r="B15" s="1" t="s">
        <v>313</v>
      </c>
      <c r="C15" s="1" t="s">
        <v>298</v>
      </c>
      <c r="D15" s="1">
        <v>1087</v>
      </c>
      <c r="E15" s="1">
        <v>2385</v>
      </c>
      <c r="F15" s="1">
        <v>0</v>
      </c>
      <c r="G15" s="1">
        <v>2554</v>
      </c>
      <c r="H15" s="1">
        <f t="shared" si="0"/>
        <v>6026</v>
      </c>
      <c r="K15" t="s">
        <v>332</v>
      </c>
      <c r="L15" t="str">
        <f ca="1">OFFSET(A27,MATCH(L14,C28:C32,0),0)</f>
        <v>Valladolid</v>
      </c>
      <c r="P15" t="s">
        <v>329</v>
      </c>
      <c r="Q15" t="str">
        <f ca="1">OFFSET(B3,MATCH(Q14,H4:H20,0),0)</f>
        <v>Tienda16</v>
      </c>
    </row>
    <row r="16" spans="2:17" x14ac:dyDescent="0.25">
      <c r="B16" s="1" t="s">
        <v>314</v>
      </c>
      <c r="C16" s="1" t="s">
        <v>306</v>
      </c>
      <c r="D16" s="1">
        <v>2384</v>
      </c>
      <c r="E16" s="1">
        <v>4158</v>
      </c>
      <c r="F16" s="1">
        <v>1458</v>
      </c>
      <c r="G16" s="1">
        <v>1258</v>
      </c>
      <c r="H16" s="1">
        <f t="shared" si="0"/>
        <v>9258</v>
      </c>
    </row>
    <row r="17" spans="1:9" x14ac:dyDescent="0.25">
      <c r="B17" s="1" t="s">
        <v>315</v>
      </c>
      <c r="C17" s="1" t="s">
        <v>302</v>
      </c>
      <c r="D17" s="1">
        <v>0</v>
      </c>
      <c r="E17" s="1">
        <v>3652</v>
      </c>
      <c r="F17" s="1">
        <v>2145</v>
      </c>
      <c r="G17" s="1">
        <v>3014</v>
      </c>
      <c r="H17" s="1">
        <f t="shared" si="0"/>
        <v>8811</v>
      </c>
    </row>
    <row r="18" spans="1:9" x14ac:dyDescent="0.25">
      <c r="B18" s="1" t="s">
        <v>316</v>
      </c>
      <c r="C18" s="1" t="s">
        <v>306</v>
      </c>
      <c r="D18" s="1">
        <v>1940</v>
      </c>
      <c r="E18" s="1">
        <v>0</v>
      </c>
      <c r="F18" s="1">
        <v>5347</v>
      </c>
      <c r="G18" s="1">
        <v>6145</v>
      </c>
      <c r="H18" s="1">
        <f t="shared" si="0"/>
        <v>13432</v>
      </c>
    </row>
    <row r="19" spans="1:9" x14ac:dyDescent="0.25">
      <c r="B19" s="1" t="s">
        <v>317</v>
      </c>
      <c r="C19" s="1" t="s">
        <v>298</v>
      </c>
      <c r="D19" s="1">
        <v>0</v>
      </c>
      <c r="E19" s="1">
        <v>900</v>
      </c>
      <c r="F19" s="1">
        <v>550</v>
      </c>
      <c r="G19" s="1">
        <v>1050</v>
      </c>
      <c r="H19" s="1">
        <f t="shared" si="0"/>
        <v>2500</v>
      </c>
    </row>
    <row r="20" spans="1:9" x14ac:dyDescent="0.25">
      <c r="B20" s="1" t="s">
        <v>318</v>
      </c>
      <c r="C20" s="1" t="s">
        <v>304</v>
      </c>
      <c r="D20" s="1">
        <v>2148</v>
      </c>
      <c r="E20" s="1">
        <v>325</v>
      </c>
      <c r="F20" s="1">
        <v>2014</v>
      </c>
      <c r="G20" s="1">
        <v>0</v>
      </c>
      <c r="H20" s="1">
        <f t="shared" si="0"/>
        <v>4487</v>
      </c>
    </row>
    <row r="21" spans="1:9" x14ac:dyDescent="0.25">
      <c r="B21" s="1"/>
      <c r="C21" s="1"/>
      <c r="D21" s="1"/>
      <c r="E21" s="1"/>
      <c r="F21" s="1"/>
      <c r="G21" s="1"/>
    </row>
    <row r="22" spans="1:9" x14ac:dyDescent="0.25">
      <c r="B22" s="1" t="s">
        <v>319</v>
      </c>
      <c r="C22" s="1"/>
      <c r="D22" s="1">
        <v>27398</v>
      </c>
      <c r="E22" s="1">
        <v>37225</v>
      </c>
      <c r="F22" s="1">
        <v>40341</v>
      </c>
      <c r="G22" s="1">
        <v>38326</v>
      </c>
    </row>
    <row r="27" spans="1:9" x14ac:dyDescent="0.25">
      <c r="A27" s="1"/>
      <c r="B27" s="1" t="s">
        <v>320</v>
      </c>
      <c r="C27" s="1" t="s">
        <v>321</v>
      </c>
      <c r="E27" s="1"/>
      <c r="F27" s="1" t="s">
        <v>326</v>
      </c>
      <c r="G27" s="1" t="s">
        <v>323</v>
      </c>
      <c r="H27" s="1" t="s">
        <v>324</v>
      </c>
      <c r="I27" s="1" t="s">
        <v>325</v>
      </c>
    </row>
    <row r="28" spans="1:9" x14ac:dyDescent="0.25">
      <c r="A28" s="1" t="s">
        <v>298</v>
      </c>
      <c r="B28" s="1">
        <f>COUNTIF($C$4:$C$20,A28)</f>
        <v>5</v>
      </c>
      <c r="C28" s="1">
        <f>SUMIF($C$4:$C$20,A28,$H$4:$H$20)</f>
        <v>36334</v>
      </c>
      <c r="E28" s="1" t="s">
        <v>298</v>
      </c>
      <c r="F28" s="8">
        <f>SUMIF($C$4:$C$20,E28,$D$4:$D$20)</f>
        <v>5452</v>
      </c>
      <c r="G28" s="8">
        <f>SUMIF($C$4:$C$20,E28,$E$4:$E$20)</f>
        <v>12726</v>
      </c>
      <c r="H28" s="8">
        <f>SUMIF($C$4:$C$20,E28,$F$4:$F$20)</f>
        <v>9900</v>
      </c>
      <c r="I28" s="8">
        <f>SUMIF($C$4:$C$20,E28,$G$4:$G$20)</f>
        <v>8256</v>
      </c>
    </row>
    <row r="29" spans="1:9" x14ac:dyDescent="0.25">
      <c r="A29" s="1" t="s">
        <v>300</v>
      </c>
      <c r="B29" s="1">
        <f t="shared" ref="B29:B32" si="1">COUNTIF($C$4:$C$20,A29)</f>
        <v>2</v>
      </c>
      <c r="C29" s="1">
        <f t="shared" ref="C29:C32" si="2">SUMIF($C$4:$C$20,A29,$H$4:$H$20)</f>
        <v>15791</v>
      </c>
      <c r="E29" s="1" t="s">
        <v>300</v>
      </c>
      <c r="F29" s="8">
        <f t="shared" ref="F29:F32" si="3">SUMIF($C$4:$C$20,E29,$D$4:$D$20)</f>
        <v>5330</v>
      </c>
      <c r="G29" s="8">
        <f t="shared" ref="G29:G32" si="4">SUMIF($C$4:$C$20,E29,$E$4:$E$20)</f>
        <v>2185</v>
      </c>
      <c r="H29" s="8">
        <f t="shared" ref="H29:H32" si="5">SUMIF($C$4:$C$20,E29,$F$4:$F$20)</f>
        <v>0</v>
      </c>
      <c r="I29" s="8">
        <f t="shared" ref="I29:I32" si="6">SUMIF($C$4:$C$20,E29,$G$4:$G$20)</f>
        <v>8276</v>
      </c>
    </row>
    <row r="30" spans="1:9" x14ac:dyDescent="0.25">
      <c r="A30" s="1" t="s">
        <v>302</v>
      </c>
      <c r="B30" s="1">
        <f t="shared" si="1"/>
        <v>3</v>
      </c>
      <c r="C30" s="1">
        <f t="shared" si="2"/>
        <v>33038</v>
      </c>
      <c r="E30" s="1" t="s">
        <v>302</v>
      </c>
      <c r="F30" s="8">
        <f t="shared" si="3"/>
        <v>4712</v>
      </c>
      <c r="G30" s="8">
        <f t="shared" si="4"/>
        <v>6993</v>
      </c>
      <c r="H30" s="8">
        <f t="shared" si="5"/>
        <v>14408</v>
      </c>
      <c r="I30" s="8">
        <f t="shared" si="6"/>
        <v>6925</v>
      </c>
    </row>
    <row r="31" spans="1:9" x14ac:dyDescent="0.25">
      <c r="A31" s="1" t="s">
        <v>304</v>
      </c>
      <c r="B31" s="1">
        <f t="shared" si="1"/>
        <v>3</v>
      </c>
      <c r="C31" s="1">
        <f t="shared" si="2"/>
        <v>24163</v>
      </c>
      <c r="E31" s="1" t="s">
        <v>304</v>
      </c>
      <c r="F31" s="8">
        <f t="shared" si="3"/>
        <v>5161</v>
      </c>
      <c r="G31" s="8">
        <f t="shared" si="4"/>
        <v>9483</v>
      </c>
      <c r="H31" s="8">
        <f t="shared" si="5"/>
        <v>5605</v>
      </c>
      <c r="I31" s="8">
        <f t="shared" si="6"/>
        <v>3914</v>
      </c>
    </row>
    <row r="32" spans="1:9" x14ac:dyDescent="0.25">
      <c r="A32" s="1" t="s">
        <v>306</v>
      </c>
      <c r="B32" s="1">
        <f t="shared" si="1"/>
        <v>4</v>
      </c>
      <c r="C32" s="1">
        <f t="shared" si="2"/>
        <v>33864</v>
      </c>
      <c r="E32" s="1" t="s">
        <v>306</v>
      </c>
      <c r="F32" s="8">
        <f t="shared" si="3"/>
        <v>6743</v>
      </c>
      <c r="G32" s="8">
        <f t="shared" si="4"/>
        <v>5838</v>
      </c>
      <c r="H32" s="8">
        <f t="shared" si="5"/>
        <v>10428</v>
      </c>
      <c r="I32" s="8">
        <f t="shared" si="6"/>
        <v>10855</v>
      </c>
    </row>
    <row r="33" spans="4:9" x14ac:dyDescent="0.25">
      <c r="D33" s="20" t="s">
        <v>327</v>
      </c>
      <c r="E33" s="20"/>
    </row>
    <row r="34" spans="4:9" x14ac:dyDescent="0.25">
      <c r="E34" t="s">
        <v>321</v>
      </c>
      <c r="F34" s="37">
        <f>MAX(D4:D20)</f>
        <v>4835</v>
      </c>
      <c r="G34" s="37">
        <f>MAX(E4:E20)</f>
        <v>7358</v>
      </c>
      <c r="H34" s="37">
        <f>MAX(F4:F20)</f>
        <v>6845</v>
      </c>
      <c r="I34" s="37">
        <f>MAX(G4:G20)</f>
        <v>6145</v>
      </c>
    </row>
    <row r="35" spans="4:9" x14ac:dyDescent="0.25">
      <c r="E35" t="s">
        <v>329</v>
      </c>
      <c r="F35" t="str">
        <f ca="1">OFFSET(B3,MATCH(F34,D4:D20,0),0)</f>
        <v>Tienda2</v>
      </c>
      <c r="G35" t="str">
        <f ca="1">OFFSET(B3,MATCH(G34,E4:E20,0),0)</f>
        <v>Tienda4</v>
      </c>
      <c r="H35" t="str">
        <f ca="1">OFFSET(B3,MATCH(H34,F4:F20,0),0)</f>
        <v>Tienda3</v>
      </c>
      <c r="I35" t="str">
        <f ca="1">OFFSET(B3,MATCH(I34,G4:G20,0),0)</f>
        <v>Tienda15</v>
      </c>
    </row>
    <row r="37" spans="4:9" x14ac:dyDescent="0.25">
      <c r="D37" s="20" t="s">
        <v>328</v>
      </c>
      <c r="E37" s="20"/>
    </row>
    <row r="38" spans="4:9" x14ac:dyDescent="0.25">
      <c r="E38" t="s">
        <v>321</v>
      </c>
      <c r="F38">
        <f t="array" ref="F38">MIN(IF(D4:D20&gt;0,D4:D20))</f>
        <v>369</v>
      </c>
      <c r="G38">
        <f t="array" ref="G38">MIN(IF(E4:E20&gt;0,E4:E20))</f>
        <v>325</v>
      </c>
      <c r="H38">
        <f t="array" ref="H38">MIN(IF(F4:F20&gt;0,F4:F20))</f>
        <v>480</v>
      </c>
      <c r="I38">
        <f t="array" ref="I38">MIN(IF(G4:G20&gt;0,G4:G20))</f>
        <v>1050</v>
      </c>
    </row>
    <row r="39" spans="4:9" x14ac:dyDescent="0.25">
      <c r="E39" t="s">
        <v>330</v>
      </c>
      <c r="F39" t="str">
        <f ca="1">OFFSET(B7,MATCH(F38,D8:D24,0),0)</f>
        <v>Tienda8</v>
      </c>
      <c r="G39" t="str">
        <f ca="1">OFFSET(B7,MATCH(G38,E8:E24,0),0)</f>
        <v>Tienda17</v>
      </c>
      <c r="H39" t="str">
        <f ca="1">OFFSET(B7,MATCH(H38,F8:F24,0),0)</f>
        <v>Tienda6</v>
      </c>
      <c r="I39" t="str">
        <f ca="1">OFFSET(B7,MATCH(I38,G8:G24,0),0)</f>
        <v>Tienda16</v>
      </c>
    </row>
  </sheetData>
  <mergeCells count="2">
    <mergeCell ref="D33:E33"/>
    <mergeCell ref="D37:E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Práctica V</vt:lpstr>
      <vt:lpstr>Práctica VI</vt:lpstr>
      <vt:lpstr>Práctica VI2</vt:lpstr>
      <vt:lpstr>PrácticaVI3</vt:lpstr>
      <vt:lpstr>EjemploManualSolver</vt:lpstr>
      <vt:lpstr>Práctica VII</vt:lpstr>
      <vt:lpstr>Hoja6</vt:lpstr>
      <vt:lpstr>Hoja7</vt:lpstr>
      <vt:lpstr>Hoja1</vt:lpstr>
      <vt:lpstr>Hoja2</vt:lpstr>
      <vt:lpstr>Hoja3</vt:lpstr>
      <vt:lpstr>Hoja4</vt:lpstr>
      <vt:lpstr>Hoja5</vt:lpstr>
      <vt:lpstr>Traductores</vt:lpstr>
      <vt:lpstr>Hoja9</vt:lpstr>
      <vt:lpstr>Hoja10</vt:lpstr>
      <vt:lpstr>Hoja11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0221</dc:creator>
  <cp:lastModifiedBy>mario 0221</cp:lastModifiedBy>
  <dcterms:created xsi:type="dcterms:W3CDTF">2015-06-05T18:19:34Z</dcterms:created>
  <dcterms:modified xsi:type="dcterms:W3CDTF">2019-12-20T13:54:13Z</dcterms:modified>
</cp:coreProperties>
</file>