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d.docs.live.net/ac10015420146cc7/Consultancies/WorldFriends/analysis/website/data/WF/clean/"/>
    </mc:Choice>
  </mc:AlternateContent>
  <xr:revisionPtr revIDLastSave="0" documentId="14_{0AA34CF5-6B82-054D-8910-C661B1662593}" xr6:coauthVersionLast="47" xr6:coauthVersionMax="47" xr10:uidLastSave="{00000000-0000-0000-0000-000000000000}"/>
  <bookViews>
    <workbookView xWindow="60" yWindow="500" windowWidth="28680" windowHeight="17500" firstSheet="1" activeTab="8" xr2:uid="{00000000-000D-0000-FFFF-FFFF00000000}"/>
  </bookViews>
  <sheets>
    <sheet name="MOH DATA COUNTY" sheetId="1" r:id="rId1"/>
    <sheet name="RECAP_TOTALS INDICATORS" sheetId="9" r:id="rId2"/>
    <sheet name="MOH DATA KF NORTH" sheetId="4" r:id="rId3"/>
    <sheet name="MOH DATA KF SUD" sheetId="5" r:id="rId4"/>
    <sheet name="MOH DATA RABAI" sheetId="6" r:id="rId5"/>
    <sheet name="MOH DATA KALOLENI" sheetId="7" r:id="rId6"/>
    <sheet name="MOH DATA GANZE" sheetId="8" r:id="rId7"/>
    <sheet name="Act_Exp REPORTS" sheetId="3" r:id="rId8"/>
    <sheet name="moh_forms_repor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9" l="1"/>
  <c r="G72" i="9"/>
  <c r="F72" i="9"/>
  <c r="H71" i="9"/>
  <c r="G71" i="9"/>
  <c r="F71" i="9"/>
  <c r="AC145" i="4"/>
  <c r="AB145" i="4"/>
  <c r="Z145" i="4"/>
  <c r="AC142" i="4"/>
  <c r="AB142" i="4"/>
  <c r="Z142" i="4"/>
  <c r="AD145" i="8"/>
  <c r="AC145" i="8"/>
  <c r="AD142" i="8"/>
  <c r="AC142" i="8"/>
  <c r="AA145" i="8"/>
  <c r="AA142" i="8"/>
  <c r="AD87" i="8"/>
  <c r="AC87" i="8"/>
  <c r="AD84" i="8"/>
  <c r="AC84" i="8"/>
  <c r="AA87" i="8"/>
  <c r="AA84" i="8"/>
  <c r="AC87" i="7"/>
  <c r="AB87" i="7"/>
  <c r="AC84" i="7"/>
  <c r="AB84" i="7"/>
  <c r="Z87" i="7"/>
  <c r="Z84" i="7"/>
  <c r="AC145" i="7"/>
  <c r="AB145" i="7"/>
  <c r="Z145" i="7"/>
  <c r="AC142" i="7"/>
  <c r="AB142" i="7"/>
  <c r="Z142" i="7"/>
  <c r="AC145" i="6"/>
  <c r="AB145" i="6"/>
  <c r="Z145" i="6"/>
  <c r="AC142" i="6"/>
  <c r="AB142" i="6"/>
  <c r="Z142" i="6"/>
  <c r="AC87" i="6"/>
  <c r="AB87" i="6"/>
  <c r="Z87" i="6"/>
  <c r="AC84" i="6"/>
  <c r="AB84" i="6"/>
  <c r="Z84" i="6"/>
  <c r="AC145" i="5"/>
  <c r="AB145" i="5"/>
  <c r="Z145" i="5"/>
  <c r="AC142" i="5"/>
  <c r="AB142" i="5"/>
  <c r="Z142" i="5"/>
  <c r="AC87" i="5"/>
  <c r="AB87" i="5"/>
  <c r="AC84" i="5"/>
  <c r="AB84" i="5"/>
  <c r="Z87" i="5"/>
  <c r="Z84" i="5"/>
  <c r="AC87" i="4"/>
  <c r="AB87" i="4"/>
  <c r="Z87" i="4"/>
  <c r="AB84" i="4"/>
  <c r="AC84" i="4"/>
  <c r="Z84" i="4"/>
  <c r="BA75" i="9" l="1"/>
  <c r="BB75" i="9"/>
  <c r="BC75" i="9"/>
  <c r="BD75" i="9"/>
  <c r="BE75" i="9"/>
  <c r="BF75" i="9"/>
  <c r="BG75" i="9"/>
  <c r="BH75" i="9"/>
  <c r="BA76" i="9"/>
  <c r="BB76" i="9"/>
  <c r="BC76" i="9"/>
  <c r="BA77" i="9"/>
  <c r="BB77" i="9"/>
  <c r="BC77" i="9"/>
  <c r="BH77" i="9"/>
  <c r="BA78" i="9"/>
  <c r="BB78" i="9"/>
  <c r="BC78" i="9"/>
  <c r="BD78" i="9"/>
  <c r="BE78" i="9"/>
  <c r="BF78" i="9"/>
  <c r="BG78" i="9"/>
  <c r="BH78" i="9"/>
  <c r="BA79" i="9"/>
  <c r="BB79" i="9"/>
  <c r="BC79" i="9"/>
  <c r="BD79" i="9"/>
  <c r="BE79" i="9"/>
  <c r="BF79" i="9"/>
  <c r="BG79" i="9"/>
  <c r="BH79" i="9"/>
  <c r="BA80" i="9"/>
  <c r="BB80" i="9"/>
  <c r="BC80" i="9"/>
  <c r="BD80" i="9"/>
  <c r="BE80" i="9"/>
  <c r="BF80" i="9"/>
  <c r="BG80" i="9"/>
  <c r="BH80" i="9"/>
  <c r="BA81" i="9"/>
  <c r="BB81" i="9"/>
  <c r="BC81" i="9"/>
  <c r="BD81" i="9"/>
  <c r="BE81" i="9"/>
  <c r="BF81" i="9"/>
  <c r="BG81" i="9"/>
  <c r="BH81" i="9"/>
  <c r="BA82" i="9"/>
  <c r="BB82" i="9"/>
  <c r="BC82" i="9"/>
  <c r="BD82" i="9"/>
  <c r="BE82" i="9"/>
  <c r="BF82" i="9"/>
  <c r="BG82" i="9"/>
  <c r="BH82" i="9"/>
  <c r="BA83" i="9"/>
  <c r="BB83" i="9"/>
  <c r="BC83" i="9"/>
  <c r="BD83" i="9"/>
  <c r="BE83" i="9"/>
  <c r="BF83" i="9"/>
  <c r="BG83" i="9"/>
  <c r="BH83" i="9"/>
  <c r="BA84" i="9"/>
  <c r="BB84" i="9"/>
  <c r="BC84" i="9"/>
  <c r="BA85" i="9"/>
  <c r="BB85" i="9"/>
  <c r="BC85" i="9"/>
  <c r="BA86" i="9"/>
  <c r="BB86" i="9"/>
  <c r="BC86" i="9"/>
  <c r="BA87" i="9"/>
  <c r="BB87" i="9"/>
  <c r="BC87" i="9"/>
  <c r="BA88" i="9"/>
  <c r="BB88" i="9"/>
  <c r="BC88" i="9"/>
  <c r="BH88" i="9"/>
  <c r="BA89" i="9"/>
  <c r="BB89" i="9"/>
  <c r="BC89" i="9"/>
  <c r="BA90" i="9"/>
  <c r="BB90" i="9"/>
  <c r="BC90" i="9"/>
  <c r="BH90" i="9"/>
  <c r="BA91" i="9"/>
  <c r="BB91" i="9"/>
  <c r="BC91" i="9"/>
  <c r="BA92" i="9"/>
  <c r="BB92" i="9"/>
  <c r="BC92" i="9"/>
  <c r="BH92" i="9"/>
  <c r="BA93" i="9"/>
  <c r="BB93" i="9"/>
  <c r="BC93" i="9"/>
  <c r="BD93" i="9"/>
  <c r="BE93" i="9"/>
  <c r="BF93" i="9"/>
  <c r="BG93" i="9"/>
  <c r="BH93" i="9"/>
  <c r="BA94" i="9"/>
  <c r="BB94" i="9"/>
  <c r="BC94" i="9"/>
  <c r="BD94" i="9"/>
  <c r="BE94" i="9"/>
  <c r="BF94" i="9"/>
  <c r="BG94" i="9"/>
  <c r="BH94" i="9"/>
  <c r="BA53" i="9"/>
  <c r="BB53" i="9"/>
  <c r="BC53" i="9"/>
  <c r="BD53" i="9"/>
  <c r="BE53" i="9"/>
  <c r="BF53" i="9"/>
  <c r="BG53" i="9"/>
  <c r="BH53" i="9"/>
  <c r="BA54" i="9"/>
  <c r="BB54" i="9"/>
  <c r="BC54" i="9"/>
  <c r="BA55" i="9"/>
  <c r="BB55" i="9"/>
  <c r="BC55" i="9"/>
  <c r="BH55" i="9"/>
  <c r="BA56" i="9"/>
  <c r="BB56" i="9"/>
  <c r="BC56" i="9"/>
  <c r="BD56" i="9"/>
  <c r="BE56" i="9"/>
  <c r="BF56" i="9"/>
  <c r="BG56" i="9"/>
  <c r="BH56" i="9"/>
  <c r="BA57" i="9"/>
  <c r="BB57" i="9"/>
  <c r="BC57" i="9"/>
  <c r="BD57" i="9"/>
  <c r="BE57" i="9"/>
  <c r="BF57" i="9"/>
  <c r="BG57" i="9"/>
  <c r="BH57" i="9"/>
  <c r="BA58" i="9"/>
  <c r="BB58" i="9"/>
  <c r="BC58" i="9"/>
  <c r="BD58" i="9"/>
  <c r="BE58" i="9"/>
  <c r="BF58" i="9"/>
  <c r="BG58" i="9"/>
  <c r="BH58" i="9"/>
  <c r="BA59" i="9"/>
  <c r="BB59" i="9"/>
  <c r="BC59" i="9"/>
  <c r="BD59" i="9"/>
  <c r="BE59" i="9"/>
  <c r="BF59" i="9"/>
  <c r="BG59" i="9"/>
  <c r="BH59" i="9"/>
  <c r="BA60" i="9"/>
  <c r="BB60" i="9"/>
  <c r="BC60" i="9"/>
  <c r="BD60" i="9"/>
  <c r="BE60" i="9"/>
  <c r="BF60" i="9"/>
  <c r="BG60" i="9"/>
  <c r="BH60" i="9"/>
  <c r="BA61" i="9"/>
  <c r="BB61" i="9"/>
  <c r="BC61" i="9"/>
  <c r="BD61" i="9"/>
  <c r="BE61" i="9"/>
  <c r="BF61" i="9"/>
  <c r="BG61" i="9"/>
  <c r="BH61" i="9"/>
  <c r="BA62" i="9"/>
  <c r="BB62" i="9"/>
  <c r="BC62" i="9"/>
  <c r="BA63" i="9"/>
  <c r="BB63" i="9"/>
  <c r="BC63" i="9"/>
  <c r="BA64" i="9"/>
  <c r="BB64" i="9"/>
  <c r="BC64" i="9"/>
  <c r="BA65" i="9"/>
  <c r="BB65" i="9"/>
  <c r="BC65" i="9"/>
  <c r="BA66" i="9"/>
  <c r="BB66" i="9"/>
  <c r="BC66" i="9"/>
  <c r="BH66" i="9"/>
  <c r="BA67" i="9"/>
  <c r="BB67" i="9"/>
  <c r="BC67" i="9"/>
  <c r="BA68" i="9"/>
  <c r="BB68" i="9"/>
  <c r="BC68" i="9"/>
  <c r="BH68" i="9"/>
  <c r="BA69" i="9"/>
  <c r="BB69" i="9"/>
  <c r="BC69" i="9"/>
  <c r="BA70" i="9"/>
  <c r="BB70" i="9"/>
  <c r="BC70" i="9"/>
  <c r="BH70" i="9"/>
  <c r="BA71" i="9"/>
  <c r="BB71" i="9"/>
  <c r="BC71" i="9"/>
  <c r="BD71" i="9"/>
  <c r="BE71" i="9"/>
  <c r="BF71" i="9"/>
  <c r="BG71" i="9"/>
  <c r="BH71" i="9"/>
  <c r="BA72" i="9"/>
  <c r="BB72" i="9"/>
  <c r="BC72" i="9"/>
  <c r="BD72" i="9"/>
  <c r="BE72" i="9"/>
  <c r="BF72" i="9"/>
  <c r="BG72" i="9"/>
  <c r="BH72" i="9"/>
  <c r="AR75" i="9"/>
  <c r="AS75" i="9"/>
  <c r="AT75" i="9"/>
  <c r="AU75" i="9"/>
  <c r="AV75" i="9"/>
  <c r="AW75" i="9"/>
  <c r="AX75" i="9"/>
  <c r="AY75" i="9"/>
  <c r="AR76" i="9"/>
  <c r="AS76" i="9"/>
  <c r="AT76" i="9"/>
  <c r="AU76" i="9"/>
  <c r="AV76" i="9"/>
  <c r="AW76" i="9"/>
  <c r="AX76" i="9"/>
  <c r="AY76" i="9"/>
  <c r="AR77" i="9"/>
  <c r="AS77" i="9"/>
  <c r="AT77" i="9"/>
  <c r="AU77" i="9"/>
  <c r="AV77" i="9"/>
  <c r="AW77" i="9"/>
  <c r="AX77" i="9"/>
  <c r="AY77" i="9"/>
  <c r="AR78" i="9"/>
  <c r="AS78" i="9"/>
  <c r="AT78" i="9"/>
  <c r="AU78" i="9"/>
  <c r="AV78" i="9"/>
  <c r="AW78" i="9"/>
  <c r="AX78" i="9"/>
  <c r="AY78" i="9"/>
  <c r="AR79" i="9"/>
  <c r="AS79" i="9"/>
  <c r="AT79" i="9"/>
  <c r="AU79" i="9"/>
  <c r="AV79" i="9"/>
  <c r="AW79" i="9"/>
  <c r="AX79" i="9"/>
  <c r="AY79" i="9"/>
  <c r="AR80" i="9"/>
  <c r="AS80" i="9"/>
  <c r="AT80" i="9"/>
  <c r="AU80" i="9"/>
  <c r="AV80" i="9"/>
  <c r="AW80" i="9"/>
  <c r="AX80" i="9"/>
  <c r="AY80" i="9"/>
  <c r="AR81" i="9"/>
  <c r="AS81" i="9"/>
  <c r="AT81" i="9"/>
  <c r="AU81" i="9"/>
  <c r="AV81" i="9"/>
  <c r="AW81" i="9"/>
  <c r="AX81" i="9"/>
  <c r="AY81" i="9"/>
  <c r="AR82" i="9"/>
  <c r="AS82" i="9"/>
  <c r="AT82" i="9"/>
  <c r="AU82" i="9"/>
  <c r="AV82" i="9"/>
  <c r="AW82" i="9"/>
  <c r="AX82" i="9"/>
  <c r="AY82" i="9"/>
  <c r="AR83" i="9"/>
  <c r="AS83" i="9"/>
  <c r="AT83" i="9"/>
  <c r="AU83" i="9"/>
  <c r="AV83" i="9"/>
  <c r="AW83" i="9"/>
  <c r="AX83" i="9"/>
  <c r="AY83" i="9"/>
  <c r="AR84" i="9"/>
  <c r="AS84" i="9"/>
  <c r="AT84" i="9"/>
  <c r="AU84" i="9"/>
  <c r="AV84" i="9"/>
  <c r="AW84" i="9"/>
  <c r="AX84" i="9"/>
  <c r="AY84" i="9"/>
  <c r="AR85" i="9"/>
  <c r="AS85" i="9"/>
  <c r="AT85" i="9"/>
  <c r="AU85" i="9"/>
  <c r="AV85" i="9"/>
  <c r="AW85" i="9"/>
  <c r="AX85" i="9"/>
  <c r="AY85" i="9"/>
  <c r="AR86" i="9"/>
  <c r="AS86" i="9"/>
  <c r="AT86" i="9"/>
  <c r="AU86" i="9"/>
  <c r="AV86" i="9"/>
  <c r="AW86" i="9"/>
  <c r="AX86" i="9"/>
  <c r="AY86" i="9"/>
  <c r="AR87" i="9"/>
  <c r="AS87" i="9"/>
  <c r="AT87" i="9"/>
  <c r="AU87" i="9"/>
  <c r="AV87" i="9"/>
  <c r="AW87" i="9"/>
  <c r="AX87" i="9"/>
  <c r="AY87" i="9"/>
  <c r="AR88" i="9"/>
  <c r="AS88" i="9"/>
  <c r="AT88" i="9"/>
  <c r="AU88" i="9"/>
  <c r="AV88" i="9"/>
  <c r="AW88" i="9"/>
  <c r="AX88" i="9"/>
  <c r="AY88" i="9"/>
  <c r="AR89" i="9"/>
  <c r="AS89" i="9"/>
  <c r="AT89" i="9"/>
  <c r="AU89" i="9"/>
  <c r="AV89" i="9"/>
  <c r="AW89" i="9"/>
  <c r="AX89" i="9"/>
  <c r="AY89" i="9"/>
  <c r="AR90" i="9"/>
  <c r="AS90" i="9"/>
  <c r="AT90" i="9"/>
  <c r="AU90" i="9"/>
  <c r="AV90" i="9"/>
  <c r="AW90" i="9"/>
  <c r="AX90" i="9"/>
  <c r="AY90" i="9"/>
  <c r="AR91" i="9"/>
  <c r="AS91" i="9"/>
  <c r="AT91" i="9"/>
  <c r="AU91" i="9"/>
  <c r="AV91" i="9"/>
  <c r="AW91" i="9"/>
  <c r="AX91" i="9"/>
  <c r="AY91" i="9"/>
  <c r="AR92" i="9"/>
  <c r="AS92" i="9"/>
  <c r="AT92" i="9"/>
  <c r="AU92" i="9"/>
  <c r="AV92" i="9"/>
  <c r="AW92" i="9"/>
  <c r="AX92" i="9"/>
  <c r="AY92" i="9"/>
  <c r="AR93" i="9"/>
  <c r="AS93" i="9"/>
  <c r="AT93" i="9"/>
  <c r="AU93" i="9"/>
  <c r="AV93" i="9"/>
  <c r="AW93" i="9"/>
  <c r="AX93" i="9"/>
  <c r="AY93" i="9"/>
  <c r="AR94" i="9"/>
  <c r="AS94" i="9"/>
  <c r="AT94" i="9"/>
  <c r="AU94" i="9"/>
  <c r="AV94" i="9"/>
  <c r="AW94" i="9"/>
  <c r="AX94" i="9"/>
  <c r="AY94" i="9"/>
  <c r="AR53" i="9"/>
  <c r="AS53" i="9"/>
  <c r="AT53" i="9"/>
  <c r="AU53" i="9"/>
  <c r="AV53" i="9"/>
  <c r="AW53" i="9"/>
  <c r="AX53" i="9"/>
  <c r="AY53" i="9"/>
  <c r="AR54" i="9"/>
  <c r="AS54" i="9"/>
  <c r="AT54" i="9"/>
  <c r="AU54" i="9"/>
  <c r="AV54" i="9"/>
  <c r="AW54" i="9"/>
  <c r="AX54" i="9"/>
  <c r="AY54" i="9"/>
  <c r="AR55" i="9"/>
  <c r="AS55" i="9"/>
  <c r="AT55" i="9"/>
  <c r="AU55" i="9"/>
  <c r="AV55" i="9"/>
  <c r="AW55" i="9"/>
  <c r="AX55" i="9"/>
  <c r="AY55" i="9"/>
  <c r="AR56" i="9"/>
  <c r="AS56" i="9"/>
  <c r="AT56" i="9"/>
  <c r="AU56" i="9"/>
  <c r="AV56" i="9"/>
  <c r="AW56" i="9"/>
  <c r="AX56" i="9"/>
  <c r="AY56" i="9"/>
  <c r="AR57" i="9"/>
  <c r="AS57" i="9"/>
  <c r="AT57" i="9"/>
  <c r="AU57" i="9"/>
  <c r="AV57" i="9"/>
  <c r="AW57" i="9"/>
  <c r="AX57" i="9"/>
  <c r="AY57" i="9"/>
  <c r="AR58" i="9"/>
  <c r="AS58" i="9"/>
  <c r="AT58" i="9"/>
  <c r="AU58" i="9"/>
  <c r="AV58" i="9"/>
  <c r="AW58" i="9"/>
  <c r="AX58" i="9"/>
  <c r="AY58" i="9"/>
  <c r="AR59" i="9"/>
  <c r="AS59" i="9"/>
  <c r="AT59" i="9"/>
  <c r="AU59" i="9"/>
  <c r="AV59" i="9"/>
  <c r="AW59" i="9"/>
  <c r="AX59" i="9"/>
  <c r="AY59" i="9"/>
  <c r="AR60" i="9"/>
  <c r="AS60" i="9"/>
  <c r="AT60" i="9"/>
  <c r="AU60" i="9"/>
  <c r="AV60" i="9"/>
  <c r="AW60" i="9"/>
  <c r="AX60" i="9"/>
  <c r="AY60" i="9"/>
  <c r="AR61" i="9"/>
  <c r="AS61" i="9"/>
  <c r="AT61" i="9"/>
  <c r="AU61" i="9"/>
  <c r="AV61" i="9"/>
  <c r="AW61" i="9"/>
  <c r="AX61" i="9"/>
  <c r="AY61" i="9"/>
  <c r="AR62" i="9"/>
  <c r="AS62" i="9"/>
  <c r="AT62" i="9"/>
  <c r="AU62" i="9"/>
  <c r="AV62" i="9"/>
  <c r="AW62" i="9"/>
  <c r="AX62" i="9"/>
  <c r="AY62" i="9"/>
  <c r="AR63" i="9"/>
  <c r="AS63" i="9"/>
  <c r="AT63" i="9"/>
  <c r="AU63" i="9"/>
  <c r="AV63" i="9"/>
  <c r="AW63" i="9"/>
  <c r="AX63" i="9"/>
  <c r="AY63" i="9"/>
  <c r="AR64" i="9"/>
  <c r="AS64" i="9"/>
  <c r="AT64" i="9"/>
  <c r="AU64" i="9"/>
  <c r="AV64" i="9"/>
  <c r="AW64" i="9"/>
  <c r="AX64" i="9"/>
  <c r="AY64" i="9"/>
  <c r="AR65" i="9"/>
  <c r="AS65" i="9"/>
  <c r="AT65" i="9"/>
  <c r="AU65" i="9"/>
  <c r="AV65" i="9"/>
  <c r="AW65" i="9"/>
  <c r="AX65" i="9"/>
  <c r="AY65" i="9"/>
  <c r="AR66" i="9"/>
  <c r="AS66" i="9"/>
  <c r="AT66" i="9"/>
  <c r="AU66" i="9"/>
  <c r="AV66" i="9"/>
  <c r="AW66" i="9"/>
  <c r="AX66" i="9"/>
  <c r="AY66" i="9"/>
  <c r="AR67" i="9"/>
  <c r="AS67" i="9"/>
  <c r="AT67" i="9"/>
  <c r="AU67" i="9"/>
  <c r="AV67" i="9"/>
  <c r="AW67" i="9"/>
  <c r="AX67" i="9"/>
  <c r="AY67" i="9"/>
  <c r="AR68" i="9"/>
  <c r="AS68" i="9"/>
  <c r="AT68" i="9"/>
  <c r="AU68" i="9"/>
  <c r="AV68" i="9"/>
  <c r="AW68" i="9"/>
  <c r="AX68" i="9"/>
  <c r="AY68" i="9"/>
  <c r="AR69" i="9"/>
  <c r="AS69" i="9"/>
  <c r="AT69" i="9"/>
  <c r="AU69" i="9"/>
  <c r="AV69" i="9"/>
  <c r="AW69" i="9"/>
  <c r="AX69" i="9"/>
  <c r="AY69" i="9"/>
  <c r="AR70" i="9"/>
  <c r="AS70" i="9"/>
  <c r="AT70" i="9"/>
  <c r="AU70" i="9"/>
  <c r="AV70" i="9"/>
  <c r="AW70" i="9"/>
  <c r="AX70" i="9"/>
  <c r="AY70" i="9"/>
  <c r="AR71" i="9"/>
  <c r="AS71" i="9"/>
  <c r="AT71" i="9"/>
  <c r="AU71" i="9"/>
  <c r="AV71" i="9"/>
  <c r="AW71" i="9"/>
  <c r="AX71" i="9"/>
  <c r="AY71" i="9"/>
  <c r="AR72" i="9"/>
  <c r="AS72" i="9"/>
  <c r="AT72" i="9"/>
  <c r="AU72" i="9"/>
  <c r="AV72" i="9"/>
  <c r="AW72" i="9"/>
  <c r="AX72" i="9"/>
  <c r="AY72" i="9"/>
  <c r="AI75" i="9"/>
  <c r="AJ75" i="9"/>
  <c r="AK75" i="9"/>
  <c r="AL75" i="9"/>
  <c r="AM75" i="9"/>
  <c r="AN75" i="9"/>
  <c r="AO75" i="9"/>
  <c r="AP75" i="9"/>
  <c r="AI76" i="9"/>
  <c r="AJ76" i="9"/>
  <c r="AK76" i="9"/>
  <c r="AL76" i="9"/>
  <c r="AM76" i="9"/>
  <c r="AN76" i="9"/>
  <c r="AO76" i="9"/>
  <c r="AP76" i="9"/>
  <c r="AI77" i="9"/>
  <c r="AJ77" i="9"/>
  <c r="AK77" i="9"/>
  <c r="AL77" i="9"/>
  <c r="AM77" i="9"/>
  <c r="AN77" i="9"/>
  <c r="AO77" i="9"/>
  <c r="AP77" i="9"/>
  <c r="AI78" i="9"/>
  <c r="AJ78" i="9"/>
  <c r="AK78" i="9"/>
  <c r="AL78" i="9"/>
  <c r="AM78" i="9"/>
  <c r="AN78" i="9"/>
  <c r="AO78" i="9"/>
  <c r="AP78" i="9"/>
  <c r="AI79" i="9"/>
  <c r="AJ79" i="9"/>
  <c r="AK79" i="9"/>
  <c r="AL79" i="9"/>
  <c r="AM79" i="9"/>
  <c r="AN79" i="9"/>
  <c r="AO79" i="9"/>
  <c r="AP79" i="9"/>
  <c r="AI80" i="9"/>
  <c r="AJ80" i="9"/>
  <c r="AK80" i="9"/>
  <c r="AL80" i="9"/>
  <c r="AM80" i="9"/>
  <c r="AN80" i="9"/>
  <c r="AO80" i="9"/>
  <c r="AP80" i="9"/>
  <c r="AI81" i="9"/>
  <c r="AJ81" i="9"/>
  <c r="AK81" i="9"/>
  <c r="AL81" i="9"/>
  <c r="AM81" i="9"/>
  <c r="AN81" i="9"/>
  <c r="AO81" i="9"/>
  <c r="AP81" i="9"/>
  <c r="AI82" i="9"/>
  <c r="AJ82" i="9"/>
  <c r="AK82" i="9"/>
  <c r="AL82" i="9"/>
  <c r="AM82" i="9"/>
  <c r="AN82" i="9"/>
  <c r="AO82" i="9"/>
  <c r="AP82" i="9"/>
  <c r="AI83" i="9"/>
  <c r="AJ83" i="9"/>
  <c r="AK83" i="9"/>
  <c r="AL83" i="9"/>
  <c r="AM83" i="9"/>
  <c r="AN83" i="9"/>
  <c r="AO83" i="9"/>
  <c r="AP83" i="9"/>
  <c r="AI84" i="9"/>
  <c r="AJ84" i="9"/>
  <c r="AK84" i="9"/>
  <c r="AL84" i="9"/>
  <c r="AM84" i="9"/>
  <c r="AN84" i="9"/>
  <c r="AO84" i="9"/>
  <c r="AP84" i="9"/>
  <c r="AI85" i="9"/>
  <c r="AJ85" i="9"/>
  <c r="AK85" i="9"/>
  <c r="AL85" i="9"/>
  <c r="AM85" i="9"/>
  <c r="AN85" i="9"/>
  <c r="AO85" i="9"/>
  <c r="AP85" i="9"/>
  <c r="AI86" i="9"/>
  <c r="AJ86" i="9"/>
  <c r="AK86" i="9"/>
  <c r="AL86" i="9"/>
  <c r="AM86" i="9"/>
  <c r="AN86" i="9"/>
  <c r="AO86" i="9"/>
  <c r="AP86" i="9"/>
  <c r="AI87" i="9"/>
  <c r="AJ87" i="9"/>
  <c r="AK87" i="9"/>
  <c r="AL87" i="9"/>
  <c r="AM87" i="9"/>
  <c r="AN87" i="9"/>
  <c r="AO87" i="9"/>
  <c r="AP87" i="9"/>
  <c r="AI88" i="9"/>
  <c r="AJ88" i="9"/>
  <c r="AK88" i="9"/>
  <c r="AL88" i="9"/>
  <c r="AM88" i="9"/>
  <c r="AN88" i="9"/>
  <c r="AO88" i="9"/>
  <c r="AP88" i="9"/>
  <c r="AI89" i="9"/>
  <c r="AJ89" i="9"/>
  <c r="AK89" i="9"/>
  <c r="AL89" i="9"/>
  <c r="AM89" i="9"/>
  <c r="AN89" i="9"/>
  <c r="AO89" i="9"/>
  <c r="AP89" i="9"/>
  <c r="AI90" i="9"/>
  <c r="AJ90" i="9"/>
  <c r="AK90" i="9"/>
  <c r="AL90" i="9"/>
  <c r="AM90" i="9"/>
  <c r="AN90" i="9"/>
  <c r="AO90" i="9"/>
  <c r="AP90" i="9"/>
  <c r="AI91" i="9"/>
  <c r="AJ91" i="9"/>
  <c r="AK91" i="9"/>
  <c r="AL91" i="9"/>
  <c r="AM91" i="9"/>
  <c r="AN91" i="9"/>
  <c r="AO91" i="9"/>
  <c r="AP91" i="9"/>
  <c r="AI92" i="9"/>
  <c r="AJ92" i="9"/>
  <c r="AK92" i="9"/>
  <c r="AL92" i="9"/>
  <c r="AM92" i="9"/>
  <c r="AN92" i="9"/>
  <c r="AO92" i="9"/>
  <c r="AP92" i="9"/>
  <c r="AI93" i="9"/>
  <c r="AJ93" i="9"/>
  <c r="AK93" i="9"/>
  <c r="AL93" i="9"/>
  <c r="AM93" i="9"/>
  <c r="AN93" i="9"/>
  <c r="AO93" i="9"/>
  <c r="AP93" i="9"/>
  <c r="AI94" i="9"/>
  <c r="AJ94" i="9"/>
  <c r="AK94" i="9"/>
  <c r="AL94" i="9"/>
  <c r="AM94" i="9"/>
  <c r="AN94" i="9"/>
  <c r="AO94" i="9"/>
  <c r="AP94" i="9"/>
  <c r="AI53" i="9"/>
  <c r="AJ53" i="9"/>
  <c r="AK53" i="9"/>
  <c r="AL53" i="9"/>
  <c r="AM53" i="9"/>
  <c r="AN53" i="9"/>
  <c r="AO53" i="9"/>
  <c r="AP53" i="9"/>
  <c r="AI54" i="9"/>
  <c r="AJ54" i="9"/>
  <c r="AK54" i="9"/>
  <c r="AL54" i="9"/>
  <c r="AM54" i="9"/>
  <c r="AN54" i="9"/>
  <c r="AO54" i="9"/>
  <c r="AP54" i="9"/>
  <c r="AI55" i="9"/>
  <c r="AJ55" i="9"/>
  <c r="AK55" i="9"/>
  <c r="AL55" i="9"/>
  <c r="AM55" i="9"/>
  <c r="AN55" i="9"/>
  <c r="AO55" i="9"/>
  <c r="AP55" i="9"/>
  <c r="AI56" i="9"/>
  <c r="AJ56" i="9"/>
  <c r="AK56" i="9"/>
  <c r="AL56" i="9"/>
  <c r="AM56" i="9"/>
  <c r="AN56" i="9"/>
  <c r="AO56" i="9"/>
  <c r="AP56" i="9"/>
  <c r="AI57" i="9"/>
  <c r="AJ57" i="9"/>
  <c r="AK57" i="9"/>
  <c r="AL57" i="9"/>
  <c r="AM57" i="9"/>
  <c r="AN57" i="9"/>
  <c r="AO57" i="9"/>
  <c r="AP57" i="9"/>
  <c r="AI58" i="9"/>
  <c r="AJ58" i="9"/>
  <c r="AK58" i="9"/>
  <c r="AL58" i="9"/>
  <c r="AM58" i="9"/>
  <c r="AN58" i="9"/>
  <c r="AO58" i="9"/>
  <c r="AP58" i="9"/>
  <c r="AI59" i="9"/>
  <c r="AJ59" i="9"/>
  <c r="AK59" i="9"/>
  <c r="AL59" i="9"/>
  <c r="AM59" i="9"/>
  <c r="AN59" i="9"/>
  <c r="AO59" i="9"/>
  <c r="AP59" i="9"/>
  <c r="AI60" i="9"/>
  <c r="AJ60" i="9"/>
  <c r="AK60" i="9"/>
  <c r="AL60" i="9"/>
  <c r="AM60" i="9"/>
  <c r="AN60" i="9"/>
  <c r="AO60" i="9"/>
  <c r="AP60" i="9"/>
  <c r="AI61" i="9"/>
  <c r="AJ61" i="9"/>
  <c r="AK61" i="9"/>
  <c r="AL61" i="9"/>
  <c r="AM61" i="9"/>
  <c r="AN61" i="9"/>
  <c r="AO61" i="9"/>
  <c r="AP61" i="9"/>
  <c r="AI62" i="9"/>
  <c r="AJ62" i="9"/>
  <c r="AK62" i="9"/>
  <c r="AL62" i="9"/>
  <c r="AM62" i="9"/>
  <c r="AN62" i="9"/>
  <c r="AO62" i="9"/>
  <c r="AP62" i="9"/>
  <c r="AI63" i="9"/>
  <c r="AJ63" i="9"/>
  <c r="AK63" i="9"/>
  <c r="AL63" i="9"/>
  <c r="AM63" i="9"/>
  <c r="AN63" i="9"/>
  <c r="AO63" i="9"/>
  <c r="AP63" i="9"/>
  <c r="AI64" i="9"/>
  <c r="AJ64" i="9"/>
  <c r="AK64" i="9"/>
  <c r="AL64" i="9"/>
  <c r="AM64" i="9"/>
  <c r="AN64" i="9"/>
  <c r="AO64" i="9"/>
  <c r="AP64" i="9"/>
  <c r="AI65" i="9"/>
  <c r="AJ65" i="9"/>
  <c r="AK65" i="9"/>
  <c r="AL65" i="9"/>
  <c r="AM65" i="9"/>
  <c r="AN65" i="9"/>
  <c r="AO65" i="9"/>
  <c r="AP65" i="9"/>
  <c r="AI66" i="9"/>
  <c r="AJ66" i="9"/>
  <c r="AK66" i="9"/>
  <c r="AL66" i="9"/>
  <c r="AM66" i="9"/>
  <c r="AN66" i="9"/>
  <c r="AO66" i="9"/>
  <c r="AP66" i="9"/>
  <c r="AI67" i="9"/>
  <c r="AJ67" i="9"/>
  <c r="AK67" i="9"/>
  <c r="AL67" i="9"/>
  <c r="AM67" i="9"/>
  <c r="AN67" i="9"/>
  <c r="AO67" i="9"/>
  <c r="AP67" i="9"/>
  <c r="AI68" i="9"/>
  <c r="AJ68" i="9"/>
  <c r="AK68" i="9"/>
  <c r="AL68" i="9"/>
  <c r="AM68" i="9"/>
  <c r="AN68" i="9"/>
  <c r="AO68" i="9"/>
  <c r="AP68" i="9"/>
  <c r="AI69" i="9"/>
  <c r="AJ69" i="9"/>
  <c r="AK69" i="9"/>
  <c r="AL69" i="9"/>
  <c r="AM69" i="9"/>
  <c r="AN69" i="9"/>
  <c r="AO69" i="9"/>
  <c r="AP69" i="9"/>
  <c r="AI70" i="9"/>
  <c r="AJ70" i="9"/>
  <c r="AK70" i="9"/>
  <c r="AL70" i="9"/>
  <c r="AM70" i="9"/>
  <c r="AN70" i="9"/>
  <c r="AO70" i="9"/>
  <c r="AP70" i="9"/>
  <c r="AI71" i="9"/>
  <c r="AJ71" i="9"/>
  <c r="AK71" i="9"/>
  <c r="AL71" i="9"/>
  <c r="AM71" i="9"/>
  <c r="AN71" i="9"/>
  <c r="AO71" i="9"/>
  <c r="AP71" i="9"/>
  <c r="AI72" i="9"/>
  <c r="AJ72" i="9"/>
  <c r="AK72" i="9"/>
  <c r="AL72" i="9"/>
  <c r="AM72" i="9"/>
  <c r="AN72" i="9"/>
  <c r="AO72" i="9"/>
  <c r="AP72" i="9"/>
  <c r="Z75" i="9"/>
  <c r="AA75" i="9"/>
  <c r="AB75" i="9"/>
  <c r="AC75" i="9"/>
  <c r="AD75" i="9"/>
  <c r="AE75" i="9"/>
  <c r="AF75" i="9"/>
  <c r="AG75" i="9"/>
  <c r="Z76" i="9"/>
  <c r="AA76" i="9"/>
  <c r="AB76" i="9"/>
  <c r="AC76" i="9"/>
  <c r="AD76" i="9"/>
  <c r="AE76" i="9"/>
  <c r="AF76" i="9"/>
  <c r="AG76" i="9"/>
  <c r="Z77" i="9"/>
  <c r="AA77" i="9"/>
  <c r="AB77" i="9"/>
  <c r="AC77" i="9"/>
  <c r="AD77" i="9"/>
  <c r="AE77" i="9"/>
  <c r="AF77" i="9"/>
  <c r="AG77" i="9"/>
  <c r="Z78" i="9"/>
  <c r="AA78" i="9"/>
  <c r="AB78" i="9"/>
  <c r="AC78" i="9"/>
  <c r="AD78" i="9"/>
  <c r="AE78" i="9"/>
  <c r="AF78" i="9"/>
  <c r="AG78" i="9"/>
  <c r="Z79" i="9"/>
  <c r="AA79" i="9"/>
  <c r="AB79" i="9"/>
  <c r="AC79" i="9"/>
  <c r="AD79" i="9"/>
  <c r="AE79" i="9"/>
  <c r="AF79" i="9"/>
  <c r="AG79" i="9"/>
  <c r="Z80" i="9"/>
  <c r="AA80" i="9"/>
  <c r="AB80" i="9"/>
  <c r="AC80" i="9"/>
  <c r="AD80" i="9"/>
  <c r="AE80" i="9"/>
  <c r="AF80" i="9"/>
  <c r="AG80" i="9"/>
  <c r="Z81" i="9"/>
  <c r="AA81" i="9"/>
  <c r="AB81" i="9"/>
  <c r="AC81" i="9"/>
  <c r="AD81" i="9"/>
  <c r="AE81" i="9"/>
  <c r="AF81" i="9"/>
  <c r="AG81" i="9"/>
  <c r="Z82" i="9"/>
  <c r="AA82" i="9"/>
  <c r="AB82" i="9"/>
  <c r="AC82" i="9"/>
  <c r="AD82" i="9"/>
  <c r="AE82" i="9"/>
  <c r="AF82" i="9"/>
  <c r="AG82" i="9"/>
  <c r="Z83" i="9"/>
  <c r="AA83" i="9"/>
  <c r="AB83" i="9"/>
  <c r="AC83" i="9"/>
  <c r="AD83" i="9"/>
  <c r="AE83" i="9"/>
  <c r="AF83" i="9"/>
  <c r="AG83" i="9"/>
  <c r="Z84" i="9"/>
  <c r="AA84" i="9"/>
  <c r="AB84" i="9"/>
  <c r="AC84" i="9"/>
  <c r="AD84" i="9"/>
  <c r="AE84" i="9"/>
  <c r="AF84" i="9"/>
  <c r="AG84" i="9"/>
  <c r="Z85" i="9"/>
  <c r="AA85" i="9"/>
  <c r="AB85" i="9"/>
  <c r="AC85" i="9"/>
  <c r="AD85" i="9"/>
  <c r="AE85" i="9"/>
  <c r="AF85" i="9"/>
  <c r="AG85" i="9"/>
  <c r="Z86" i="9"/>
  <c r="AA86" i="9"/>
  <c r="AB86" i="9"/>
  <c r="AC86" i="9"/>
  <c r="AD86" i="9"/>
  <c r="AE86" i="9"/>
  <c r="AF86" i="9"/>
  <c r="AG86" i="9"/>
  <c r="Z87" i="9"/>
  <c r="AA87" i="9"/>
  <c r="AB87" i="9"/>
  <c r="AC87" i="9"/>
  <c r="AD87" i="9"/>
  <c r="AE87" i="9"/>
  <c r="AF87" i="9"/>
  <c r="AG87" i="9"/>
  <c r="Z88" i="9"/>
  <c r="AA88" i="9"/>
  <c r="AB88" i="9"/>
  <c r="AC88" i="9"/>
  <c r="AD88" i="9"/>
  <c r="AE88" i="9"/>
  <c r="AF88" i="9"/>
  <c r="AG88" i="9"/>
  <c r="Z89" i="9"/>
  <c r="AA89" i="9"/>
  <c r="AB89" i="9"/>
  <c r="AC89" i="9"/>
  <c r="AD89" i="9"/>
  <c r="AE89" i="9"/>
  <c r="AF89" i="9"/>
  <c r="AG89" i="9"/>
  <c r="Z90" i="9"/>
  <c r="AA90" i="9"/>
  <c r="AB90" i="9"/>
  <c r="AC90" i="9"/>
  <c r="AD90" i="9"/>
  <c r="AE90" i="9"/>
  <c r="AF90" i="9"/>
  <c r="AG90" i="9"/>
  <c r="Z91" i="9"/>
  <c r="AA91" i="9"/>
  <c r="AB91" i="9"/>
  <c r="AC91" i="9"/>
  <c r="AD91" i="9"/>
  <c r="AE91" i="9"/>
  <c r="AF91" i="9"/>
  <c r="AG91" i="9"/>
  <c r="Z92" i="9"/>
  <c r="AA92" i="9"/>
  <c r="AB92" i="9"/>
  <c r="AC92" i="9"/>
  <c r="AD92" i="9"/>
  <c r="AE92" i="9"/>
  <c r="AF92" i="9"/>
  <c r="AG92" i="9"/>
  <c r="Z93" i="9"/>
  <c r="AA93" i="9"/>
  <c r="AB93" i="9"/>
  <c r="AC93" i="9"/>
  <c r="AD93" i="9"/>
  <c r="AE93" i="9"/>
  <c r="AF93" i="9"/>
  <c r="AG93" i="9"/>
  <c r="Z94" i="9"/>
  <c r="AA94" i="9"/>
  <c r="AB94" i="9"/>
  <c r="AC94" i="9"/>
  <c r="AD94" i="9"/>
  <c r="AE94" i="9"/>
  <c r="AF94" i="9"/>
  <c r="AG94" i="9"/>
  <c r="Z53" i="9"/>
  <c r="AA53" i="9"/>
  <c r="AB53" i="9"/>
  <c r="AC53" i="9"/>
  <c r="AD53" i="9"/>
  <c r="AE53" i="9"/>
  <c r="AF53" i="9"/>
  <c r="AG53" i="9"/>
  <c r="Z54" i="9"/>
  <c r="AA54" i="9"/>
  <c r="AB54" i="9"/>
  <c r="AC54" i="9"/>
  <c r="AD54" i="9"/>
  <c r="AE54" i="9"/>
  <c r="AF54" i="9"/>
  <c r="AG54" i="9"/>
  <c r="Z55" i="9"/>
  <c r="AA55" i="9"/>
  <c r="AB55" i="9"/>
  <c r="AC55" i="9"/>
  <c r="AD55" i="9"/>
  <c r="AE55" i="9"/>
  <c r="AF55" i="9"/>
  <c r="AG55" i="9"/>
  <c r="Z56" i="9"/>
  <c r="AA56" i="9"/>
  <c r="AB56" i="9"/>
  <c r="AC56" i="9"/>
  <c r="AD56" i="9"/>
  <c r="AE56" i="9"/>
  <c r="AF56" i="9"/>
  <c r="AG56" i="9"/>
  <c r="Z57" i="9"/>
  <c r="AA57" i="9"/>
  <c r="AB57" i="9"/>
  <c r="AC57" i="9"/>
  <c r="AD57" i="9"/>
  <c r="AE57" i="9"/>
  <c r="AF57" i="9"/>
  <c r="AG57" i="9"/>
  <c r="Z58" i="9"/>
  <c r="AA58" i="9"/>
  <c r="AB58" i="9"/>
  <c r="AC58" i="9"/>
  <c r="AD58" i="9"/>
  <c r="AE58" i="9"/>
  <c r="AF58" i="9"/>
  <c r="I58" i="9" s="1"/>
  <c r="AG58" i="9"/>
  <c r="Z59" i="9"/>
  <c r="AA59" i="9"/>
  <c r="AB59" i="9"/>
  <c r="AC59" i="9"/>
  <c r="AD59" i="9"/>
  <c r="AE59" i="9"/>
  <c r="AF59" i="9"/>
  <c r="AG59" i="9"/>
  <c r="Z60" i="9"/>
  <c r="AA60" i="9"/>
  <c r="AB60" i="9"/>
  <c r="AC60" i="9"/>
  <c r="AD60" i="9"/>
  <c r="AE60" i="9"/>
  <c r="AF60" i="9"/>
  <c r="AG60" i="9"/>
  <c r="Z61" i="9"/>
  <c r="AA61" i="9"/>
  <c r="AB61" i="9"/>
  <c r="AC61" i="9"/>
  <c r="AD61" i="9"/>
  <c r="AE61" i="9"/>
  <c r="AF61" i="9"/>
  <c r="I61" i="9" s="1"/>
  <c r="AG61" i="9"/>
  <c r="Z62" i="9"/>
  <c r="AA62" i="9"/>
  <c r="AB62" i="9"/>
  <c r="AC62" i="9"/>
  <c r="AD62" i="9"/>
  <c r="AE62" i="9"/>
  <c r="AF62" i="9"/>
  <c r="AG62" i="9"/>
  <c r="Z63" i="9"/>
  <c r="AA63" i="9"/>
  <c r="AB63" i="9"/>
  <c r="AC63" i="9"/>
  <c r="AD63" i="9"/>
  <c r="AE63" i="9"/>
  <c r="AF63" i="9"/>
  <c r="AG63" i="9"/>
  <c r="Z64" i="9"/>
  <c r="AA64" i="9"/>
  <c r="AB64" i="9"/>
  <c r="AC64" i="9"/>
  <c r="AD64" i="9"/>
  <c r="AE64" i="9"/>
  <c r="AF64" i="9"/>
  <c r="AG64" i="9"/>
  <c r="Z65" i="9"/>
  <c r="AA65" i="9"/>
  <c r="AB65" i="9"/>
  <c r="AC65" i="9"/>
  <c r="AD65" i="9"/>
  <c r="AE65" i="9"/>
  <c r="AF65" i="9"/>
  <c r="AG65" i="9"/>
  <c r="Z66" i="9"/>
  <c r="AA66" i="9"/>
  <c r="AB66" i="9"/>
  <c r="AC66" i="9"/>
  <c r="AD66" i="9"/>
  <c r="AE66" i="9"/>
  <c r="AF66" i="9"/>
  <c r="AG66" i="9"/>
  <c r="Z67" i="9"/>
  <c r="AA67" i="9"/>
  <c r="AB67" i="9"/>
  <c r="AC67" i="9"/>
  <c r="AD67" i="9"/>
  <c r="AE67" i="9"/>
  <c r="AF67" i="9"/>
  <c r="AG67" i="9"/>
  <c r="Z68" i="9"/>
  <c r="AA68" i="9"/>
  <c r="AB68" i="9"/>
  <c r="AC68" i="9"/>
  <c r="AD68" i="9"/>
  <c r="AE68" i="9"/>
  <c r="AF68" i="9"/>
  <c r="AG68" i="9"/>
  <c r="Z69" i="9"/>
  <c r="AA69" i="9"/>
  <c r="AB69" i="9"/>
  <c r="AC69" i="9"/>
  <c r="AD69" i="9"/>
  <c r="AE69" i="9"/>
  <c r="AF69" i="9"/>
  <c r="AG69" i="9"/>
  <c r="Z70" i="9"/>
  <c r="AA70" i="9"/>
  <c r="AB70" i="9"/>
  <c r="AC70" i="9"/>
  <c r="AD70" i="9"/>
  <c r="AE70" i="9"/>
  <c r="AF70" i="9"/>
  <c r="AG70" i="9"/>
  <c r="Z71" i="9"/>
  <c r="AA71" i="9"/>
  <c r="AB71" i="9"/>
  <c r="AC71" i="9"/>
  <c r="AD71" i="9"/>
  <c r="AE71" i="9"/>
  <c r="AF71" i="9"/>
  <c r="AG71" i="9"/>
  <c r="Z72" i="9"/>
  <c r="AA72" i="9"/>
  <c r="AB72" i="9"/>
  <c r="AC72" i="9"/>
  <c r="AD72" i="9"/>
  <c r="AE72" i="9"/>
  <c r="AF72" i="9"/>
  <c r="AG72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Q91" i="9"/>
  <c r="R91" i="9"/>
  <c r="S91" i="9"/>
  <c r="T91" i="9"/>
  <c r="U91" i="9"/>
  <c r="V91" i="9"/>
  <c r="W91" i="9"/>
  <c r="X91" i="9"/>
  <c r="Q92" i="9"/>
  <c r="R92" i="9"/>
  <c r="S92" i="9"/>
  <c r="T92" i="9"/>
  <c r="U92" i="9"/>
  <c r="V92" i="9"/>
  <c r="W92" i="9"/>
  <c r="X92" i="9"/>
  <c r="Q93" i="9"/>
  <c r="R93" i="9"/>
  <c r="S93" i="9"/>
  <c r="T93" i="9"/>
  <c r="U93" i="9"/>
  <c r="V93" i="9"/>
  <c r="W93" i="9"/>
  <c r="X93" i="9"/>
  <c r="Q94" i="9"/>
  <c r="R94" i="9"/>
  <c r="S94" i="9"/>
  <c r="T94" i="9"/>
  <c r="U94" i="9"/>
  <c r="V94" i="9"/>
  <c r="W94" i="9"/>
  <c r="X94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BA2" i="9"/>
  <c r="BB2" i="9"/>
  <c r="BC2" i="9"/>
  <c r="BD2" i="9"/>
  <c r="BE2" i="9"/>
  <c r="BF2" i="9"/>
  <c r="BG2" i="9"/>
  <c r="BH2" i="9"/>
  <c r="BA3" i="9"/>
  <c r="BB3" i="9"/>
  <c r="BC3" i="9"/>
  <c r="BA4" i="9"/>
  <c r="BB4" i="9"/>
  <c r="BC4" i="9"/>
  <c r="BA5" i="9"/>
  <c r="BB5" i="9"/>
  <c r="BC5" i="9"/>
  <c r="BA6" i="9"/>
  <c r="BB6" i="9"/>
  <c r="BC6" i="9"/>
  <c r="BA7" i="9"/>
  <c r="BB7" i="9"/>
  <c r="BC7" i="9"/>
  <c r="BA8" i="9"/>
  <c r="BB8" i="9"/>
  <c r="BC8" i="9"/>
  <c r="BA9" i="9"/>
  <c r="BB9" i="9"/>
  <c r="BC9" i="9"/>
  <c r="BA10" i="9"/>
  <c r="BB10" i="9"/>
  <c r="BC10" i="9"/>
  <c r="BA11" i="9"/>
  <c r="BB11" i="9"/>
  <c r="BC11" i="9"/>
  <c r="BA12" i="9"/>
  <c r="BB12" i="9"/>
  <c r="BC12" i="9"/>
  <c r="BA13" i="9"/>
  <c r="BB13" i="9"/>
  <c r="BC13" i="9"/>
  <c r="BA14" i="9"/>
  <c r="BB14" i="9"/>
  <c r="BC14" i="9"/>
  <c r="BA15" i="9"/>
  <c r="BB15" i="9"/>
  <c r="BC15" i="9"/>
  <c r="BA16" i="9"/>
  <c r="BB16" i="9"/>
  <c r="BC16" i="9"/>
  <c r="BA17" i="9"/>
  <c r="BB17" i="9"/>
  <c r="BC17" i="9"/>
  <c r="BA18" i="9"/>
  <c r="BB18" i="9"/>
  <c r="BC18" i="9"/>
  <c r="BA19" i="9"/>
  <c r="BB19" i="9"/>
  <c r="BC19" i="9"/>
  <c r="BA20" i="9"/>
  <c r="BB20" i="9"/>
  <c r="BC20" i="9"/>
  <c r="BA21" i="9"/>
  <c r="BB21" i="9"/>
  <c r="BC21" i="9"/>
  <c r="BA22" i="9"/>
  <c r="BB22" i="9"/>
  <c r="BC22" i="9"/>
  <c r="BH22" i="9"/>
  <c r="BA23" i="9"/>
  <c r="BB23" i="9"/>
  <c r="BC23" i="9"/>
  <c r="BA24" i="9"/>
  <c r="BB24" i="9"/>
  <c r="BC24" i="9"/>
  <c r="BH24" i="9"/>
  <c r="BA25" i="9"/>
  <c r="BB25" i="9"/>
  <c r="BC25" i="9"/>
  <c r="BA26" i="9"/>
  <c r="BB26" i="9"/>
  <c r="BC26" i="9"/>
  <c r="BH26" i="9"/>
  <c r="BA27" i="9"/>
  <c r="BB27" i="9"/>
  <c r="BC27" i="9"/>
  <c r="BA28" i="9"/>
  <c r="BB28" i="9"/>
  <c r="BC28" i="9"/>
  <c r="BH28" i="9"/>
  <c r="BA29" i="9"/>
  <c r="BB29" i="9"/>
  <c r="BC29" i="9"/>
  <c r="BA30" i="9"/>
  <c r="BB30" i="9"/>
  <c r="BC30" i="9"/>
  <c r="BH30" i="9"/>
  <c r="BA31" i="9"/>
  <c r="BB31" i="9"/>
  <c r="BC31" i="9"/>
  <c r="BA32" i="9"/>
  <c r="BB32" i="9"/>
  <c r="BC32" i="9"/>
  <c r="BH32" i="9"/>
  <c r="BA33" i="9"/>
  <c r="BB33" i="9"/>
  <c r="BC33" i="9"/>
  <c r="BA34" i="9"/>
  <c r="BB34" i="9"/>
  <c r="BC34" i="9"/>
  <c r="BA35" i="9"/>
  <c r="BB35" i="9"/>
  <c r="BC35" i="9"/>
  <c r="BA36" i="9"/>
  <c r="BB36" i="9"/>
  <c r="BC36" i="9"/>
  <c r="BA37" i="9"/>
  <c r="BB37" i="9"/>
  <c r="BC37" i="9"/>
  <c r="BA38" i="9"/>
  <c r="BB38" i="9"/>
  <c r="BC38" i="9"/>
  <c r="BA39" i="9"/>
  <c r="BB39" i="9"/>
  <c r="BC39" i="9"/>
  <c r="BA40" i="9"/>
  <c r="BB40" i="9"/>
  <c r="BC40" i="9"/>
  <c r="BA41" i="9"/>
  <c r="BB41" i="9"/>
  <c r="BC41" i="9"/>
  <c r="AR2" i="9"/>
  <c r="AS2" i="9"/>
  <c r="AT2" i="9"/>
  <c r="AU2" i="9"/>
  <c r="AV2" i="9"/>
  <c r="AW2" i="9"/>
  <c r="AX2" i="9"/>
  <c r="AY2" i="9"/>
  <c r="AR3" i="9"/>
  <c r="AS3" i="9"/>
  <c r="AT3" i="9"/>
  <c r="AU3" i="9"/>
  <c r="AV3" i="9"/>
  <c r="AW3" i="9"/>
  <c r="AX3" i="9"/>
  <c r="AY3" i="9"/>
  <c r="AR4" i="9"/>
  <c r="AS4" i="9"/>
  <c r="AT4" i="9"/>
  <c r="AU4" i="9"/>
  <c r="AV4" i="9"/>
  <c r="AW4" i="9"/>
  <c r="AX4" i="9"/>
  <c r="AY4" i="9"/>
  <c r="AR5" i="9"/>
  <c r="AS5" i="9"/>
  <c r="AT5" i="9"/>
  <c r="AU5" i="9"/>
  <c r="AV5" i="9"/>
  <c r="AW5" i="9"/>
  <c r="AX5" i="9"/>
  <c r="AY5" i="9"/>
  <c r="AR6" i="9"/>
  <c r="AS6" i="9"/>
  <c r="AT6" i="9"/>
  <c r="AU6" i="9"/>
  <c r="AV6" i="9"/>
  <c r="AW6" i="9"/>
  <c r="AX6" i="9"/>
  <c r="AY6" i="9"/>
  <c r="AR7" i="9"/>
  <c r="AS7" i="9"/>
  <c r="AT7" i="9"/>
  <c r="AU7" i="9"/>
  <c r="AV7" i="9"/>
  <c r="AW7" i="9"/>
  <c r="AX7" i="9"/>
  <c r="AY7" i="9"/>
  <c r="AR8" i="9"/>
  <c r="AS8" i="9"/>
  <c r="AT8" i="9"/>
  <c r="AU8" i="9"/>
  <c r="AV8" i="9"/>
  <c r="AW8" i="9"/>
  <c r="AX8" i="9"/>
  <c r="AY8" i="9"/>
  <c r="AR9" i="9"/>
  <c r="AS9" i="9"/>
  <c r="AT9" i="9"/>
  <c r="AU9" i="9"/>
  <c r="AV9" i="9"/>
  <c r="AW9" i="9"/>
  <c r="AX9" i="9"/>
  <c r="AY9" i="9"/>
  <c r="AR10" i="9"/>
  <c r="AS10" i="9"/>
  <c r="AT10" i="9"/>
  <c r="AU10" i="9"/>
  <c r="AV10" i="9"/>
  <c r="AW10" i="9"/>
  <c r="AX10" i="9"/>
  <c r="AY10" i="9"/>
  <c r="AR11" i="9"/>
  <c r="AS11" i="9"/>
  <c r="AT11" i="9"/>
  <c r="AU11" i="9"/>
  <c r="AV11" i="9"/>
  <c r="AW11" i="9"/>
  <c r="AX11" i="9"/>
  <c r="AY11" i="9"/>
  <c r="AR12" i="9"/>
  <c r="AS12" i="9"/>
  <c r="AT12" i="9"/>
  <c r="AU12" i="9"/>
  <c r="AV12" i="9"/>
  <c r="AW12" i="9"/>
  <c r="AX12" i="9"/>
  <c r="AY12" i="9"/>
  <c r="AR13" i="9"/>
  <c r="AS13" i="9"/>
  <c r="AT13" i="9"/>
  <c r="AU13" i="9"/>
  <c r="AV13" i="9"/>
  <c r="AW13" i="9"/>
  <c r="AX13" i="9"/>
  <c r="AY13" i="9"/>
  <c r="AR14" i="9"/>
  <c r="AS14" i="9"/>
  <c r="AT14" i="9"/>
  <c r="AU14" i="9"/>
  <c r="AV14" i="9"/>
  <c r="AW14" i="9"/>
  <c r="AX14" i="9"/>
  <c r="AY14" i="9"/>
  <c r="AR15" i="9"/>
  <c r="AS15" i="9"/>
  <c r="AT15" i="9"/>
  <c r="AU15" i="9"/>
  <c r="AV15" i="9"/>
  <c r="AW15" i="9"/>
  <c r="AX15" i="9"/>
  <c r="AY15" i="9"/>
  <c r="AR16" i="9"/>
  <c r="AS16" i="9"/>
  <c r="AT16" i="9"/>
  <c r="AU16" i="9"/>
  <c r="AV16" i="9"/>
  <c r="AW16" i="9"/>
  <c r="AX16" i="9"/>
  <c r="AY16" i="9"/>
  <c r="AR17" i="9"/>
  <c r="AS17" i="9"/>
  <c r="AT17" i="9"/>
  <c r="AU17" i="9"/>
  <c r="AV17" i="9"/>
  <c r="AW17" i="9"/>
  <c r="AX17" i="9"/>
  <c r="AY17" i="9"/>
  <c r="AR18" i="9"/>
  <c r="AS18" i="9"/>
  <c r="AT18" i="9"/>
  <c r="AU18" i="9"/>
  <c r="AV18" i="9"/>
  <c r="AW18" i="9"/>
  <c r="AX18" i="9"/>
  <c r="AY18" i="9"/>
  <c r="AR19" i="9"/>
  <c r="AS19" i="9"/>
  <c r="AT19" i="9"/>
  <c r="AU19" i="9"/>
  <c r="AV19" i="9"/>
  <c r="AW19" i="9"/>
  <c r="AX19" i="9"/>
  <c r="AY19" i="9"/>
  <c r="AR20" i="9"/>
  <c r="AS20" i="9"/>
  <c r="AT20" i="9"/>
  <c r="AU20" i="9"/>
  <c r="AV20" i="9"/>
  <c r="AW20" i="9"/>
  <c r="AX20" i="9"/>
  <c r="AY20" i="9"/>
  <c r="AR21" i="9"/>
  <c r="AS21" i="9"/>
  <c r="AT21" i="9"/>
  <c r="AU21" i="9"/>
  <c r="AV21" i="9"/>
  <c r="AW21" i="9"/>
  <c r="AX21" i="9"/>
  <c r="AY21" i="9"/>
  <c r="AR22" i="9"/>
  <c r="AS22" i="9"/>
  <c r="AT22" i="9"/>
  <c r="AU22" i="9"/>
  <c r="AV22" i="9"/>
  <c r="AW22" i="9"/>
  <c r="AX22" i="9"/>
  <c r="AY22" i="9"/>
  <c r="AR23" i="9"/>
  <c r="AS23" i="9"/>
  <c r="AT23" i="9"/>
  <c r="AU23" i="9"/>
  <c r="AV23" i="9"/>
  <c r="AW23" i="9"/>
  <c r="AX23" i="9"/>
  <c r="AY23" i="9"/>
  <c r="AR24" i="9"/>
  <c r="AS24" i="9"/>
  <c r="AT24" i="9"/>
  <c r="AU24" i="9"/>
  <c r="AV24" i="9"/>
  <c r="AW24" i="9"/>
  <c r="AX24" i="9"/>
  <c r="AY24" i="9"/>
  <c r="AR25" i="9"/>
  <c r="AS25" i="9"/>
  <c r="AT25" i="9"/>
  <c r="AU25" i="9"/>
  <c r="AV25" i="9"/>
  <c r="AW25" i="9"/>
  <c r="AX25" i="9"/>
  <c r="AY25" i="9"/>
  <c r="AR26" i="9"/>
  <c r="AS26" i="9"/>
  <c r="AT26" i="9"/>
  <c r="AU26" i="9"/>
  <c r="AV26" i="9"/>
  <c r="AW26" i="9"/>
  <c r="AX26" i="9"/>
  <c r="AY26" i="9"/>
  <c r="AR27" i="9"/>
  <c r="AS27" i="9"/>
  <c r="AT27" i="9"/>
  <c r="AU27" i="9"/>
  <c r="AV27" i="9"/>
  <c r="AW27" i="9"/>
  <c r="AX27" i="9"/>
  <c r="AY27" i="9"/>
  <c r="AR28" i="9"/>
  <c r="AS28" i="9"/>
  <c r="AT28" i="9"/>
  <c r="AU28" i="9"/>
  <c r="AV28" i="9"/>
  <c r="AW28" i="9"/>
  <c r="AX28" i="9"/>
  <c r="AY28" i="9"/>
  <c r="AR29" i="9"/>
  <c r="AS29" i="9"/>
  <c r="AT29" i="9"/>
  <c r="AU29" i="9"/>
  <c r="AV29" i="9"/>
  <c r="AW29" i="9"/>
  <c r="AX29" i="9"/>
  <c r="AY29" i="9"/>
  <c r="AR30" i="9"/>
  <c r="AS30" i="9"/>
  <c r="AT30" i="9"/>
  <c r="AU30" i="9"/>
  <c r="AV30" i="9"/>
  <c r="AW30" i="9"/>
  <c r="AX30" i="9"/>
  <c r="AY30" i="9"/>
  <c r="AR31" i="9"/>
  <c r="AS31" i="9"/>
  <c r="AT31" i="9"/>
  <c r="AU31" i="9"/>
  <c r="AV31" i="9"/>
  <c r="AW31" i="9"/>
  <c r="AX31" i="9"/>
  <c r="AY31" i="9"/>
  <c r="AR32" i="9"/>
  <c r="AS32" i="9"/>
  <c r="AT32" i="9"/>
  <c r="AU32" i="9"/>
  <c r="AV32" i="9"/>
  <c r="AW32" i="9"/>
  <c r="AX32" i="9"/>
  <c r="AY32" i="9"/>
  <c r="AR33" i="9"/>
  <c r="AS33" i="9"/>
  <c r="AT33" i="9"/>
  <c r="AU33" i="9"/>
  <c r="AV33" i="9"/>
  <c r="AW33" i="9"/>
  <c r="AX33" i="9"/>
  <c r="AY33" i="9"/>
  <c r="AR34" i="9"/>
  <c r="AS34" i="9"/>
  <c r="AT34" i="9"/>
  <c r="AU34" i="9"/>
  <c r="AV34" i="9"/>
  <c r="AW34" i="9"/>
  <c r="AX34" i="9"/>
  <c r="AY34" i="9"/>
  <c r="AR35" i="9"/>
  <c r="AS35" i="9"/>
  <c r="AT35" i="9"/>
  <c r="AU35" i="9"/>
  <c r="AV35" i="9"/>
  <c r="AW35" i="9"/>
  <c r="AX35" i="9"/>
  <c r="AY35" i="9"/>
  <c r="AR36" i="9"/>
  <c r="AS36" i="9"/>
  <c r="AT36" i="9"/>
  <c r="AU36" i="9"/>
  <c r="AV36" i="9"/>
  <c r="AW36" i="9"/>
  <c r="AX36" i="9"/>
  <c r="AY36" i="9"/>
  <c r="AR37" i="9"/>
  <c r="AS37" i="9"/>
  <c r="AT37" i="9"/>
  <c r="AU37" i="9"/>
  <c r="AV37" i="9"/>
  <c r="AW37" i="9"/>
  <c r="AX37" i="9"/>
  <c r="AY37" i="9"/>
  <c r="AR38" i="9"/>
  <c r="AS38" i="9"/>
  <c r="AT38" i="9"/>
  <c r="AU38" i="9"/>
  <c r="AV38" i="9"/>
  <c r="AW38" i="9"/>
  <c r="AX38" i="9"/>
  <c r="AY38" i="9"/>
  <c r="AR39" i="9"/>
  <c r="AS39" i="9"/>
  <c r="AT39" i="9"/>
  <c r="AU39" i="9"/>
  <c r="AV39" i="9"/>
  <c r="AW39" i="9"/>
  <c r="AX39" i="9"/>
  <c r="AY39" i="9"/>
  <c r="AR40" i="9"/>
  <c r="AS40" i="9"/>
  <c r="AT40" i="9"/>
  <c r="AU40" i="9"/>
  <c r="AV40" i="9"/>
  <c r="AW40" i="9"/>
  <c r="AX40" i="9"/>
  <c r="AY40" i="9"/>
  <c r="AR41" i="9"/>
  <c r="AS41" i="9"/>
  <c r="AT41" i="9"/>
  <c r="AU41" i="9"/>
  <c r="AV41" i="9"/>
  <c r="AW41" i="9"/>
  <c r="AX41" i="9"/>
  <c r="AY41" i="9"/>
  <c r="AI2" i="9"/>
  <c r="AJ2" i="9"/>
  <c r="AK2" i="9"/>
  <c r="AL2" i="9"/>
  <c r="AM2" i="9"/>
  <c r="AN2" i="9"/>
  <c r="AO2" i="9"/>
  <c r="AP2" i="9"/>
  <c r="AI3" i="9"/>
  <c r="AJ3" i="9"/>
  <c r="AK3" i="9"/>
  <c r="AL3" i="9"/>
  <c r="AM3" i="9"/>
  <c r="AN3" i="9"/>
  <c r="AO3" i="9"/>
  <c r="AP3" i="9"/>
  <c r="AI4" i="9"/>
  <c r="AJ4" i="9"/>
  <c r="AK4" i="9"/>
  <c r="AL4" i="9"/>
  <c r="AM4" i="9"/>
  <c r="AN4" i="9"/>
  <c r="AO4" i="9"/>
  <c r="AP4" i="9"/>
  <c r="AI5" i="9"/>
  <c r="AJ5" i="9"/>
  <c r="AK5" i="9"/>
  <c r="AL5" i="9"/>
  <c r="AM5" i="9"/>
  <c r="AN5" i="9"/>
  <c r="AO5" i="9"/>
  <c r="AP5" i="9"/>
  <c r="AI6" i="9"/>
  <c r="AJ6" i="9"/>
  <c r="AK6" i="9"/>
  <c r="AL6" i="9"/>
  <c r="AM6" i="9"/>
  <c r="AN6" i="9"/>
  <c r="AO6" i="9"/>
  <c r="AP6" i="9"/>
  <c r="AI7" i="9"/>
  <c r="AJ7" i="9"/>
  <c r="AK7" i="9"/>
  <c r="AL7" i="9"/>
  <c r="AM7" i="9"/>
  <c r="AN7" i="9"/>
  <c r="AO7" i="9"/>
  <c r="AP7" i="9"/>
  <c r="AI8" i="9"/>
  <c r="AJ8" i="9"/>
  <c r="AK8" i="9"/>
  <c r="AL8" i="9"/>
  <c r="AM8" i="9"/>
  <c r="AN8" i="9"/>
  <c r="AO8" i="9"/>
  <c r="AP8" i="9"/>
  <c r="AI9" i="9"/>
  <c r="AJ9" i="9"/>
  <c r="AK9" i="9"/>
  <c r="AL9" i="9"/>
  <c r="AM9" i="9"/>
  <c r="AN9" i="9"/>
  <c r="AO9" i="9"/>
  <c r="AP9" i="9"/>
  <c r="AI10" i="9"/>
  <c r="AJ10" i="9"/>
  <c r="AK10" i="9"/>
  <c r="AL10" i="9"/>
  <c r="AM10" i="9"/>
  <c r="AN10" i="9"/>
  <c r="AO10" i="9"/>
  <c r="AP10" i="9"/>
  <c r="AI11" i="9"/>
  <c r="AJ11" i="9"/>
  <c r="AK11" i="9"/>
  <c r="AL11" i="9"/>
  <c r="AM11" i="9"/>
  <c r="AN11" i="9"/>
  <c r="AO11" i="9"/>
  <c r="AP11" i="9"/>
  <c r="AI12" i="9"/>
  <c r="AJ12" i="9"/>
  <c r="AK12" i="9"/>
  <c r="AL12" i="9"/>
  <c r="AM12" i="9"/>
  <c r="AN12" i="9"/>
  <c r="AO12" i="9"/>
  <c r="AP12" i="9"/>
  <c r="AI13" i="9"/>
  <c r="AJ13" i="9"/>
  <c r="AK13" i="9"/>
  <c r="AL13" i="9"/>
  <c r="AM13" i="9"/>
  <c r="AN13" i="9"/>
  <c r="AO13" i="9"/>
  <c r="AP13" i="9"/>
  <c r="AI14" i="9"/>
  <c r="AJ14" i="9"/>
  <c r="AK14" i="9"/>
  <c r="AL14" i="9"/>
  <c r="AM14" i="9"/>
  <c r="AN14" i="9"/>
  <c r="AO14" i="9"/>
  <c r="AP14" i="9"/>
  <c r="AI15" i="9"/>
  <c r="AJ15" i="9"/>
  <c r="AK15" i="9"/>
  <c r="AL15" i="9"/>
  <c r="AM15" i="9"/>
  <c r="AN15" i="9"/>
  <c r="AO15" i="9"/>
  <c r="AP15" i="9"/>
  <c r="AI16" i="9"/>
  <c r="AJ16" i="9"/>
  <c r="AK16" i="9"/>
  <c r="AL16" i="9"/>
  <c r="AM16" i="9"/>
  <c r="AN16" i="9"/>
  <c r="AO16" i="9"/>
  <c r="AP16" i="9"/>
  <c r="AI17" i="9"/>
  <c r="AJ17" i="9"/>
  <c r="AK17" i="9"/>
  <c r="AL17" i="9"/>
  <c r="AM17" i="9"/>
  <c r="AN17" i="9"/>
  <c r="AO17" i="9"/>
  <c r="AP17" i="9"/>
  <c r="AI18" i="9"/>
  <c r="AJ18" i="9"/>
  <c r="AK18" i="9"/>
  <c r="AL18" i="9"/>
  <c r="AM18" i="9"/>
  <c r="AN18" i="9"/>
  <c r="AO18" i="9"/>
  <c r="AP18" i="9"/>
  <c r="AI19" i="9"/>
  <c r="AJ19" i="9"/>
  <c r="AK19" i="9"/>
  <c r="AL19" i="9"/>
  <c r="AM19" i="9"/>
  <c r="AN19" i="9"/>
  <c r="AO19" i="9"/>
  <c r="AP19" i="9"/>
  <c r="AI20" i="9"/>
  <c r="AJ20" i="9"/>
  <c r="AK20" i="9"/>
  <c r="AL20" i="9"/>
  <c r="AM20" i="9"/>
  <c r="AN20" i="9"/>
  <c r="AO20" i="9"/>
  <c r="AP20" i="9"/>
  <c r="AI21" i="9"/>
  <c r="AJ21" i="9"/>
  <c r="AK21" i="9"/>
  <c r="AL21" i="9"/>
  <c r="AM21" i="9"/>
  <c r="AN21" i="9"/>
  <c r="AO21" i="9"/>
  <c r="AP21" i="9"/>
  <c r="AI22" i="9"/>
  <c r="AJ22" i="9"/>
  <c r="AK22" i="9"/>
  <c r="AL22" i="9"/>
  <c r="AM22" i="9"/>
  <c r="AN22" i="9"/>
  <c r="AO22" i="9"/>
  <c r="AP22" i="9"/>
  <c r="AI23" i="9"/>
  <c r="AJ23" i="9"/>
  <c r="AK23" i="9"/>
  <c r="AL23" i="9"/>
  <c r="AM23" i="9"/>
  <c r="AN23" i="9"/>
  <c r="AO23" i="9"/>
  <c r="AP23" i="9"/>
  <c r="AI24" i="9"/>
  <c r="AJ24" i="9"/>
  <c r="AK24" i="9"/>
  <c r="AL24" i="9"/>
  <c r="AM24" i="9"/>
  <c r="AN24" i="9"/>
  <c r="AO24" i="9"/>
  <c r="AP24" i="9"/>
  <c r="AI25" i="9"/>
  <c r="AJ25" i="9"/>
  <c r="AK25" i="9"/>
  <c r="AL25" i="9"/>
  <c r="AM25" i="9"/>
  <c r="AN25" i="9"/>
  <c r="AO25" i="9"/>
  <c r="AP25" i="9"/>
  <c r="AI26" i="9"/>
  <c r="AJ26" i="9"/>
  <c r="AK26" i="9"/>
  <c r="AL26" i="9"/>
  <c r="AM26" i="9"/>
  <c r="AN26" i="9"/>
  <c r="AO26" i="9"/>
  <c r="AP26" i="9"/>
  <c r="AI27" i="9"/>
  <c r="AJ27" i="9"/>
  <c r="AK27" i="9"/>
  <c r="AL27" i="9"/>
  <c r="AM27" i="9"/>
  <c r="AN27" i="9"/>
  <c r="AO27" i="9"/>
  <c r="AP27" i="9"/>
  <c r="AI28" i="9"/>
  <c r="AJ28" i="9"/>
  <c r="AK28" i="9"/>
  <c r="AL28" i="9"/>
  <c r="AM28" i="9"/>
  <c r="AN28" i="9"/>
  <c r="AO28" i="9"/>
  <c r="AP28" i="9"/>
  <c r="AI29" i="9"/>
  <c r="AJ29" i="9"/>
  <c r="AK29" i="9"/>
  <c r="AL29" i="9"/>
  <c r="AM29" i="9"/>
  <c r="AN29" i="9"/>
  <c r="AO29" i="9"/>
  <c r="AP29" i="9"/>
  <c r="AI30" i="9"/>
  <c r="AJ30" i="9"/>
  <c r="AK30" i="9"/>
  <c r="AL30" i="9"/>
  <c r="AM30" i="9"/>
  <c r="AN30" i="9"/>
  <c r="AO30" i="9"/>
  <c r="AP30" i="9"/>
  <c r="AI31" i="9"/>
  <c r="AJ31" i="9"/>
  <c r="AK31" i="9"/>
  <c r="AL31" i="9"/>
  <c r="AM31" i="9"/>
  <c r="AN31" i="9"/>
  <c r="AO31" i="9"/>
  <c r="AP31" i="9"/>
  <c r="AI32" i="9"/>
  <c r="AJ32" i="9"/>
  <c r="AK32" i="9"/>
  <c r="AL32" i="9"/>
  <c r="AM32" i="9"/>
  <c r="AN32" i="9"/>
  <c r="AO32" i="9"/>
  <c r="AP32" i="9"/>
  <c r="AI33" i="9"/>
  <c r="AJ33" i="9"/>
  <c r="AK33" i="9"/>
  <c r="AL33" i="9"/>
  <c r="AM33" i="9"/>
  <c r="AN33" i="9"/>
  <c r="AO33" i="9"/>
  <c r="AP33" i="9"/>
  <c r="AI34" i="9"/>
  <c r="AJ34" i="9"/>
  <c r="AK34" i="9"/>
  <c r="AL34" i="9"/>
  <c r="AM34" i="9"/>
  <c r="AN34" i="9"/>
  <c r="AO34" i="9"/>
  <c r="AP34" i="9"/>
  <c r="AI35" i="9"/>
  <c r="AJ35" i="9"/>
  <c r="AK35" i="9"/>
  <c r="AL35" i="9"/>
  <c r="AM35" i="9"/>
  <c r="AN35" i="9"/>
  <c r="AO35" i="9"/>
  <c r="AP35" i="9"/>
  <c r="AI36" i="9"/>
  <c r="AJ36" i="9"/>
  <c r="AK36" i="9"/>
  <c r="AL36" i="9"/>
  <c r="AM36" i="9"/>
  <c r="AN36" i="9"/>
  <c r="AO36" i="9"/>
  <c r="AP36" i="9"/>
  <c r="AI37" i="9"/>
  <c r="AJ37" i="9"/>
  <c r="AK37" i="9"/>
  <c r="AL37" i="9"/>
  <c r="AM37" i="9"/>
  <c r="AN37" i="9"/>
  <c r="AO37" i="9"/>
  <c r="AP37" i="9"/>
  <c r="AI38" i="9"/>
  <c r="AJ38" i="9"/>
  <c r="AK38" i="9"/>
  <c r="AL38" i="9"/>
  <c r="AM38" i="9"/>
  <c r="AN38" i="9"/>
  <c r="AO38" i="9"/>
  <c r="AP38" i="9"/>
  <c r="AI39" i="9"/>
  <c r="AJ39" i="9"/>
  <c r="AK39" i="9"/>
  <c r="AL39" i="9"/>
  <c r="AM39" i="9"/>
  <c r="AN39" i="9"/>
  <c r="AO39" i="9"/>
  <c r="AP39" i="9"/>
  <c r="AI40" i="9"/>
  <c r="AJ40" i="9"/>
  <c r="AK40" i="9"/>
  <c r="AL40" i="9"/>
  <c r="AM40" i="9"/>
  <c r="AN40" i="9"/>
  <c r="AO40" i="9"/>
  <c r="AP40" i="9"/>
  <c r="AI41" i="9"/>
  <c r="AJ41" i="9"/>
  <c r="AK41" i="9"/>
  <c r="AL41" i="9"/>
  <c r="AM41" i="9"/>
  <c r="AN41" i="9"/>
  <c r="AO41" i="9"/>
  <c r="AP41" i="9"/>
  <c r="Z2" i="9"/>
  <c r="AA2" i="9"/>
  <c r="AB2" i="9"/>
  <c r="AC2" i="9"/>
  <c r="AD2" i="9"/>
  <c r="AE2" i="9"/>
  <c r="AF2" i="9"/>
  <c r="AG2" i="9"/>
  <c r="Z3" i="9"/>
  <c r="AA3" i="9"/>
  <c r="AB3" i="9"/>
  <c r="AC3" i="9"/>
  <c r="AD3" i="9"/>
  <c r="AE3" i="9"/>
  <c r="AF3" i="9"/>
  <c r="AG3" i="9"/>
  <c r="Z4" i="9"/>
  <c r="AA4" i="9"/>
  <c r="AB4" i="9"/>
  <c r="AC4" i="9"/>
  <c r="AD4" i="9"/>
  <c r="AE4" i="9"/>
  <c r="AF4" i="9"/>
  <c r="AG4" i="9"/>
  <c r="Z5" i="9"/>
  <c r="AA5" i="9"/>
  <c r="AB5" i="9"/>
  <c r="AC5" i="9"/>
  <c r="AD5" i="9"/>
  <c r="AE5" i="9"/>
  <c r="AF5" i="9"/>
  <c r="AG5" i="9"/>
  <c r="Z6" i="9"/>
  <c r="AA6" i="9"/>
  <c r="AB6" i="9"/>
  <c r="AC6" i="9"/>
  <c r="AD6" i="9"/>
  <c r="AE6" i="9"/>
  <c r="AF6" i="9"/>
  <c r="AG6" i="9"/>
  <c r="Z7" i="9"/>
  <c r="AA7" i="9"/>
  <c r="AB7" i="9"/>
  <c r="AC7" i="9"/>
  <c r="AD7" i="9"/>
  <c r="AE7" i="9"/>
  <c r="AF7" i="9"/>
  <c r="AG7" i="9"/>
  <c r="Z8" i="9"/>
  <c r="AA8" i="9"/>
  <c r="AB8" i="9"/>
  <c r="AC8" i="9"/>
  <c r="AD8" i="9"/>
  <c r="AE8" i="9"/>
  <c r="AF8" i="9"/>
  <c r="AG8" i="9"/>
  <c r="Z9" i="9"/>
  <c r="AA9" i="9"/>
  <c r="AB9" i="9"/>
  <c r="AC9" i="9"/>
  <c r="AD9" i="9"/>
  <c r="AE9" i="9"/>
  <c r="AF9" i="9"/>
  <c r="AG9" i="9"/>
  <c r="Z10" i="9"/>
  <c r="AA10" i="9"/>
  <c r="AB10" i="9"/>
  <c r="AC10" i="9"/>
  <c r="AD10" i="9"/>
  <c r="AE10" i="9"/>
  <c r="AF10" i="9"/>
  <c r="AG10" i="9"/>
  <c r="Z11" i="9"/>
  <c r="AA11" i="9"/>
  <c r="AB11" i="9"/>
  <c r="AC11" i="9"/>
  <c r="AD11" i="9"/>
  <c r="AE11" i="9"/>
  <c r="AF11" i="9"/>
  <c r="AG11" i="9"/>
  <c r="Z12" i="9"/>
  <c r="AA12" i="9"/>
  <c r="AB12" i="9"/>
  <c r="AC12" i="9"/>
  <c r="AD12" i="9"/>
  <c r="AE12" i="9"/>
  <c r="AF12" i="9"/>
  <c r="AG12" i="9"/>
  <c r="Z13" i="9"/>
  <c r="AA13" i="9"/>
  <c r="AB13" i="9"/>
  <c r="AC13" i="9"/>
  <c r="AD13" i="9"/>
  <c r="AE13" i="9"/>
  <c r="AF13" i="9"/>
  <c r="AG13" i="9"/>
  <c r="Z14" i="9"/>
  <c r="AA14" i="9"/>
  <c r="AB14" i="9"/>
  <c r="AC14" i="9"/>
  <c r="AD14" i="9"/>
  <c r="AE14" i="9"/>
  <c r="AF14" i="9"/>
  <c r="AG14" i="9"/>
  <c r="Z15" i="9"/>
  <c r="AA15" i="9"/>
  <c r="AB15" i="9"/>
  <c r="AC15" i="9"/>
  <c r="AD15" i="9"/>
  <c r="AE15" i="9"/>
  <c r="AF15" i="9"/>
  <c r="AG15" i="9"/>
  <c r="Z16" i="9"/>
  <c r="AA16" i="9"/>
  <c r="AB16" i="9"/>
  <c r="AC16" i="9"/>
  <c r="AD16" i="9"/>
  <c r="AE16" i="9"/>
  <c r="AF16" i="9"/>
  <c r="AG16" i="9"/>
  <c r="Z17" i="9"/>
  <c r="AA17" i="9"/>
  <c r="AB17" i="9"/>
  <c r="AC17" i="9"/>
  <c r="AD17" i="9"/>
  <c r="AE17" i="9"/>
  <c r="AF17" i="9"/>
  <c r="AG17" i="9"/>
  <c r="Z18" i="9"/>
  <c r="AA18" i="9"/>
  <c r="AB18" i="9"/>
  <c r="AC18" i="9"/>
  <c r="AD18" i="9"/>
  <c r="AE18" i="9"/>
  <c r="AF18" i="9"/>
  <c r="AG18" i="9"/>
  <c r="Z19" i="9"/>
  <c r="AA19" i="9"/>
  <c r="AB19" i="9"/>
  <c r="AC19" i="9"/>
  <c r="AD19" i="9"/>
  <c r="AE19" i="9"/>
  <c r="AF19" i="9"/>
  <c r="AG19" i="9"/>
  <c r="Z20" i="9"/>
  <c r="AA20" i="9"/>
  <c r="AB20" i="9"/>
  <c r="AC20" i="9"/>
  <c r="AD20" i="9"/>
  <c r="AE20" i="9"/>
  <c r="AF20" i="9"/>
  <c r="AG20" i="9"/>
  <c r="Z21" i="9"/>
  <c r="AA21" i="9"/>
  <c r="AB21" i="9"/>
  <c r="AC21" i="9"/>
  <c r="AD21" i="9"/>
  <c r="AE21" i="9"/>
  <c r="AF21" i="9"/>
  <c r="AG21" i="9"/>
  <c r="Z22" i="9"/>
  <c r="AA22" i="9"/>
  <c r="AB22" i="9"/>
  <c r="AC22" i="9"/>
  <c r="AD22" i="9"/>
  <c r="AE22" i="9"/>
  <c r="AF22" i="9"/>
  <c r="AG22" i="9"/>
  <c r="Z23" i="9"/>
  <c r="AA23" i="9"/>
  <c r="AB23" i="9"/>
  <c r="AC23" i="9"/>
  <c r="AD23" i="9"/>
  <c r="AE23" i="9"/>
  <c r="AF23" i="9"/>
  <c r="AG23" i="9"/>
  <c r="Z24" i="9"/>
  <c r="AA24" i="9"/>
  <c r="AB24" i="9"/>
  <c r="AC24" i="9"/>
  <c r="AD24" i="9"/>
  <c r="AE24" i="9"/>
  <c r="AF24" i="9"/>
  <c r="AG24" i="9"/>
  <c r="Z25" i="9"/>
  <c r="AA25" i="9"/>
  <c r="AB25" i="9"/>
  <c r="AC25" i="9"/>
  <c r="AD25" i="9"/>
  <c r="AE25" i="9"/>
  <c r="AF25" i="9"/>
  <c r="AG25" i="9"/>
  <c r="Z26" i="9"/>
  <c r="AA26" i="9"/>
  <c r="AB26" i="9"/>
  <c r="AC26" i="9"/>
  <c r="AD26" i="9"/>
  <c r="AE26" i="9"/>
  <c r="AF26" i="9"/>
  <c r="AG26" i="9"/>
  <c r="Z27" i="9"/>
  <c r="AA27" i="9"/>
  <c r="AB27" i="9"/>
  <c r="AC27" i="9"/>
  <c r="AD27" i="9"/>
  <c r="AE27" i="9"/>
  <c r="AF27" i="9"/>
  <c r="AG27" i="9"/>
  <c r="Z28" i="9"/>
  <c r="AA28" i="9"/>
  <c r="AB28" i="9"/>
  <c r="AC28" i="9"/>
  <c r="AD28" i="9"/>
  <c r="AE28" i="9"/>
  <c r="AF28" i="9"/>
  <c r="AG28" i="9"/>
  <c r="Z29" i="9"/>
  <c r="AA29" i="9"/>
  <c r="AB29" i="9"/>
  <c r="AC29" i="9"/>
  <c r="AD29" i="9"/>
  <c r="AE29" i="9"/>
  <c r="AF29" i="9"/>
  <c r="AG29" i="9"/>
  <c r="Z30" i="9"/>
  <c r="AA30" i="9"/>
  <c r="AB30" i="9"/>
  <c r="AC30" i="9"/>
  <c r="AD30" i="9"/>
  <c r="AE30" i="9"/>
  <c r="AF30" i="9"/>
  <c r="AG30" i="9"/>
  <c r="Z31" i="9"/>
  <c r="AA31" i="9"/>
  <c r="AB31" i="9"/>
  <c r="AC31" i="9"/>
  <c r="AD31" i="9"/>
  <c r="AE31" i="9"/>
  <c r="AF31" i="9"/>
  <c r="AG31" i="9"/>
  <c r="Z32" i="9"/>
  <c r="AA32" i="9"/>
  <c r="AB32" i="9"/>
  <c r="AC32" i="9"/>
  <c r="AD32" i="9"/>
  <c r="AE32" i="9"/>
  <c r="AF32" i="9"/>
  <c r="AG32" i="9"/>
  <c r="Z33" i="9"/>
  <c r="AA33" i="9"/>
  <c r="AB33" i="9"/>
  <c r="AC33" i="9"/>
  <c r="AD33" i="9"/>
  <c r="AE33" i="9"/>
  <c r="AF33" i="9"/>
  <c r="AG33" i="9"/>
  <c r="Z34" i="9"/>
  <c r="AA34" i="9"/>
  <c r="AB34" i="9"/>
  <c r="AC34" i="9"/>
  <c r="AD34" i="9"/>
  <c r="AE34" i="9"/>
  <c r="AF34" i="9"/>
  <c r="AG34" i="9"/>
  <c r="Z35" i="9"/>
  <c r="AA35" i="9"/>
  <c r="AB35" i="9"/>
  <c r="AC35" i="9"/>
  <c r="AD35" i="9"/>
  <c r="AE35" i="9"/>
  <c r="AF35" i="9"/>
  <c r="AG35" i="9"/>
  <c r="Z36" i="9"/>
  <c r="AA36" i="9"/>
  <c r="AB36" i="9"/>
  <c r="AC36" i="9"/>
  <c r="AD36" i="9"/>
  <c r="AE36" i="9"/>
  <c r="AF36" i="9"/>
  <c r="AG36" i="9"/>
  <c r="Z37" i="9"/>
  <c r="AA37" i="9"/>
  <c r="AB37" i="9"/>
  <c r="AC37" i="9"/>
  <c r="AD37" i="9"/>
  <c r="AE37" i="9"/>
  <c r="AF37" i="9"/>
  <c r="AG37" i="9"/>
  <c r="Z38" i="9"/>
  <c r="AA38" i="9"/>
  <c r="AB38" i="9"/>
  <c r="AC38" i="9"/>
  <c r="AD38" i="9"/>
  <c r="AE38" i="9"/>
  <c r="AF38" i="9"/>
  <c r="AG38" i="9"/>
  <c r="Z39" i="9"/>
  <c r="AA39" i="9"/>
  <c r="AB39" i="9"/>
  <c r="AC39" i="9"/>
  <c r="AD39" i="9"/>
  <c r="AE39" i="9"/>
  <c r="AF39" i="9"/>
  <c r="AG39" i="9"/>
  <c r="Z40" i="9"/>
  <c r="AA40" i="9"/>
  <c r="AB40" i="9"/>
  <c r="AC40" i="9"/>
  <c r="AD40" i="9"/>
  <c r="AE40" i="9"/>
  <c r="AF40" i="9"/>
  <c r="AG40" i="9"/>
  <c r="Z41" i="9"/>
  <c r="AA41" i="9"/>
  <c r="AB41" i="9"/>
  <c r="AC41" i="9"/>
  <c r="AD41" i="9"/>
  <c r="AE41" i="9"/>
  <c r="AF41" i="9"/>
  <c r="AG41" i="9"/>
  <c r="Q2" i="9"/>
  <c r="T2" i="9"/>
  <c r="U2" i="9"/>
  <c r="V2" i="9"/>
  <c r="W2" i="9"/>
  <c r="X2" i="9"/>
  <c r="Q3" i="9"/>
  <c r="R3" i="9"/>
  <c r="S3" i="9"/>
  <c r="T3" i="9"/>
  <c r="U3" i="9"/>
  <c r="V3" i="9"/>
  <c r="W3" i="9"/>
  <c r="X3" i="9"/>
  <c r="R4" i="9"/>
  <c r="S4" i="9"/>
  <c r="T4" i="9"/>
  <c r="U4" i="9"/>
  <c r="V4" i="9"/>
  <c r="W4" i="9"/>
  <c r="X4" i="9"/>
  <c r="R5" i="9"/>
  <c r="S5" i="9"/>
  <c r="T5" i="9"/>
  <c r="U5" i="9"/>
  <c r="V5" i="9"/>
  <c r="W5" i="9"/>
  <c r="X5" i="9"/>
  <c r="R6" i="9"/>
  <c r="S6" i="9"/>
  <c r="T6" i="9"/>
  <c r="U6" i="9"/>
  <c r="V6" i="9"/>
  <c r="W6" i="9"/>
  <c r="X6" i="9"/>
  <c r="R7" i="9"/>
  <c r="S7" i="9"/>
  <c r="T7" i="9"/>
  <c r="U7" i="9"/>
  <c r="V7" i="9"/>
  <c r="W7" i="9"/>
  <c r="X7" i="9"/>
  <c r="R8" i="9"/>
  <c r="S8" i="9"/>
  <c r="T8" i="9"/>
  <c r="U8" i="9"/>
  <c r="V8" i="9"/>
  <c r="W8" i="9"/>
  <c r="X8" i="9"/>
  <c r="R9" i="9"/>
  <c r="S9" i="9"/>
  <c r="T9" i="9"/>
  <c r="U9" i="9"/>
  <c r="V9" i="9"/>
  <c r="W9" i="9"/>
  <c r="X9" i="9"/>
  <c r="R10" i="9"/>
  <c r="S10" i="9"/>
  <c r="T10" i="9"/>
  <c r="U10" i="9"/>
  <c r="V10" i="9"/>
  <c r="W10" i="9"/>
  <c r="X10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R13" i="9"/>
  <c r="S13" i="9"/>
  <c r="T13" i="9"/>
  <c r="U13" i="9"/>
  <c r="V13" i="9"/>
  <c r="W13" i="9"/>
  <c r="X13" i="9"/>
  <c r="R14" i="9"/>
  <c r="S14" i="9"/>
  <c r="T14" i="9"/>
  <c r="U14" i="9"/>
  <c r="V14" i="9"/>
  <c r="W14" i="9"/>
  <c r="X14" i="9"/>
  <c r="R15" i="9"/>
  <c r="S15" i="9"/>
  <c r="T15" i="9"/>
  <c r="U15" i="9"/>
  <c r="V15" i="9"/>
  <c r="W15" i="9"/>
  <c r="X15" i="9"/>
  <c r="R16" i="9"/>
  <c r="S16" i="9"/>
  <c r="T16" i="9"/>
  <c r="U16" i="9"/>
  <c r="V16" i="9"/>
  <c r="W16" i="9"/>
  <c r="X16" i="9"/>
  <c r="R17" i="9"/>
  <c r="S17" i="9"/>
  <c r="T17" i="9"/>
  <c r="U17" i="9"/>
  <c r="V17" i="9"/>
  <c r="W17" i="9"/>
  <c r="X17" i="9"/>
  <c r="R18" i="9"/>
  <c r="S18" i="9"/>
  <c r="T18" i="9"/>
  <c r="U18" i="9"/>
  <c r="V18" i="9"/>
  <c r="W18" i="9"/>
  <c r="X18" i="9"/>
  <c r="R19" i="9"/>
  <c r="S19" i="9"/>
  <c r="T19" i="9"/>
  <c r="U19" i="9"/>
  <c r="V19" i="9"/>
  <c r="W19" i="9"/>
  <c r="X19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R22" i="9"/>
  <c r="S22" i="9"/>
  <c r="T22" i="9"/>
  <c r="U22" i="9"/>
  <c r="V22" i="9"/>
  <c r="W22" i="9"/>
  <c r="X22" i="9"/>
  <c r="R23" i="9"/>
  <c r="S23" i="9"/>
  <c r="T23" i="9"/>
  <c r="U23" i="9"/>
  <c r="V23" i="9"/>
  <c r="W23" i="9"/>
  <c r="X23" i="9"/>
  <c r="R24" i="9"/>
  <c r="S24" i="9"/>
  <c r="T24" i="9"/>
  <c r="U24" i="9"/>
  <c r="V24" i="9"/>
  <c r="W24" i="9"/>
  <c r="X24" i="9"/>
  <c r="R25" i="9"/>
  <c r="S25" i="9"/>
  <c r="T25" i="9"/>
  <c r="U25" i="9"/>
  <c r="V25" i="9"/>
  <c r="W25" i="9"/>
  <c r="X25" i="9"/>
  <c r="R26" i="9"/>
  <c r="S26" i="9"/>
  <c r="T26" i="9"/>
  <c r="U26" i="9"/>
  <c r="V26" i="9"/>
  <c r="W26" i="9"/>
  <c r="X26" i="9"/>
  <c r="R27" i="9"/>
  <c r="S27" i="9"/>
  <c r="T27" i="9"/>
  <c r="U27" i="9"/>
  <c r="V27" i="9"/>
  <c r="W27" i="9"/>
  <c r="X27" i="9"/>
  <c r="R28" i="9"/>
  <c r="S28" i="9"/>
  <c r="T28" i="9"/>
  <c r="U28" i="9"/>
  <c r="V28" i="9"/>
  <c r="W28" i="9"/>
  <c r="X28" i="9"/>
  <c r="R29" i="9"/>
  <c r="S29" i="9"/>
  <c r="T29" i="9"/>
  <c r="U29" i="9"/>
  <c r="V29" i="9"/>
  <c r="W29" i="9"/>
  <c r="X29" i="9"/>
  <c r="R30" i="9"/>
  <c r="S30" i="9"/>
  <c r="T30" i="9"/>
  <c r="U30" i="9"/>
  <c r="V30" i="9"/>
  <c r="W30" i="9"/>
  <c r="X30" i="9"/>
  <c r="R31" i="9"/>
  <c r="S31" i="9"/>
  <c r="T31" i="9"/>
  <c r="U31" i="9"/>
  <c r="V31" i="9"/>
  <c r="W31" i="9"/>
  <c r="X31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R34" i="9"/>
  <c r="S34" i="9"/>
  <c r="T34" i="9"/>
  <c r="U34" i="9"/>
  <c r="V34" i="9"/>
  <c r="W34" i="9"/>
  <c r="X34" i="9"/>
  <c r="R35" i="9"/>
  <c r="S35" i="9"/>
  <c r="T35" i="9"/>
  <c r="U35" i="9"/>
  <c r="V35" i="9"/>
  <c r="W35" i="9"/>
  <c r="X35" i="9"/>
  <c r="R36" i="9"/>
  <c r="S36" i="9"/>
  <c r="T36" i="9"/>
  <c r="U36" i="9"/>
  <c r="V36" i="9"/>
  <c r="W36" i="9"/>
  <c r="X36" i="9"/>
  <c r="R37" i="9"/>
  <c r="S37" i="9"/>
  <c r="T37" i="9"/>
  <c r="U37" i="9"/>
  <c r="V37" i="9"/>
  <c r="W37" i="9"/>
  <c r="X37" i="9"/>
  <c r="R38" i="9"/>
  <c r="S38" i="9"/>
  <c r="T38" i="9"/>
  <c r="U38" i="9"/>
  <c r="V38" i="9"/>
  <c r="W38" i="9"/>
  <c r="X38" i="9"/>
  <c r="R39" i="9"/>
  <c r="S39" i="9"/>
  <c r="T39" i="9"/>
  <c r="U39" i="9"/>
  <c r="V39" i="9"/>
  <c r="W39" i="9"/>
  <c r="X39" i="9"/>
  <c r="R40" i="9"/>
  <c r="S40" i="9"/>
  <c r="T40" i="9"/>
  <c r="U40" i="9"/>
  <c r="V40" i="9"/>
  <c r="W40" i="9"/>
  <c r="X40" i="9"/>
  <c r="R41" i="9"/>
  <c r="S41" i="9"/>
  <c r="T41" i="9"/>
  <c r="U41" i="9"/>
  <c r="V41" i="9"/>
  <c r="W41" i="9"/>
  <c r="X41" i="9"/>
  <c r="J58" i="9" l="1"/>
  <c r="J61" i="9"/>
  <c r="H60" i="9"/>
  <c r="H57" i="9"/>
  <c r="G57" i="9"/>
  <c r="G60" i="9"/>
  <c r="F57" i="9"/>
  <c r="F60" i="9"/>
  <c r="H61" i="9"/>
  <c r="H58" i="9"/>
  <c r="G61" i="9"/>
  <c r="G58" i="9"/>
  <c r="F61" i="9"/>
  <c r="F58" i="9"/>
  <c r="F56" i="9" s="1"/>
  <c r="J60" i="9"/>
  <c r="J59" i="9" s="1"/>
  <c r="J57" i="9"/>
  <c r="J56" i="9" s="1"/>
  <c r="I60" i="9"/>
  <c r="I59" i="9" s="1"/>
  <c r="I57" i="9"/>
  <c r="I56" i="9" s="1"/>
  <c r="F59" i="9" l="1"/>
  <c r="H56" i="9"/>
  <c r="H59" i="9"/>
  <c r="AC82" i="8"/>
  <c r="BF54" i="9" s="1"/>
  <c r="H54" i="9" s="1"/>
  <c r="H55" i="9" s="1"/>
  <c r="AE155" i="8"/>
  <c r="BH91" i="9" s="1"/>
  <c r="AD155" i="8"/>
  <c r="BG91" i="9" s="1"/>
  <c r="AC155" i="8"/>
  <c r="AB155" i="8"/>
  <c r="AA155" i="8"/>
  <c r="AE153" i="8"/>
  <c r="BH89" i="9" s="1"/>
  <c r="AD153" i="8"/>
  <c r="BG89" i="9" s="1"/>
  <c r="AC153" i="8"/>
  <c r="AB153" i="8"/>
  <c r="AA153" i="8"/>
  <c r="AE150" i="8"/>
  <c r="BH86" i="9" s="1"/>
  <c r="AD150" i="8"/>
  <c r="BG86" i="9" s="1"/>
  <c r="AC150" i="8"/>
  <c r="BF86" i="9" s="1"/>
  <c r="AB150" i="8"/>
  <c r="BE86" i="9" s="1"/>
  <c r="AA150" i="8"/>
  <c r="BD86" i="9" s="1"/>
  <c r="AE149" i="8"/>
  <c r="BH85" i="9" s="1"/>
  <c r="AD149" i="8"/>
  <c r="BG85" i="9" s="1"/>
  <c r="AC149" i="8"/>
  <c r="BF85" i="9" s="1"/>
  <c r="AB149" i="8"/>
  <c r="BE85" i="9" s="1"/>
  <c r="AA149" i="8"/>
  <c r="BD85" i="9" s="1"/>
  <c r="AE148" i="8"/>
  <c r="BH84" i="9" s="1"/>
  <c r="AD148" i="8"/>
  <c r="BG84" i="9" s="1"/>
  <c r="AC148" i="8"/>
  <c r="BF84" i="9" s="1"/>
  <c r="AB148" i="8"/>
  <c r="BE84" i="9" s="1"/>
  <c r="AA148" i="8"/>
  <c r="BD84" i="9" s="1"/>
  <c r="AC141" i="8"/>
  <c r="BF77" i="9" s="1"/>
  <c r="AE140" i="8"/>
  <c r="BH76" i="9" s="1"/>
  <c r="AD140" i="8"/>
  <c r="AC140" i="8"/>
  <c r="BF76" i="9" s="1"/>
  <c r="AB140" i="8"/>
  <c r="BE76" i="9" s="1"/>
  <c r="AA140" i="8"/>
  <c r="BD76" i="9" s="1"/>
  <c r="AC98" i="8"/>
  <c r="BF70" i="9" s="1"/>
  <c r="AE97" i="8"/>
  <c r="BH69" i="9" s="1"/>
  <c r="AD97" i="8"/>
  <c r="BG69" i="9" s="1"/>
  <c r="I69" i="9" s="1"/>
  <c r="I70" i="9" s="1"/>
  <c r="AC97" i="8"/>
  <c r="BF69" i="9" s="1"/>
  <c r="AB97" i="8"/>
  <c r="AA97" i="8"/>
  <c r="BD69" i="9" s="1"/>
  <c r="AE95" i="8"/>
  <c r="BH67" i="9" s="1"/>
  <c r="AD95" i="8"/>
  <c r="AC95" i="8"/>
  <c r="AB95" i="8"/>
  <c r="AA95" i="8"/>
  <c r="AE92" i="8"/>
  <c r="BH64" i="9" s="1"/>
  <c r="J64" i="9" s="1"/>
  <c r="AD92" i="8"/>
  <c r="BG64" i="9" s="1"/>
  <c r="I64" i="9" s="1"/>
  <c r="AC92" i="8"/>
  <c r="BF64" i="9" s="1"/>
  <c r="H64" i="9" s="1"/>
  <c r="AB92" i="8"/>
  <c r="BE64" i="9" s="1"/>
  <c r="AA92" i="8"/>
  <c r="BD64" i="9" s="1"/>
  <c r="AE91" i="8"/>
  <c r="BH63" i="9" s="1"/>
  <c r="AD91" i="8"/>
  <c r="BG63" i="9" s="1"/>
  <c r="I63" i="9" s="1"/>
  <c r="I62" i="9" s="1"/>
  <c r="AC91" i="8"/>
  <c r="BF63" i="9" s="1"/>
  <c r="AB91" i="8"/>
  <c r="BE63" i="9" s="1"/>
  <c r="G63" i="9" s="1"/>
  <c r="AA91" i="8"/>
  <c r="BD63" i="9" s="1"/>
  <c r="F63" i="9" s="1"/>
  <c r="AE90" i="8"/>
  <c r="BH62" i="9" s="1"/>
  <c r="AD90" i="8"/>
  <c r="BG62" i="9" s="1"/>
  <c r="AC90" i="8"/>
  <c r="BF62" i="9" s="1"/>
  <c r="AB90" i="8"/>
  <c r="BE62" i="9" s="1"/>
  <c r="AA90" i="8"/>
  <c r="BD62" i="9" s="1"/>
  <c r="AD83" i="8"/>
  <c r="BG55" i="9" s="1"/>
  <c r="AC83" i="8"/>
  <c r="BF55" i="9" s="1"/>
  <c r="AB83" i="8"/>
  <c r="BE55" i="9" s="1"/>
  <c r="AE82" i="8"/>
  <c r="BH54" i="9" s="1"/>
  <c r="J54" i="9" s="1"/>
  <c r="J55" i="9" s="1"/>
  <c r="AD82" i="8"/>
  <c r="BG54" i="9" s="1"/>
  <c r="AB82" i="8"/>
  <c r="BE54" i="9" s="1"/>
  <c r="AA82" i="8"/>
  <c r="BD54" i="9" s="1"/>
  <c r="F54" i="9" s="1"/>
  <c r="F55" i="9" s="1"/>
  <c r="AE40" i="8"/>
  <c r="BH41" i="9" s="1"/>
  <c r="J41" i="9" s="1"/>
  <c r="AD40" i="8"/>
  <c r="BG41" i="9" s="1"/>
  <c r="I41" i="9" s="1"/>
  <c r="I39" i="9" s="1"/>
  <c r="AC40" i="8"/>
  <c r="BF41" i="9" s="1"/>
  <c r="H41" i="9" s="1"/>
  <c r="AB40" i="8"/>
  <c r="BE41" i="9" s="1"/>
  <c r="G41" i="9" s="1"/>
  <c r="AA40" i="8"/>
  <c r="BD41" i="9" s="1"/>
  <c r="F41" i="9" s="1"/>
  <c r="AE39" i="8"/>
  <c r="BH40" i="9" s="1"/>
  <c r="J40" i="9" s="1"/>
  <c r="AD39" i="8"/>
  <c r="BG40" i="9" s="1"/>
  <c r="I40" i="9" s="1"/>
  <c r="AC39" i="8"/>
  <c r="BF40" i="9" s="1"/>
  <c r="H40" i="9" s="1"/>
  <c r="H39" i="9" s="1"/>
  <c r="AB39" i="8"/>
  <c r="BE40" i="9" s="1"/>
  <c r="G40" i="9" s="1"/>
  <c r="AA39" i="8"/>
  <c r="BD40" i="9" s="1"/>
  <c r="F40" i="9" s="1"/>
  <c r="AE38" i="8"/>
  <c r="BH39" i="9" s="1"/>
  <c r="AD38" i="8"/>
  <c r="BG39" i="9" s="1"/>
  <c r="AC38" i="8"/>
  <c r="BF39" i="9" s="1"/>
  <c r="AB38" i="8"/>
  <c r="BE39" i="9" s="1"/>
  <c r="AA38" i="8"/>
  <c r="BD39" i="9" s="1"/>
  <c r="AE37" i="8"/>
  <c r="BH38" i="9" s="1"/>
  <c r="J38" i="9" s="1"/>
  <c r="AD37" i="8"/>
  <c r="BG38" i="9" s="1"/>
  <c r="I38" i="9" s="1"/>
  <c r="AC37" i="8"/>
  <c r="BF38" i="9" s="1"/>
  <c r="H38" i="9" s="1"/>
  <c r="AB37" i="8"/>
  <c r="BE38" i="9" s="1"/>
  <c r="G38" i="9" s="1"/>
  <c r="AA37" i="8"/>
  <c r="BD38" i="9" s="1"/>
  <c r="F38" i="9" s="1"/>
  <c r="AE36" i="8"/>
  <c r="BH37" i="9" s="1"/>
  <c r="J37" i="9" s="1"/>
  <c r="AD36" i="8"/>
  <c r="BG37" i="9" s="1"/>
  <c r="I37" i="9" s="1"/>
  <c r="AC36" i="8"/>
  <c r="BF37" i="9" s="1"/>
  <c r="H37" i="9" s="1"/>
  <c r="AB36" i="8"/>
  <c r="BE37" i="9" s="1"/>
  <c r="G37" i="9" s="1"/>
  <c r="G36" i="9" s="1"/>
  <c r="AA36" i="8"/>
  <c r="BD37" i="9" s="1"/>
  <c r="F37" i="9" s="1"/>
  <c r="AE35" i="8"/>
  <c r="BH36" i="9" s="1"/>
  <c r="AD35" i="8"/>
  <c r="BG36" i="9" s="1"/>
  <c r="AC35" i="8"/>
  <c r="BF36" i="9" s="1"/>
  <c r="AB35" i="8"/>
  <c r="BE36" i="9" s="1"/>
  <c r="AA35" i="8"/>
  <c r="BD36" i="9" s="1"/>
  <c r="AE34" i="8"/>
  <c r="BH35" i="9" s="1"/>
  <c r="J35" i="9" s="1"/>
  <c r="AD34" i="8"/>
  <c r="BG35" i="9" s="1"/>
  <c r="I35" i="9" s="1"/>
  <c r="AC34" i="8"/>
  <c r="BF35" i="9" s="1"/>
  <c r="H35" i="9" s="1"/>
  <c r="AB34" i="8"/>
  <c r="BE35" i="9" s="1"/>
  <c r="G35" i="9" s="1"/>
  <c r="AA34" i="8"/>
  <c r="BD35" i="9" s="1"/>
  <c r="F35" i="9" s="1"/>
  <c r="AE33" i="8"/>
  <c r="BH34" i="9" s="1"/>
  <c r="J34" i="9" s="1"/>
  <c r="J33" i="9" s="1"/>
  <c r="AD33" i="8"/>
  <c r="BG34" i="9" s="1"/>
  <c r="I34" i="9" s="1"/>
  <c r="AC33" i="8"/>
  <c r="BF34" i="9" s="1"/>
  <c r="H34" i="9" s="1"/>
  <c r="AB33" i="8"/>
  <c r="BE34" i="9" s="1"/>
  <c r="G34" i="9" s="1"/>
  <c r="AA33" i="8"/>
  <c r="BD34" i="9" s="1"/>
  <c r="F34" i="9" s="1"/>
  <c r="F33" i="9" s="1"/>
  <c r="AE32" i="8"/>
  <c r="BH33" i="9" s="1"/>
  <c r="AD32" i="8"/>
  <c r="BG33" i="9" s="1"/>
  <c r="AC32" i="8"/>
  <c r="BF33" i="9" s="1"/>
  <c r="AB32" i="8"/>
  <c r="BE33" i="9" s="1"/>
  <c r="AA32" i="8"/>
  <c r="BD33" i="9" s="1"/>
  <c r="AB31" i="8"/>
  <c r="BE32" i="9" s="1"/>
  <c r="AA31" i="8"/>
  <c r="BD32" i="9" s="1"/>
  <c r="AE30" i="8"/>
  <c r="BH31" i="9" s="1"/>
  <c r="J31" i="9" s="1"/>
  <c r="J32" i="9" s="1"/>
  <c r="AD30" i="8"/>
  <c r="BG31" i="9" s="1"/>
  <c r="I31" i="9" s="1"/>
  <c r="I32" i="9" s="1"/>
  <c r="AC30" i="8"/>
  <c r="BF31" i="9" s="1"/>
  <c r="H31" i="9" s="1"/>
  <c r="H32" i="9" s="1"/>
  <c r="AB30" i="8"/>
  <c r="BE31" i="9" s="1"/>
  <c r="G31" i="9" s="1"/>
  <c r="G32" i="9" s="1"/>
  <c r="AA30" i="8"/>
  <c r="BD31" i="9" s="1"/>
  <c r="F31" i="9" s="1"/>
  <c r="F32" i="9" s="1"/>
  <c r="AE28" i="8"/>
  <c r="BH29" i="9" s="1"/>
  <c r="J29" i="9" s="1"/>
  <c r="J30" i="9" s="1"/>
  <c r="AD28" i="8"/>
  <c r="AC28" i="8"/>
  <c r="AB28" i="8"/>
  <c r="AA28" i="8"/>
  <c r="AD27" i="8"/>
  <c r="BG28" i="9" s="1"/>
  <c r="AC27" i="8"/>
  <c r="BF28" i="9" s="1"/>
  <c r="AE26" i="8"/>
  <c r="BH27" i="9" s="1"/>
  <c r="J27" i="9" s="1"/>
  <c r="J28" i="9" s="1"/>
  <c r="AD26" i="8"/>
  <c r="BG27" i="9" s="1"/>
  <c r="I27" i="9" s="1"/>
  <c r="I28" i="9" s="1"/>
  <c r="AC26" i="8"/>
  <c r="BF27" i="9" s="1"/>
  <c r="H27" i="9" s="1"/>
  <c r="H28" i="9" s="1"/>
  <c r="AB26" i="8"/>
  <c r="BE27" i="9" s="1"/>
  <c r="G27" i="9" s="1"/>
  <c r="G28" i="9" s="1"/>
  <c r="AA26" i="8"/>
  <c r="BD27" i="9" s="1"/>
  <c r="F27" i="9" s="1"/>
  <c r="F28" i="9" s="1"/>
  <c r="AD25" i="8"/>
  <c r="BG26" i="9" s="1"/>
  <c r="AE24" i="8"/>
  <c r="BH25" i="9" s="1"/>
  <c r="J25" i="9" s="1"/>
  <c r="J26" i="9" s="1"/>
  <c r="AD24" i="8"/>
  <c r="BG25" i="9" s="1"/>
  <c r="I25" i="9" s="1"/>
  <c r="I26" i="9" s="1"/>
  <c r="AC24" i="8"/>
  <c r="BF25" i="9" s="1"/>
  <c r="H25" i="9" s="1"/>
  <c r="H26" i="9" s="1"/>
  <c r="AB24" i="8"/>
  <c r="AA24" i="8"/>
  <c r="BD25" i="9" s="1"/>
  <c r="F25" i="9" s="1"/>
  <c r="F26" i="9" s="1"/>
  <c r="AE22" i="8"/>
  <c r="BH23" i="9" s="1"/>
  <c r="J23" i="9" s="1"/>
  <c r="J24" i="9" s="1"/>
  <c r="AD22" i="8"/>
  <c r="AC22" i="8"/>
  <c r="AB22" i="8"/>
  <c r="AA22" i="8"/>
  <c r="AD21" i="8"/>
  <c r="BG22" i="9" s="1"/>
  <c r="AA21" i="8"/>
  <c r="BD22" i="9" s="1"/>
  <c r="AE20" i="8"/>
  <c r="BH21" i="9" s="1"/>
  <c r="J21" i="9" s="1"/>
  <c r="J22" i="9" s="1"/>
  <c r="AD20" i="8"/>
  <c r="BG21" i="9" s="1"/>
  <c r="I21" i="9" s="1"/>
  <c r="I22" i="9" s="1"/>
  <c r="AC20" i="8"/>
  <c r="BF21" i="9" s="1"/>
  <c r="H21" i="9" s="1"/>
  <c r="H22" i="9" s="1"/>
  <c r="AB20" i="8"/>
  <c r="AA20" i="8"/>
  <c r="BD21" i="9" s="1"/>
  <c r="F21" i="9" s="1"/>
  <c r="F22" i="9" s="1"/>
  <c r="AE19" i="8"/>
  <c r="BH20" i="9" s="1"/>
  <c r="J20" i="9" s="1"/>
  <c r="AD19" i="8"/>
  <c r="BG20" i="9" s="1"/>
  <c r="I20" i="9" s="1"/>
  <c r="AC19" i="8"/>
  <c r="BF20" i="9" s="1"/>
  <c r="H20" i="9" s="1"/>
  <c r="AB19" i="8"/>
  <c r="BE20" i="9" s="1"/>
  <c r="G20" i="9" s="1"/>
  <c r="AA19" i="8"/>
  <c r="BD20" i="9" s="1"/>
  <c r="F20" i="9" s="1"/>
  <c r="AE18" i="8"/>
  <c r="BH19" i="9" s="1"/>
  <c r="J19" i="9" s="1"/>
  <c r="AD18" i="8"/>
  <c r="BG19" i="9" s="1"/>
  <c r="I19" i="9" s="1"/>
  <c r="AC18" i="8"/>
  <c r="BF19" i="9" s="1"/>
  <c r="H19" i="9" s="1"/>
  <c r="AB18" i="8"/>
  <c r="BE19" i="9" s="1"/>
  <c r="G19" i="9" s="1"/>
  <c r="AA18" i="8"/>
  <c r="BD19" i="9" s="1"/>
  <c r="F19" i="9" s="1"/>
  <c r="AE17" i="8"/>
  <c r="BH18" i="9" s="1"/>
  <c r="AD17" i="8"/>
  <c r="BG18" i="9" s="1"/>
  <c r="AC17" i="8"/>
  <c r="BF18" i="9" s="1"/>
  <c r="AB17" i="8"/>
  <c r="BE18" i="9" s="1"/>
  <c r="AA17" i="8"/>
  <c r="BD18" i="9" s="1"/>
  <c r="AE16" i="8"/>
  <c r="BH17" i="9" s="1"/>
  <c r="J17" i="9" s="1"/>
  <c r="AD16" i="8"/>
  <c r="BG17" i="9" s="1"/>
  <c r="I17" i="9" s="1"/>
  <c r="I15" i="9" s="1"/>
  <c r="AC16" i="8"/>
  <c r="BF17" i="9" s="1"/>
  <c r="H17" i="9" s="1"/>
  <c r="AB16" i="8"/>
  <c r="BE17" i="9" s="1"/>
  <c r="G17" i="9" s="1"/>
  <c r="AA16" i="8"/>
  <c r="BD17" i="9" s="1"/>
  <c r="F17" i="9" s="1"/>
  <c r="AE15" i="8"/>
  <c r="BH16" i="9" s="1"/>
  <c r="J16" i="9" s="1"/>
  <c r="AD15" i="8"/>
  <c r="BG16" i="9" s="1"/>
  <c r="I16" i="9" s="1"/>
  <c r="AC15" i="8"/>
  <c r="BF16" i="9" s="1"/>
  <c r="H16" i="9" s="1"/>
  <c r="H15" i="9" s="1"/>
  <c r="AB15" i="8"/>
  <c r="BE16" i="9" s="1"/>
  <c r="G16" i="9" s="1"/>
  <c r="AA15" i="8"/>
  <c r="BD16" i="9" s="1"/>
  <c r="F16" i="9" s="1"/>
  <c r="AE14" i="8"/>
  <c r="BH15" i="9" s="1"/>
  <c r="AD14" i="8"/>
  <c r="BG15" i="9" s="1"/>
  <c r="AC14" i="8"/>
  <c r="BF15" i="9" s="1"/>
  <c r="AB14" i="8"/>
  <c r="BE15" i="9" s="1"/>
  <c r="AA14" i="8"/>
  <c r="BD15" i="9" s="1"/>
  <c r="AE13" i="8"/>
  <c r="BH14" i="9" s="1"/>
  <c r="J14" i="9" s="1"/>
  <c r="AD13" i="8"/>
  <c r="BG14" i="9" s="1"/>
  <c r="I14" i="9" s="1"/>
  <c r="AC13" i="8"/>
  <c r="BF14" i="9" s="1"/>
  <c r="H14" i="9" s="1"/>
  <c r="AB13" i="8"/>
  <c r="BE14" i="9" s="1"/>
  <c r="G14" i="9" s="1"/>
  <c r="AA13" i="8"/>
  <c r="BD14" i="9" s="1"/>
  <c r="F14" i="9" s="1"/>
  <c r="AE12" i="8"/>
  <c r="BH13" i="9" s="1"/>
  <c r="J13" i="9" s="1"/>
  <c r="J12" i="9" s="1"/>
  <c r="AD12" i="8"/>
  <c r="BG13" i="9" s="1"/>
  <c r="I13" i="9" s="1"/>
  <c r="AC12" i="8"/>
  <c r="BF13" i="9" s="1"/>
  <c r="H13" i="9" s="1"/>
  <c r="AB12" i="8"/>
  <c r="BE13" i="9" s="1"/>
  <c r="G13" i="9" s="1"/>
  <c r="G12" i="9" s="1"/>
  <c r="AA12" i="8"/>
  <c r="BD13" i="9" s="1"/>
  <c r="F13" i="9" s="1"/>
  <c r="AE11" i="8"/>
  <c r="BH12" i="9" s="1"/>
  <c r="AD11" i="8"/>
  <c r="BG12" i="9" s="1"/>
  <c r="AC11" i="8"/>
  <c r="BF12" i="9" s="1"/>
  <c r="AB11" i="8"/>
  <c r="BE12" i="9" s="1"/>
  <c r="AA11" i="8"/>
  <c r="BD12" i="9" s="1"/>
  <c r="AE10" i="8"/>
  <c r="BH11" i="9" s="1"/>
  <c r="J11" i="9" s="1"/>
  <c r="AD10" i="8"/>
  <c r="BG11" i="9" s="1"/>
  <c r="I11" i="9" s="1"/>
  <c r="AC10" i="8"/>
  <c r="BF11" i="9" s="1"/>
  <c r="H11" i="9" s="1"/>
  <c r="AB10" i="8"/>
  <c r="BE11" i="9" s="1"/>
  <c r="G11" i="9" s="1"/>
  <c r="AA10" i="8"/>
  <c r="BD11" i="9" s="1"/>
  <c r="F11" i="9" s="1"/>
  <c r="AE9" i="8"/>
  <c r="BH10" i="9" s="1"/>
  <c r="J10" i="9" s="1"/>
  <c r="J9" i="9" s="1"/>
  <c r="AD9" i="8"/>
  <c r="BG10" i="9" s="1"/>
  <c r="I10" i="9" s="1"/>
  <c r="AC9" i="8"/>
  <c r="BF10" i="9" s="1"/>
  <c r="H10" i="9" s="1"/>
  <c r="H9" i="9" s="1"/>
  <c r="AB9" i="8"/>
  <c r="BE10" i="9" s="1"/>
  <c r="G10" i="9" s="1"/>
  <c r="AA9" i="8"/>
  <c r="BD10" i="9" s="1"/>
  <c r="F10" i="9" s="1"/>
  <c r="F9" i="9" s="1"/>
  <c r="AE8" i="8"/>
  <c r="BH9" i="9" s="1"/>
  <c r="AD8" i="8"/>
  <c r="BG9" i="9" s="1"/>
  <c r="AC8" i="8"/>
  <c r="BF9" i="9" s="1"/>
  <c r="AB8" i="8"/>
  <c r="BE9" i="9" s="1"/>
  <c r="AA8" i="8"/>
  <c r="BD9" i="9" s="1"/>
  <c r="AE7" i="8"/>
  <c r="BH8" i="9" s="1"/>
  <c r="J8" i="9" s="1"/>
  <c r="AD7" i="8"/>
  <c r="BG8" i="9" s="1"/>
  <c r="I8" i="9" s="1"/>
  <c r="AC7" i="8"/>
  <c r="BF8" i="9" s="1"/>
  <c r="H8" i="9" s="1"/>
  <c r="AB7" i="8"/>
  <c r="BE8" i="9" s="1"/>
  <c r="G8" i="9" s="1"/>
  <c r="AA7" i="8"/>
  <c r="BD8" i="9" s="1"/>
  <c r="F8" i="9" s="1"/>
  <c r="AE6" i="8"/>
  <c r="BH7" i="9" s="1"/>
  <c r="J7" i="9" s="1"/>
  <c r="AD6" i="8"/>
  <c r="BG7" i="9" s="1"/>
  <c r="I7" i="9" s="1"/>
  <c r="I6" i="9" s="1"/>
  <c r="AC6" i="8"/>
  <c r="BF7" i="9" s="1"/>
  <c r="H7" i="9" s="1"/>
  <c r="H6" i="9" s="1"/>
  <c r="AB6" i="8"/>
  <c r="BE7" i="9" s="1"/>
  <c r="G7" i="9" s="1"/>
  <c r="G6" i="9" s="1"/>
  <c r="AA6" i="8"/>
  <c r="BD7" i="9" s="1"/>
  <c r="F7" i="9" s="1"/>
  <c r="AE5" i="8"/>
  <c r="BH6" i="9" s="1"/>
  <c r="AD5" i="8"/>
  <c r="BG6" i="9" s="1"/>
  <c r="AC5" i="8"/>
  <c r="BF6" i="9" s="1"/>
  <c r="AB5" i="8"/>
  <c r="BE6" i="9" s="1"/>
  <c r="AA5" i="8"/>
  <c r="BD6" i="9" s="1"/>
  <c r="AE4" i="8"/>
  <c r="BH5" i="9" s="1"/>
  <c r="J5" i="9" s="1"/>
  <c r="AD4" i="8"/>
  <c r="BG5" i="9" s="1"/>
  <c r="I5" i="9" s="1"/>
  <c r="AC4" i="8"/>
  <c r="BF5" i="9" s="1"/>
  <c r="H5" i="9" s="1"/>
  <c r="AB4" i="8"/>
  <c r="BE5" i="9" s="1"/>
  <c r="G5" i="9" s="1"/>
  <c r="AA4" i="8"/>
  <c r="BD5" i="9" s="1"/>
  <c r="F5" i="9" s="1"/>
  <c r="AE3" i="8"/>
  <c r="BH4" i="9" s="1"/>
  <c r="J4" i="9" s="1"/>
  <c r="AD3" i="8"/>
  <c r="BG4" i="9" s="1"/>
  <c r="I4" i="9" s="1"/>
  <c r="AC3" i="8"/>
  <c r="BF4" i="9" s="1"/>
  <c r="H4" i="9" s="1"/>
  <c r="H3" i="9" s="1"/>
  <c r="AB3" i="8"/>
  <c r="BE4" i="9" s="1"/>
  <c r="G4" i="9" s="1"/>
  <c r="G3" i="9" s="1"/>
  <c r="AA3" i="8"/>
  <c r="BD4" i="9" s="1"/>
  <c r="F4" i="9" s="1"/>
  <c r="AE2" i="8"/>
  <c r="BH3" i="9" s="1"/>
  <c r="AD2" i="8"/>
  <c r="BG3" i="9" s="1"/>
  <c r="AC2" i="8"/>
  <c r="BF3" i="9" s="1"/>
  <c r="AB2" i="8"/>
  <c r="BE3" i="9" s="1"/>
  <c r="AA2" i="8"/>
  <c r="BD3" i="9" s="1"/>
  <c r="AD155" i="7"/>
  <c r="AC155" i="7"/>
  <c r="AC156" i="7" s="1"/>
  <c r="AB155" i="7"/>
  <c r="AB156" i="7" s="1"/>
  <c r="AA155" i="7"/>
  <c r="AA156" i="7" s="1"/>
  <c r="Z155" i="7"/>
  <c r="Z156" i="7" s="1"/>
  <c r="AD153" i="7"/>
  <c r="AC153" i="7"/>
  <c r="AC154" i="7" s="1"/>
  <c r="AB153" i="7"/>
  <c r="AB154" i="7" s="1"/>
  <c r="AA153" i="7"/>
  <c r="AA154" i="7" s="1"/>
  <c r="Z153" i="7"/>
  <c r="Z154" i="7" s="1"/>
  <c r="AB152" i="7"/>
  <c r="AA152" i="7"/>
  <c r="Z152" i="7"/>
  <c r="AD151" i="7"/>
  <c r="AC151" i="7"/>
  <c r="AC152" i="7" s="1"/>
  <c r="AB151" i="7"/>
  <c r="AA151" i="7"/>
  <c r="Z151" i="7"/>
  <c r="AD150" i="7"/>
  <c r="AC150" i="7"/>
  <c r="AB150" i="7"/>
  <c r="AA150" i="7"/>
  <c r="Z150" i="7"/>
  <c r="AD149" i="7"/>
  <c r="AC149" i="7"/>
  <c r="AB149" i="7"/>
  <c r="AA149" i="7"/>
  <c r="Z149" i="7"/>
  <c r="AD148" i="7"/>
  <c r="AC148" i="7"/>
  <c r="AB148" i="7"/>
  <c r="AA148" i="7"/>
  <c r="Z148" i="7"/>
  <c r="AB141" i="7"/>
  <c r="AA141" i="7"/>
  <c r="Z141" i="7"/>
  <c r="AD140" i="7"/>
  <c r="AC140" i="7"/>
  <c r="AC141" i="7" s="1"/>
  <c r="AB140" i="7"/>
  <c r="AA140" i="7"/>
  <c r="Z140" i="7"/>
  <c r="AA98" i="7"/>
  <c r="Z98" i="7"/>
  <c r="AD97" i="7"/>
  <c r="AC97" i="7"/>
  <c r="AC98" i="7" s="1"/>
  <c r="AB97" i="7"/>
  <c r="AB98" i="7" s="1"/>
  <c r="AA97" i="7"/>
  <c r="Z97" i="7"/>
  <c r="AD95" i="7"/>
  <c r="AC95" i="7"/>
  <c r="AC96" i="7" s="1"/>
  <c r="AB95" i="7"/>
  <c r="AB96" i="7" s="1"/>
  <c r="AA95" i="7"/>
  <c r="AA96" i="7" s="1"/>
  <c r="Z95" i="7"/>
  <c r="Z96" i="7" s="1"/>
  <c r="AC94" i="7"/>
  <c r="AB94" i="7"/>
  <c r="AA94" i="7"/>
  <c r="AD93" i="7"/>
  <c r="AC93" i="7"/>
  <c r="AB93" i="7"/>
  <c r="AA93" i="7"/>
  <c r="Z93" i="7"/>
  <c r="Z94" i="7" s="1"/>
  <c r="AD92" i="7"/>
  <c r="AC92" i="7"/>
  <c r="AB92" i="7"/>
  <c r="AA92" i="7"/>
  <c r="Z92" i="7"/>
  <c r="AD91" i="7"/>
  <c r="AC91" i="7"/>
  <c r="AB91" i="7"/>
  <c r="AA91" i="7"/>
  <c r="Z91" i="7"/>
  <c r="AD90" i="7"/>
  <c r="AC90" i="7"/>
  <c r="AB90" i="7"/>
  <c r="AA90" i="7"/>
  <c r="Z90" i="7"/>
  <c r="AC83" i="7"/>
  <c r="AB83" i="7"/>
  <c r="AA83" i="7"/>
  <c r="AD82" i="7"/>
  <c r="AC82" i="7"/>
  <c r="AB82" i="7"/>
  <c r="AA82" i="7"/>
  <c r="Z82" i="7"/>
  <c r="Z83" i="7" s="1"/>
  <c r="AD40" i="7"/>
  <c r="AC40" i="7"/>
  <c r="AB40" i="7"/>
  <c r="AA40" i="7"/>
  <c r="Z40" i="7"/>
  <c r="AD39" i="7"/>
  <c r="AC39" i="7"/>
  <c r="AB39" i="7"/>
  <c r="AA39" i="7"/>
  <c r="Z39" i="7"/>
  <c r="AD38" i="7"/>
  <c r="AC38" i="7"/>
  <c r="AB38" i="7"/>
  <c r="AA38" i="7"/>
  <c r="Z38" i="7"/>
  <c r="AD37" i="7"/>
  <c r="AC37" i="7"/>
  <c r="AB37" i="7"/>
  <c r="AA37" i="7"/>
  <c r="Z37" i="7"/>
  <c r="AD36" i="7"/>
  <c r="AC36" i="7"/>
  <c r="AB36" i="7"/>
  <c r="AA36" i="7"/>
  <c r="Z36" i="7"/>
  <c r="AD35" i="7"/>
  <c r="AC35" i="7"/>
  <c r="AB35" i="7"/>
  <c r="AA35" i="7"/>
  <c r="Z35" i="7"/>
  <c r="AD34" i="7"/>
  <c r="AC34" i="7"/>
  <c r="AB34" i="7"/>
  <c r="AA34" i="7"/>
  <c r="Z34" i="7"/>
  <c r="AD33" i="7"/>
  <c r="AC33" i="7"/>
  <c r="AB33" i="7"/>
  <c r="AA33" i="7"/>
  <c r="Z33" i="7"/>
  <c r="AD32" i="7"/>
  <c r="AC32" i="7"/>
  <c r="AB32" i="7"/>
  <c r="AA32" i="7"/>
  <c r="Z32" i="7"/>
  <c r="AA31" i="7"/>
  <c r="Z31" i="7"/>
  <c r="AD30" i="7"/>
  <c r="AC30" i="7"/>
  <c r="AC31" i="7" s="1"/>
  <c r="AB30" i="7"/>
  <c r="AB31" i="7" s="1"/>
  <c r="AA30" i="7"/>
  <c r="Z30" i="7"/>
  <c r="AD28" i="7"/>
  <c r="AC28" i="7"/>
  <c r="AC29" i="7" s="1"/>
  <c r="AB28" i="7"/>
  <c r="AB29" i="7" s="1"/>
  <c r="AA28" i="7"/>
  <c r="AA29" i="7" s="1"/>
  <c r="Z28" i="7"/>
  <c r="Z29" i="7" s="1"/>
  <c r="AC27" i="7"/>
  <c r="AB27" i="7"/>
  <c r="AA27" i="7"/>
  <c r="AD26" i="7"/>
  <c r="AC26" i="7"/>
  <c r="AB26" i="7"/>
  <c r="AA26" i="7"/>
  <c r="Z26" i="7"/>
  <c r="Z27" i="7" s="1"/>
  <c r="AC25" i="7"/>
  <c r="AA25" i="7"/>
  <c r="AD24" i="7"/>
  <c r="AC24" i="7"/>
  <c r="AB24" i="7"/>
  <c r="AB25" i="7" s="1"/>
  <c r="AA24" i="7"/>
  <c r="Z24" i="7"/>
  <c r="Z25" i="7" s="1"/>
  <c r="AD22" i="7"/>
  <c r="AC22" i="7"/>
  <c r="AC23" i="7" s="1"/>
  <c r="AB22" i="7"/>
  <c r="AB23" i="7" s="1"/>
  <c r="AA22" i="7"/>
  <c r="AA23" i="7" s="1"/>
  <c r="Z22" i="7"/>
  <c r="Z23" i="7" s="1"/>
  <c r="AD20" i="7"/>
  <c r="AC20" i="7"/>
  <c r="AC21" i="7" s="1"/>
  <c r="AB20" i="7"/>
  <c r="AB21" i="7" s="1"/>
  <c r="AA20" i="7"/>
  <c r="AA21" i="7" s="1"/>
  <c r="Z20" i="7"/>
  <c r="Z21" i="7" s="1"/>
  <c r="AD19" i="7"/>
  <c r="AC19" i="7"/>
  <c r="AB19" i="7"/>
  <c r="AA19" i="7"/>
  <c r="Z19" i="7"/>
  <c r="AD18" i="7"/>
  <c r="AC18" i="7"/>
  <c r="AB18" i="7"/>
  <c r="AA18" i="7"/>
  <c r="Z18" i="7"/>
  <c r="AD17" i="7"/>
  <c r="AC17" i="7"/>
  <c r="AB17" i="7"/>
  <c r="AA17" i="7"/>
  <c r="Z17" i="7"/>
  <c r="AD16" i="7"/>
  <c r="AC16" i="7"/>
  <c r="AB16" i="7"/>
  <c r="AA16" i="7"/>
  <c r="Z16" i="7"/>
  <c r="AD15" i="7"/>
  <c r="AC15" i="7"/>
  <c r="AB15" i="7"/>
  <c r="AA15" i="7"/>
  <c r="Z15" i="7"/>
  <c r="AD14" i="7"/>
  <c r="AC14" i="7"/>
  <c r="AB14" i="7"/>
  <c r="AA14" i="7"/>
  <c r="Z14" i="7"/>
  <c r="AD13" i="7"/>
  <c r="AC13" i="7"/>
  <c r="AB13" i="7"/>
  <c r="AA13" i="7"/>
  <c r="Z13" i="7"/>
  <c r="AD12" i="7"/>
  <c r="AC12" i="7"/>
  <c r="AB12" i="7"/>
  <c r="AA12" i="7"/>
  <c r="Z12" i="7"/>
  <c r="AD11" i="7"/>
  <c r="AC11" i="7"/>
  <c r="AB11" i="7"/>
  <c r="AA11" i="7"/>
  <c r="Z11" i="7"/>
  <c r="AD10" i="7"/>
  <c r="AC10" i="7"/>
  <c r="AB10" i="7"/>
  <c r="AA10" i="7"/>
  <c r="Z10" i="7"/>
  <c r="AD9" i="7"/>
  <c r="AC9" i="7"/>
  <c r="AB9" i="7"/>
  <c r="AA9" i="7"/>
  <c r="Z9" i="7"/>
  <c r="AD8" i="7"/>
  <c r="AC8" i="7"/>
  <c r="AB8" i="7"/>
  <c r="AA8" i="7"/>
  <c r="Z8" i="7"/>
  <c r="AD7" i="7"/>
  <c r="AC7" i="7"/>
  <c r="AB7" i="7"/>
  <c r="AA7" i="7"/>
  <c r="Z7" i="7"/>
  <c r="AD6" i="7"/>
  <c r="AC6" i="7"/>
  <c r="AB6" i="7"/>
  <c r="AA6" i="7"/>
  <c r="Z6" i="7"/>
  <c r="AD5" i="7"/>
  <c r="AC5" i="7"/>
  <c r="AB5" i="7"/>
  <c r="AA5" i="7"/>
  <c r="Z5" i="7"/>
  <c r="AD4" i="7"/>
  <c r="AC4" i="7"/>
  <c r="AB4" i="7"/>
  <c r="AA4" i="7"/>
  <c r="Z4" i="7"/>
  <c r="AD3" i="7"/>
  <c r="AC3" i="7"/>
  <c r="AB3" i="7"/>
  <c r="AA3" i="7"/>
  <c r="Z3" i="7"/>
  <c r="AD2" i="7"/>
  <c r="AC2" i="7"/>
  <c r="AB2" i="7"/>
  <c r="AA2" i="7"/>
  <c r="Z2" i="7"/>
  <c r="AD155" i="6"/>
  <c r="AC155" i="6"/>
  <c r="AC156" i="6" s="1"/>
  <c r="AB155" i="6"/>
  <c r="AB156" i="6" s="1"/>
  <c r="AA155" i="6"/>
  <c r="AA156" i="6" s="1"/>
  <c r="Z155" i="6"/>
  <c r="Z156" i="6" s="1"/>
  <c r="AD153" i="6"/>
  <c r="AC153" i="6"/>
  <c r="AC154" i="6" s="1"/>
  <c r="AB153" i="6"/>
  <c r="AB154" i="6" s="1"/>
  <c r="AA153" i="6"/>
  <c r="AA154" i="6" s="1"/>
  <c r="Z153" i="6"/>
  <c r="Z154" i="6" s="1"/>
  <c r="AB152" i="6"/>
  <c r="AA152" i="6"/>
  <c r="Z152" i="6"/>
  <c r="AD151" i="6"/>
  <c r="AC151" i="6"/>
  <c r="AC152" i="6" s="1"/>
  <c r="AB151" i="6"/>
  <c r="AA151" i="6"/>
  <c r="Z151" i="6"/>
  <c r="AD150" i="6"/>
  <c r="AC150" i="6"/>
  <c r="AB150" i="6"/>
  <c r="AA150" i="6"/>
  <c r="Z150" i="6"/>
  <c r="AD149" i="6"/>
  <c r="AC149" i="6"/>
  <c r="AB149" i="6"/>
  <c r="AA149" i="6"/>
  <c r="Z149" i="6"/>
  <c r="AD148" i="6"/>
  <c r="AC148" i="6"/>
  <c r="AB148" i="6"/>
  <c r="AA148" i="6"/>
  <c r="Z148" i="6"/>
  <c r="AB141" i="6"/>
  <c r="AA141" i="6"/>
  <c r="Z141" i="6"/>
  <c r="AD140" i="6"/>
  <c r="AC140" i="6"/>
  <c r="AC141" i="6" s="1"/>
  <c r="AB140" i="6"/>
  <c r="AA140" i="6"/>
  <c r="Z140" i="6"/>
  <c r="AC98" i="6"/>
  <c r="AB98" i="6"/>
  <c r="AA98" i="6"/>
  <c r="AD97" i="6"/>
  <c r="AC97" i="6"/>
  <c r="AB97" i="6"/>
  <c r="AA97" i="6"/>
  <c r="Z97" i="6"/>
  <c r="Z98" i="6" s="1"/>
  <c r="AD95" i="6"/>
  <c r="AC95" i="6"/>
  <c r="AC96" i="6" s="1"/>
  <c r="AB95" i="6"/>
  <c r="AB96" i="6" s="1"/>
  <c r="AA95" i="6"/>
  <c r="AA96" i="6" s="1"/>
  <c r="Z95" i="6"/>
  <c r="Z96" i="6" s="1"/>
  <c r="AC94" i="6"/>
  <c r="AB94" i="6"/>
  <c r="AA94" i="6"/>
  <c r="AD93" i="6"/>
  <c r="AC93" i="6"/>
  <c r="AB93" i="6"/>
  <c r="AA93" i="6"/>
  <c r="Z93" i="6"/>
  <c r="Z94" i="6" s="1"/>
  <c r="AD92" i="6"/>
  <c r="AC92" i="6"/>
  <c r="AB92" i="6"/>
  <c r="AA92" i="6"/>
  <c r="Z92" i="6"/>
  <c r="AD91" i="6"/>
  <c r="AC91" i="6"/>
  <c r="AB91" i="6"/>
  <c r="AA91" i="6"/>
  <c r="Z91" i="6"/>
  <c r="AD90" i="6"/>
  <c r="AC90" i="6"/>
  <c r="AB90" i="6"/>
  <c r="AA90" i="6"/>
  <c r="Z90" i="6"/>
  <c r="AC83" i="6"/>
  <c r="AB83" i="6"/>
  <c r="AA83" i="6"/>
  <c r="AD82" i="6"/>
  <c r="AC82" i="6"/>
  <c r="AB82" i="6"/>
  <c r="AA82" i="6"/>
  <c r="Z82" i="6"/>
  <c r="Z83" i="6" s="1"/>
  <c r="AD40" i="6"/>
  <c r="AC40" i="6"/>
  <c r="AB40" i="6"/>
  <c r="AA40" i="6"/>
  <c r="Z40" i="6"/>
  <c r="AD39" i="6"/>
  <c r="AC39" i="6"/>
  <c r="AB39" i="6"/>
  <c r="AA39" i="6"/>
  <c r="Z39" i="6"/>
  <c r="AD38" i="6"/>
  <c r="AC38" i="6"/>
  <c r="AB38" i="6"/>
  <c r="AA38" i="6"/>
  <c r="Z38" i="6"/>
  <c r="AD37" i="6"/>
  <c r="AC37" i="6"/>
  <c r="AB37" i="6"/>
  <c r="AA37" i="6"/>
  <c r="Z37" i="6"/>
  <c r="AD36" i="6"/>
  <c r="AC36" i="6"/>
  <c r="AB36" i="6"/>
  <c r="AA36" i="6"/>
  <c r="Z36" i="6"/>
  <c r="AD35" i="6"/>
  <c r="AC35" i="6"/>
  <c r="AB35" i="6"/>
  <c r="AA35" i="6"/>
  <c r="Z35" i="6"/>
  <c r="AD34" i="6"/>
  <c r="AC34" i="6"/>
  <c r="AB34" i="6"/>
  <c r="AA34" i="6"/>
  <c r="Z34" i="6"/>
  <c r="AD33" i="6"/>
  <c r="AC33" i="6"/>
  <c r="AB33" i="6"/>
  <c r="AA33" i="6"/>
  <c r="Z33" i="6"/>
  <c r="AD32" i="6"/>
  <c r="AC32" i="6"/>
  <c r="AB32" i="6"/>
  <c r="AA32" i="6"/>
  <c r="Z32" i="6"/>
  <c r="AC31" i="6"/>
  <c r="AB31" i="6"/>
  <c r="AA31" i="6"/>
  <c r="AD30" i="6"/>
  <c r="AC30" i="6"/>
  <c r="AB30" i="6"/>
  <c r="AA30" i="6"/>
  <c r="Z30" i="6"/>
  <c r="Z31" i="6" s="1"/>
  <c r="AD28" i="6"/>
  <c r="AC28" i="6"/>
  <c r="AC29" i="6" s="1"/>
  <c r="AB28" i="6"/>
  <c r="AB29" i="6" s="1"/>
  <c r="AA28" i="6"/>
  <c r="AA29" i="6" s="1"/>
  <c r="Z28" i="6"/>
  <c r="Z29" i="6" s="1"/>
  <c r="AC27" i="6"/>
  <c r="AB27" i="6"/>
  <c r="AA27" i="6"/>
  <c r="AD26" i="6"/>
  <c r="AC26" i="6"/>
  <c r="AB26" i="6"/>
  <c r="AA26" i="6"/>
  <c r="Z26" i="6"/>
  <c r="Z27" i="6" s="1"/>
  <c r="AD24" i="6"/>
  <c r="AC24" i="6"/>
  <c r="AC25" i="6" s="1"/>
  <c r="AB24" i="6"/>
  <c r="AB25" i="6" s="1"/>
  <c r="AA24" i="6"/>
  <c r="AA25" i="6" s="1"/>
  <c r="Z24" i="6"/>
  <c r="Z25" i="6" s="1"/>
  <c r="AD22" i="6"/>
  <c r="AC22" i="6"/>
  <c r="AC23" i="6" s="1"/>
  <c r="AB22" i="6"/>
  <c r="AB23" i="6" s="1"/>
  <c r="AA22" i="6"/>
  <c r="AA23" i="6" s="1"/>
  <c r="Z22" i="6"/>
  <c r="Z23" i="6" s="1"/>
  <c r="AA21" i="6"/>
  <c r="Z21" i="6"/>
  <c r="AD20" i="6"/>
  <c r="AC20" i="6"/>
  <c r="AC21" i="6" s="1"/>
  <c r="AB20" i="6"/>
  <c r="AB21" i="6" s="1"/>
  <c r="AA20" i="6"/>
  <c r="Z20" i="6"/>
  <c r="AD19" i="6"/>
  <c r="AC19" i="6"/>
  <c r="AB19" i="6"/>
  <c r="AA19" i="6"/>
  <c r="Z19" i="6"/>
  <c r="AD18" i="6"/>
  <c r="AC18" i="6"/>
  <c r="AB18" i="6"/>
  <c r="AA18" i="6"/>
  <c r="Z18" i="6"/>
  <c r="AD17" i="6"/>
  <c r="AC17" i="6"/>
  <c r="AB17" i="6"/>
  <c r="AA17" i="6"/>
  <c r="Z17" i="6"/>
  <c r="AD16" i="6"/>
  <c r="AC16" i="6"/>
  <c r="AB16" i="6"/>
  <c r="AA16" i="6"/>
  <c r="Z16" i="6"/>
  <c r="AD15" i="6"/>
  <c r="AC15" i="6"/>
  <c r="AB15" i="6"/>
  <c r="AA15" i="6"/>
  <c r="Z15" i="6"/>
  <c r="AD14" i="6"/>
  <c r="AC14" i="6"/>
  <c r="AB14" i="6"/>
  <c r="AA14" i="6"/>
  <c r="Z14" i="6"/>
  <c r="AD13" i="6"/>
  <c r="AC13" i="6"/>
  <c r="AB13" i="6"/>
  <c r="AA13" i="6"/>
  <c r="Z13" i="6"/>
  <c r="AD12" i="6"/>
  <c r="AC12" i="6"/>
  <c r="AB12" i="6"/>
  <c r="AA12" i="6"/>
  <c r="Z12" i="6"/>
  <c r="AD11" i="6"/>
  <c r="AC11" i="6"/>
  <c r="AB11" i="6"/>
  <c r="AA11" i="6"/>
  <c r="Z11" i="6"/>
  <c r="AD10" i="6"/>
  <c r="AC10" i="6"/>
  <c r="AB10" i="6"/>
  <c r="AA10" i="6"/>
  <c r="Z10" i="6"/>
  <c r="AD9" i="6"/>
  <c r="AC9" i="6"/>
  <c r="AB9" i="6"/>
  <c r="AA9" i="6"/>
  <c r="Z9" i="6"/>
  <c r="AD8" i="6"/>
  <c r="AC8" i="6"/>
  <c r="AB8" i="6"/>
  <c r="AA8" i="6"/>
  <c r="Z8" i="6"/>
  <c r="AD7" i="6"/>
  <c r="AC7" i="6"/>
  <c r="AB7" i="6"/>
  <c r="AA7" i="6"/>
  <c r="Z7" i="6"/>
  <c r="AD6" i="6"/>
  <c r="AC6" i="6"/>
  <c r="AB6" i="6"/>
  <c r="AA6" i="6"/>
  <c r="Z6" i="6"/>
  <c r="AD5" i="6"/>
  <c r="AC5" i="6"/>
  <c r="AB5" i="6"/>
  <c r="AA5" i="6"/>
  <c r="Z5" i="6"/>
  <c r="AD4" i="6"/>
  <c r="AC4" i="6"/>
  <c r="AB4" i="6"/>
  <c r="AA4" i="6"/>
  <c r="Z4" i="6"/>
  <c r="AD3" i="6"/>
  <c r="AC3" i="6"/>
  <c r="AB3" i="6"/>
  <c r="AA3" i="6"/>
  <c r="Z3" i="6"/>
  <c r="AD2" i="6"/>
  <c r="AC2" i="6"/>
  <c r="AB2" i="6"/>
  <c r="AA2" i="6"/>
  <c r="Z2" i="6"/>
  <c r="AB156" i="5"/>
  <c r="AD155" i="5"/>
  <c r="AC155" i="5"/>
  <c r="AC156" i="5" s="1"/>
  <c r="AB155" i="5"/>
  <c r="AA155" i="5"/>
  <c r="AA156" i="5" s="1"/>
  <c r="Z155" i="5"/>
  <c r="Z156" i="5" s="1"/>
  <c r="AB154" i="5"/>
  <c r="AA154" i="5"/>
  <c r="AD153" i="5"/>
  <c r="AC153" i="5"/>
  <c r="AC154" i="5" s="1"/>
  <c r="AB153" i="5"/>
  <c r="AA153" i="5"/>
  <c r="Z153" i="5"/>
  <c r="Z154" i="5" s="1"/>
  <c r="AB152" i="5"/>
  <c r="Z152" i="5"/>
  <c r="AD151" i="5"/>
  <c r="AC151" i="5"/>
  <c r="AC152" i="5" s="1"/>
  <c r="AB151" i="5"/>
  <c r="AA151" i="5"/>
  <c r="AA152" i="5" s="1"/>
  <c r="Z151" i="5"/>
  <c r="AD150" i="5"/>
  <c r="AC150" i="5"/>
  <c r="AB150" i="5"/>
  <c r="AA150" i="5"/>
  <c r="Z150" i="5"/>
  <c r="AD149" i="5"/>
  <c r="AC149" i="5"/>
  <c r="AB149" i="5"/>
  <c r="AA149" i="5"/>
  <c r="Z149" i="5"/>
  <c r="AD148" i="5"/>
  <c r="AC148" i="5"/>
  <c r="AB148" i="5"/>
  <c r="AA148" i="5"/>
  <c r="Z148" i="5"/>
  <c r="AB141" i="5"/>
  <c r="AD140" i="5"/>
  <c r="AC140" i="5"/>
  <c r="AC141" i="5" s="1"/>
  <c r="AB140" i="5"/>
  <c r="AA140" i="5"/>
  <c r="AA141" i="5" s="1"/>
  <c r="Z140" i="5"/>
  <c r="Z141" i="5" s="1"/>
  <c r="AB98" i="5"/>
  <c r="AD97" i="5"/>
  <c r="AC97" i="5"/>
  <c r="AC98" i="5" s="1"/>
  <c r="AB97" i="5"/>
  <c r="AA97" i="5"/>
  <c r="AA98" i="5" s="1"/>
  <c r="Z97" i="5"/>
  <c r="Z98" i="5" s="1"/>
  <c r="AB96" i="5"/>
  <c r="AA96" i="5"/>
  <c r="Z96" i="5"/>
  <c r="AD95" i="5"/>
  <c r="AC95" i="5"/>
  <c r="AC96" i="5" s="1"/>
  <c r="AB95" i="5"/>
  <c r="AA95" i="5"/>
  <c r="Z95" i="5"/>
  <c r="AD93" i="5"/>
  <c r="AC93" i="5"/>
  <c r="AC94" i="5" s="1"/>
  <c r="AB93" i="5"/>
  <c r="AB94" i="5" s="1"/>
  <c r="AA93" i="5"/>
  <c r="AA94" i="5" s="1"/>
  <c r="Z93" i="5"/>
  <c r="Z94" i="5" s="1"/>
  <c r="AD92" i="5"/>
  <c r="AC92" i="5"/>
  <c r="AB92" i="5"/>
  <c r="AA92" i="5"/>
  <c r="Z92" i="5"/>
  <c r="AD91" i="5"/>
  <c r="AC91" i="5"/>
  <c r="AB91" i="5"/>
  <c r="AA91" i="5"/>
  <c r="Z91" i="5"/>
  <c r="AD90" i="5"/>
  <c r="AC90" i="5"/>
  <c r="AB90" i="5"/>
  <c r="AA90" i="5"/>
  <c r="Z90" i="5"/>
  <c r="AD82" i="5"/>
  <c r="AC82" i="5"/>
  <c r="AC83" i="5" s="1"/>
  <c r="AB82" i="5"/>
  <c r="AB83" i="5" s="1"/>
  <c r="AA82" i="5"/>
  <c r="AA83" i="5" s="1"/>
  <c r="Z82" i="5"/>
  <c r="Z83" i="5" s="1"/>
  <c r="AD40" i="5"/>
  <c r="AC40" i="5"/>
  <c r="AB40" i="5"/>
  <c r="AA40" i="5"/>
  <c r="Z40" i="5"/>
  <c r="AD39" i="5"/>
  <c r="AC39" i="5"/>
  <c r="AB39" i="5"/>
  <c r="AA39" i="5"/>
  <c r="Z39" i="5"/>
  <c r="AD38" i="5"/>
  <c r="AC38" i="5"/>
  <c r="AB38" i="5"/>
  <c r="AA38" i="5"/>
  <c r="Z38" i="5"/>
  <c r="AD37" i="5"/>
  <c r="AC37" i="5"/>
  <c r="AB37" i="5"/>
  <c r="AA37" i="5"/>
  <c r="Z37" i="5"/>
  <c r="AD36" i="5"/>
  <c r="AC36" i="5"/>
  <c r="AB36" i="5"/>
  <c r="AA36" i="5"/>
  <c r="Z36" i="5"/>
  <c r="AD35" i="5"/>
  <c r="AC35" i="5"/>
  <c r="AB35" i="5"/>
  <c r="AA35" i="5"/>
  <c r="Z35" i="5"/>
  <c r="AD34" i="5"/>
  <c r="AC34" i="5"/>
  <c r="AB34" i="5"/>
  <c r="AA34" i="5"/>
  <c r="Z34" i="5"/>
  <c r="AD33" i="5"/>
  <c r="AC33" i="5"/>
  <c r="AB33" i="5"/>
  <c r="AA33" i="5"/>
  <c r="Z33" i="5"/>
  <c r="AD32" i="5"/>
  <c r="AC32" i="5"/>
  <c r="AB32" i="5"/>
  <c r="AA32" i="5"/>
  <c r="Z32" i="5"/>
  <c r="AC31" i="5"/>
  <c r="AB31" i="5"/>
  <c r="AD30" i="5"/>
  <c r="AC30" i="5"/>
  <c r="AB30" i="5"/>
  <c r="AA30" i="5"/>
  <c r="AA31" i="5" s="1"/>
  <c r="Z30" i="5"/>
  <c r="Z31" i="5" s="1"/>
  <c r="AB29" i="5"/>
  <c r="AA29" i="5"/>
  <c r="Z29" i="5"/>
  <c r="AD28" i="5"/>
  <c r="AC28" i="5"/>
  <c r="AC29" i="5" s="1"/>
  <c r="AB28" i="5"/>
  <c r="AA28" i="5"/>
  <c r="Z28" i="5"/>
  <c r="AD26" i="5"/>
  <c r="AC26" i="5"/>
  <c r="AC27" i="5" s="1"/>
  <c r="AB26" i="5"/>
  <c r="AB27" i="5" s="1"/>
  <c r="AA26" i="5"/>
  <c r="AA27" i="5" s="1"/>
  <c r="Z26" i="5"/>
  <c r="Z27" i="5" s="1"/>
  <c r="AB25" i="5"/>
  <c r="AA25" i="5"/>
  <c r="AD24" i="5"/>
  <c r="AC24" i="5"/>
  <c r="AC25" i="5" s="1"/>
  <c r="AB24" i="5"/>
  <c r="AA24" i="5"/>
  <c r="Z24" i="5"/>
  <c r="Z25" i="5" s="1"/>
  <c r="AC23" i="5"/>
  <c r="AA23" i="5"/>
  <c r="AD22" i="5"/>
  <c r="AC22" i="5"/>
  <c r="AB22" i="5"/>
  <c r="AB23" i="5" s="1"/>
  <c r="AA22" i="5"/>
  <c r="Z22" i="5"/>
  <c r="Z23" i="5" s="1"/>
  <c r="AB21" i="5"/>
  <c r="AA21" i="5"/>
  <c r="AD20" i="5"/>
  <c r="AC20" i="5"/>
  <c r="AC21" i="5" s="1"/>
  <c r="AB20" i="5"/>
  <c r="AA20" i="5"/>
  <c r="Z20" i="5"/>
  <c r="Z21" i="5" s="1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C2" i="5"/>
  <c r="AB2" i="5"/>
  <c r="AA2" i="5"/>
  <c r="Z2" i="5"/>
  <c r="AA151" i="4"/>
  <c r="AB151" i="4"/>
  <c r="Z148" i="4"/>
  <c r="Z140" i="4"/>
  <c r="AB156" i="4"/>
  <c r="AA156" i="4"/>
  <c r="AD155" i="4"/>
  <c r="AC155" i="4"/>
  <c r="AC156" i="4" s="1"/>
  <c r="AB155" i="4"/>
  <c r="AA155" i="4"/>
  <c r="Z155" i="4"/>
  <c r="Z156" i="4" s="1"/>
  <c r="AC154" i="4"/>
  <c r="AB154" i="4"/>
  <c r="AA154" i="4"/>
  <c r="AD153" i="4"/>
  <c r="AC153" i="4"/>
  <c r="AB153" i="4"/>
  <c r="AA153" i="4"/>
  <c r="Z153" i="4"/>
  <c r="Z154" i="4" s="1"/>
  <c r="AC152" i="4"/>
  <c r="AD151" i="4"/>
  <c r="AC151" i="4"/>
  <c r="AB152" i="4"/>
  <c r="AA152" i="4"/>
  <c r="Z151" i="4"/>
  <c r="Z152" i="4" s="1"/>
  <c r="AD150" i="4"/>
  <c r="AC150" i="4"/>
  <c r="AB150" i="4"/>
  <c r="AA150" i="4"/>
  <c r="Z150" i="4"/>
  <c r="AD149" i="4"/>
  <c r="AC149" i="4"/>
  <c r="AB149" i="4"/>
  <c r="AA149" i="4"/>
  <c r="Z149" i="4"/>
  <c r="AD148" i="4"/>
  <c r="AC148" i="4"/>
  <c r="AB148" i="4"/>
  <c r="AA148" i="4"/>
  <c r="AC141" i="4"/>
  <c r="AB141" i="4"/>
  <c r="AA141" i="4"/>
  <c r="Z141" i="4"/>
  <c r="AD140" i="4"/>
  <c r="AC140" i="4"/>
  <c r="AB140" i="4"/>
  <c r="AA140" i="4"/>
  <c r="AC98" i="4"/>
  <c r="AB98" i="4"/>
  <c r="AA98" i="4"/>
  <c r="Z98" i="4"/>
  <c r="AC96" i="4"/>
  <c r="AB96" i="4"/>
  <c r="AA96" i="4"/>
  <c r="Z96" i="4"/>
  <c r="AA94" i="4"/>
  <c r="Z94" i="4"/>
  <c r="AC94" i="4"/>
  <c r="AB94" i="4"/>
  <c r="AC83" i="4"/>
  <c r="AB83" i="4"/>
  <c r="AA83" i="4"/>
  <c r="Z83" i="4"/>
  <c r="AD92" i="4"/>
  <c r="AD91" i="4"/>
  <c r="AC92" i="4"/>
  <c r="AC91" i="4"/>
  <c r="AB92" i="4"/>
  <c r="AB91" i="4"/>
  <c r="AA92" i="4"/>
  <c r="AA91" i="4"/>
  <c r="AD97" i="4"/>
  <c r="AD95" i="4"/>
  <c r="AC97" i="4"/>
  <c r="AC95" i="4"/>
  <c r="AB97" i="4"/>
  <c r="AB95" i="4"/>
  <c r="AA97" i="4"/>
  <c r="AA95" i="4"/>
  <c r="AD93" i="4"/>
  <c r="AC93" i="4"/>
  <c r="O86" i="4"/>
  <c r="AB93" i="4"/>
  <c r="AA93" i="4"/>
  <c r="AD90" i="4"/>
  <c r="AC90" i="4"/>
  <c r="AB90" i="4"/>
  <c r="AA90" i="4"/>
  <c r="Z90" i="4"/>
  <c r="AB82" i="4"/>
  <c r="Z97" i="4"/>
  <c r="Z95" i="4"/>
  <c r="Z93" i="4"/>
  <c r="Z92" i="4"/>
  <c r="Z91" i="4"/>
  <c r="AD82" i="4"/>
  <c r="AC82" i="4"/>
  <c r="AA82" i="4"/>
  <c r="Z82" i="4"/>
  <c r="AA25" i="4"/>
  <c r="Z25" i="4"/>
  <c r="Z24" i="4"/>
  <c r="AC31" i="4"/>
  <c r="AB31" i="4"/>
  <c r="AA31" i="4"/>
  <c r="Z31" i="4"/>
  <c r="AC29" i="4"/>
  <c r="AB29" i="4"/>
  <c r="AA29" i="4"/>
  <c r="Z29" i="4"/>
  <c r="AC27" i="4"/>
  <c r="AB27" i="4"/>
  <c r="AA27" i="4"/>
  <c r="Z27" i="4"/>
  <c r="AC25" i="4"/>
  <c r="AB25" i="4"/>
  <c r="AC23" i="4"/>
  <c r="AB23" i="4"/>
  <c r="AA23" i="4"/>
  <c r="Z23" i="4"/>
  <c r="AC21" i="4"/>
  <c r="AB21" i="4"/>
  <c r="AA21" i="4"/>
  <c r="Z21" i="4"/>
  <c r="AD40" i="4"/>
  <c r="AD39" i="4"/>
  <c r="AD38" i="4"/>
  <c r="N153" i="4"/>
  <c r="I153" i="4"/>
  <c r="M144" i="4"/>
  <c r="L144" i="4"/>
  <c r="K144" i="4"/>
  <c r="J144" i="4"/>
  <c r="H144" i="4"/>
  <c r="G144" i="4"/>
  <c r="F144" i="4"/>
  <c r="E144" i="4"/>
  <c r="D144" i="4"/>
  <c r="C144" i="4"/>
  <c r="B144" i="4"/>
  <c r="N143" i="4"/>
  <c r="I143" i="4"/>
  <c r="N139" i="4"/>
  <c r="I139" i="4"/>
  <c r="N138" i="4"/>
  <c r="I138" i="4"/>
  <c r="N137" i="4"/>
  <c r="I137" i="4"/>
  <c r="N136" i="4"/>
  <c r="I136" i="4"/>
  <c r="N135" i="4"/>
  <c r="I135" i="4"/>
  <c r="N134" i="4"/>
  <c r="I134" i="4"/>
  <c r="N133" i="4"/>
  <c r="I133" i="4"/>
  <c r="N132" i="4"/>
  <c r="I132" i="4"/>
  <c r="N131" i="4"/>
  <c r="I131" i="4"/>
  <c r="N130" i="4"/>
  <c r="I130" i="4"/>
  <c r="N123" i="4"/>
  <c r="I123" i="4"/>
  <c r="N93" i="4"/>
  <c r="I93" i="4"/>
  <c r="N83" i="4"/>
  <c r="I83" i="4"/>
  <c r="N73" i="4"/>
  <c r="I73" i="4"/>
  <c r="N63" i="4"/>
  <c r="I63" i="4"/>
  <c r="N39" i="4"/>
  <c r="I39" i="4"/>
  <c r="N38" i="4"/>
  <c r="I38" i="4"/>
  <c r="N37" i="4"/>
  <c r="I37" i="4"/>
  <c r="AD36" i="4"/>
  <c r="AC36" i="4"/>
  <c r="AB36" i="4"/>
  <c r="AA36" i="4"/>
  <c r="Z36" i="4"/>
  <c r="N36" i="4"/>
  <c r="I36" i="4"/>
  <c r="AD35" i="4"/>
  <c r="AC35" i="4"/>
  <c r="AB35" i="4"/>
  <c r="AA35" i="4"/>
  <c r="Z35" i="4"/>
  <c r="N35" i="4"/>
  <c r="I35" i="4"/>
  <c r="N34" i="4"/>
  <c r="I34" i="4"/>
  <c r="N33" i="4"/>
  <c r="I33" i="4"/>
  <c r="N32" i="4"/>
  <c r="I32" i="4"/>
  <c r="N31" i="4"/>
  <c r="I31" i="4"/>
  <c r="N30" i="4"/>
  <c r="I30" i="4"/>
  <c r="AD28" i="4"/>
  <c r="AC28" i="4"/>
  <c r="AB28" i="4"/>
  <c r="AA28" i="4"/>
  <c r="Z28" i="4"/>
  <c r="N23" i="4"/>
  <c r="I23" i="4"/>
  <c r="AD20" i="4"/>
  <c r="AC20" i="4"/>
  <c r="AB20" i="4"/>
  <c r="AA20" i="4"/>
  <c r="Z20" i="4"/>
  <c r="AD15" i="4"/>
  <c r="AC15" i="4"/>
  <c r="AB15" i="4"/>
  <c r="AA15" i="4"/>
  <c r="Z15" i="4"/>
  <c r="AD14" i="4"/>
  <c r="AC14" i="4"/>
  <c r="AB14" i="4"/>
  <c r="AA14" i="4"/>
  <c r="Z14" i="4"/>
  <c r="N13" i="4"/>
  <c r="I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8" i="4"/>
  <c r="AC8" i="4"/>
  <c r="AB8" i="4"/>
  <c r="AA8" i="4"/>
  <c r="Z8" i="4"/>
  <c r="AD4" i="4"/>
  <c r="AC4" i="4"/>
  <c r="AB4" i="4"/>
  <c r="AA4" i="4"/>
  <c r="Z4" i="4"/>
  <c r="N3" i="4"/>
  <c r="I3" i="4"/>
  <c r="AD2" i="4"/>
  <c r="AC2" i="4"/>
  <c r="AB2" i="4"/>
  <c r="AA2" i="4"/>
  <c r="Z2" i="4"/>
  <c r="AB38" i="4"/>
  <c r="AD37" i="4"/>
  <c r="AC40" i="4"/>
  <c r="AC39" i="4"/>
  <c r="AC37" i="4"/>
  <c r="AB40" i="4"/>
  <c r="AB39" i="4"/>
  <c r="AB37" i="4"/>
  <c r="AD34" i="4"/>
  <c r="AC34" i="4"/>
  <c r="AB34" i="4"/>
  <c r="AC38" i="4"/>
  <c r="AD32" i="4"/>
  <c r="AC32" i="4"/>
  <c r="AB32" i="4"/>
  <c r="AA38" i="4"/>
  <c r="AA32" i="4"/>
  <c r="AA40" i="4"/>
  <c r="AA39" i="4"/>
  <c r="AA37" i="4"/>
  <c r="AA34" i="4"/>
  <c r="AD33" i="4"/>
  <c r="AC33" i="4"/>
  <c r="AB33" i="4"/>
  <c r="AA33" i="4"/>
  <c r="AD30" i="4"/>
  <c r="AC30" i="4"/>
  <c r="AB30" i="4"/>
  <c r="AA30" i="4"/>
  <c r="AD26" i="4"/>
  <c r="AC26" i="4"/>
  <c r="AB26" i="4"/>
  <c r="AA26" i="4"/>
  <c r="AD24" i="4"/>
  <c r="AC24" i="4"/>
  <c r="AB24" i="4"/>
  <c r="AA24" i="4"/>
  <c r="AD22" i="4"/>
  <c r="AC22" i="4"/>
  <c r="AB22" i="4"/>
  <c r="AA22" i="4"/>
  <c r="AD19" i="4"/>
  <c r="AD18" i="4"/>
  <c r="AD16" i="4"/>
  <c r="AC19" i="4"/>
  <c r="AC18" i="4"/>
  <c r="AC16" i="4"/>
  <c r="AB19" i="4"/>
  <c r="AB18" i="4"/>
  <c r="AB16" i="4"/>
  <c r="AD17" i="4"/>
  <c r="AC17" i="4"/>
  <c r="AB17" i="4"/>
  <c r="AA19" i="4"/>
  <c r="AA18" i="4"/>
  <c r="AA16" i="4"/>
  <c r="AA17" i="4"/>
  <c r="AD13" i="4"/>
  <c r="AC13" i="4"/>
  <c r="AB13" i="4"/>
  <c r="AA13" i="4"/>
  <c r="AD9" i="4"/>
  <c r="AD7" i="4"/>
  <c r="AD6" i="4"/>
  <c r="AD5" i="4"/>
  <c r="AD3" i="4"/>
  <c r="AC9" i="4"/>
  <c r="AC7" i="4"/>
  <c r="AC6" i="4"/>
  <c r="AC5" i="4"/>
  <c r="AC3" i="4"/>
  <c r="AB9" i="4"/>
  <c r="AB7" i="4"/>
  <c r="AB6" i="4"/>
  <c r="AB5" i="4"/>
  <c r="AB3" i="4"/>
  <c r="AA9" i="4"/>
  <c r="AA7" i="4"/>
  <c r="AA6" i="4"/>
  <c r="AA5" i="4"/>
  <c r="AA3" i="4"/>
  <c r="Z40" i="4"/>
  <c r="Z39" i="4"/>
  <c r="Z38" i="4"/>
  <c r="Z37" i="4"/>
  <c r="Z34" i="4"/>
  <c r="Z33" i="4"/>
  <c r="Z32" i="4"/>
  <c r="Z30" i="4"/>
  <c r="Z26" i="4"/>
  <c r="Z22" i="4"/>
  <c r="Z19" i="4"/>
  <c r="Z18" i="4"/>
  <c r="Z17" i="4"/>
  <c r="Z16" i="4"/>
  <c r="Z13" i="4"/>
  <c r="Z9" i="4"/>
  <c r="Z7" i="4"/>
  <c r="Z6" i="4"/>
  <c r="Z5" i="4"/>
  <c r="Z3" i="4"/>
  <c r="AA83" i="8" l="1"/>
  <c r="BD55" i="9" s="1"/>
  <c r="J67" i="9"/>
  <c r="J68" i="9" s="1"/>
  <c r="AD98" i="8"/>
  <c r="BG70" i="9" s="1"/>
  <c r="AA154" i="8"/>
  <c r="BD90" i="9" s="1"/>
  <c r="BD89" i="9"/>
  <c r="AC156" i="8"/>
  <c r="BF92" i="9" s="1"/>
  <c r="BF91" i="9"/>
  <c r="H69" i="9" s="1"/>
  <c r="H70" i="9" s="1"/>
  <c r="I3" i="9"/>
  <c r="J6" i="9"/>
  <c r="F18" i="9"/>
  <c r="I18" i="9"/>
  <c r="AC21" i="8"/>
  <c r="BF22" i="9" s="1"/>
  <c r="AB25" i="8"/>
  <c r="BE26" i="9" s="1"/>
  <c r="BE25" i="9"/>
  <c r="G25" i="9" s="1"/>
  <c r="G26" i="9" s="1"/>
  <c r="AA29" i="8"/>
  <c r="BD30" i="9" s="1"/>
  <c r="BD29" i="9"/>
  <c r="F29" i="9" s="1"/>
  <c r="F30" i="9" s="1"/>
  <c r="AB154" i="8"/>
  <c r="BE90" i="9" s="1"/>
  <c r="BE89" i="9"/>
  <c r="J3" i="9"/>
  <c r="F15" i="9"/>
  <c r="G18" i="9"/>
  <c r="AB29" i="8"/>
  <c r="BE30" i="9" s="1"/>
  <c r="BE29" i="9"/>
  <c r="G29" i="9" s="1"/>
  <c r="G30" i="9" s="1"/>
  <c r="F39" i="9"/>
  <c r="AB98" i="8"/>
  <c r="BE70" i="9" s="1"/>
  <c r="BE69" i="9"/>
  <c r="G69" i="9" s="1"/>
  <c r="G70" i="9" s="1"/>
  <c r="AC154" i="8"/>
  <c r="BF90" i="9" s="1"/>
  <c r="BF89" i="9"/>
  <c r="F12" i="9"/>
  <c r="I12" i="9"/>
  <c r="G15" i="9"/>
  <c r="H18" i="9"/>
  <c r="AA23" i="8"/>
  <c r="BD24" i="9" s="1"/>
  <c r="BD23" i="9"/>
  <c r="F23" i="9" s="1"/>
  <c r="F24" i="9" s="1"/>
  <c r="AC29" i="8"/>
  <c r="BF30" i="9" s="1"/>
  <c r="BF29" i="9"/>
  <c r="H29" i="9" s="1"/>
  <c r="H30" i="9" s="1"/>
  <c r="F36" i="9"/>
  <c r="G39" i="9"/>
  <c r="H63" i="9"/>
  <c r="H62" i="9" s="1"/>
  <c r="AD156" i="8"/>
  <c r="BG92" i="9" s="1"/>
  <c r="AB21" i="8"/>
  <c r="BE22" i="9" s="1"/>
  <c r="BE21" i="9"/>
  <c r="G21" i="9" s="1"/>
  <c r="G22" i="9" s="1"/>
  <c r="AD29" i="8"/>
  <c r="BG30" i="9" s="1"/>
  <c r="BG29" i="9"/>
  <c r="I29" i="9" s="1"/>
  <c r="I30" i="9" s="1"/>
  <c r="AA96" i="8"/>
  <c r="BD68" i="9" s="1"/>
  <c r="BD67" i="9"/>
  <c r="AD141" i="8"/>
  <c r="BG77" i="9" s="1"/>
  <c r="BG76" i="9"/>
  <c r="I54" i="9" s="1"/>
  <c r="I55" i="9" s="1"/>
  <c r="I9" i="9"/>
  <c r="AB23" i="8"/>
  <c r="BE24" i="9" s="1"/>
  <c r="BE23" i="9"/>
  <c r="G23" i="9" s="1"/>
  <c r="G24" i="9" s="1"/>
  <c r="F6" i="9"/>
  <c r="G9" i="9"/>
  <c r="H12" i="9"/>
  <c r="J18" i="9"/>
  <c r="AC23" i="8"/>
  <c r="BF24" i="9" s="1"/>
  <c r="BF23" i="9"/>
  <c r="H23" i="9" s="1"/>
  <c r="H24" i="9" s="1"/>
  <c r="AA25" i="8"/>
  <c r="BD26" i="9" s="1"/>
  <c r="AA27" i="8"/>
  <c r="BD28" i="9" s="1"/>
  <c r="AC31" i="8"/>
  <c r="BF32" i="9" s="1"/>
  <c r="G33" i="9"/>
  <c r="H36" i="9"/>
  <c r="G54" i="9"/>
  <c r="G55" i="9" s="1"/>
  <c r="J63" i="9"/>
  <c r="J62" i="9" s="1"/>
  <c r="AB96" i="8"/>
  <c r="BE68" i="9" s="1"/>
  <c r="BE67" i="9"/>
  <c r="G67" i="9" s="1"/>
  <c r="G68" i="9" s="1"/>
  <c r="J69" i="9"/>
  <c r="J70" i="9" s="1"/>
  <c r="AD154" i="8"/>
  <c r="BG90" i="9" s="1"/>
  <c r="F3" i="9"/>
  <c r="J15" i="9"/>
  <c r="AD23" i="8"/>
  <c r="BG24" i="9" s="1"/>
  <c r="BG23" i="9"/>
  <c r="I23" i="9" s="1"/>
  <c r="I24" i="9" s="1"/>
  <c r="AC25" i="8"/>
  <c r="BF26" i="9" s="1"/>
  <c r="AB27" i="8"/>
  <c r="BE28" i="9" s="1"/>
  <c r="AD31" i="8"/>
  <c r="BG32" i="9" s="1"/>
  <c r="H33" i="9"/>
  <c r="I36" i="9"/>
  <c r="J39" i="9"/>
  <c r="F64" i="9"/>
  <c r="F62" i="9" s="1"/>
  <c r="AC96" i="8"/>
  <c r="BF68" i="9" s="1"/>
  <c r="BF67" i="9"/>
  <c r="H67" i="9" s="1"/>
  <c r="H68" i="9" s="1"/>
  <c r="AA98" i="8"/>
  <c r="BD70" i="9" s="1"/>
  <c r="AA141" i="8"/>
  <c r="BD77" i="9" s="1"/>
  <c r="AA156" i="8"/>
  <c r="BD92" i="9" s="1"/>
  <c r="BD91" i="9"/>
  <c r="F69" i="9" s="1"/>
  <c r="F70" i="9" s="1"/>
  <c r="I33" i="9"/>
  <c r="J36" i="9"/>
  <c r="G64" i="9"/>
  <c r="G62" i="9" s="1"/>
  <c r="AD96" i="8"/>
  <c r="BG68" i="9" s="1"/>
  <c r="BG67" i="9"/>
  <c r="I67" i="9" s="1"/>
  <c r="I68" i="9" s="1"/>
  <c r="AB141" i="8"/>
  <c r="BE77" i="9" s="1"/>
  <c r="AB156" i="8"/>
  <c r="BE92" i="9" s="1"/>
  <c r="BE91" i="9"/>
  <c r="O172" i="8"/>
  <c r="O171" i="8"/>
  <c r="P157" i="8"/>
  <c r="F67" i="9" l="1"/>
  <c r="F68" i="9" s="1"/>
  <c r="P99" i="8"/>
  <c r="P41" i="8"/>
  <c r="O41" i="6"/>
  <c r="O99" i="6"/>
  <c r="O99" i="7"/>
  <c r="O41" i="7"/>
  <c r="O99" i="5"/>
  <c r="O157" i="5"/>
  <c r="O41" i="5"/>
  <c r="AG7" i="1" l="1"/>
  <c r="AG9" i="1"/>
  <c r="AG6" i="1"/>
  <c r="AG8" i="1" s="1"/>
  <c r="AG3" i="1"/>
  <c r="N41" i="8" l="1"/>
  <c r="N99" i="8"/>
  <c r="N157" i="8"/>
  <c r="O157" i="8" s="1"/>
  <c r="M144" i="6"/>
  <c r="L144" i="6"/>
  <c r="K144" i="6"/>
  <c r="J144" i="6"/>
  <c r="N144" i="6" s="1"/>
  <c r="M86" i="6"/>
  <c r="L86" i="6"/>
  <c r="K86" i="6"/>
  <c r="J86" i="6"/>
  <c r="O170" i="8"/>
  <c r="O169" i="8"/>
  <c r="O168" i="8"/>
  <c r="O167" i="8"/>
  <c r="O166" i="8"/>
  <c r="O165" i="8"/>
  <c r="O163" i="8"/>
  <c r="O160" i="8"/>
  <c r="O159" i="8"/>
  <c r="O158" i="8"/>
  <c r="O156" i="8"/>
  <c r="J156" i="8"/>
  <c r="O155" i="8"/>
  <c r="J155" i="8"/>
  <c r="O154" i="8"/>
  <c r="J154" i="8"/>
  <c r="O153" i="8"/>
  <c r="J153" i="8"/>
  <c r="O152" i="8"/>
  <c r="J152" i="8"/>
  <c r="O151" i="8"/>
  <c r="J151" i="8"/>
  <c r="O150" i="8"/>
  <c r="J150" i="8"/>
  <c r="O149" i="8"/>
  <c r="J149" i="8"/>
  <c r="O148" i="8"/>
  <c r="J148" i="8"/>
  <c r="O147" i="8"/>
  <c r="J147" i="8"/>
  <c r="O146" i="8"/>
  <c r="J146" i="8"/>
  <c r="O145" i="8"/>
  <c r="J145" i="8"/>
  <c r="N144" i="8"/>
  <c r="M144" i="8"/>
  <c r="L144" i="8"/>
  <c r="K144" i="8"/>
  <c r="I144" i="8"/>
  <c r="H144" i="8"/>
  <c r="G144" i="8"/>
  <c r="F144" i="8"/>
  <c r="E144" i="8"/>
  <c r="AA151" i="8" s="1"/>
  <c r="D144" i="8"/>
  <c r="C144" i="8"/>
  <c r="O143" i="8"/>
  <c r="J143" i="8"/>
  <c r="O142" i="8"/>
  <c r="J142" i="8"/>
  <c r="O141" i="8"/>
  <c r="J141" i="8"/>
  <c r="O140" i="8"/>
  <c r="J140" i="8"/>
  <c r="O139" i="8"/>
  <c r="J139" i="8"/>
  <c r="O138" i="8"/>
  <c r="J138" i="8"/>
  <c r="O137" i="8"/>
  <c r="J137" i="8"/>
  <c r="O136" i="8"/>
  <c r="J136" i="8"/>
  <c r="O135" i="8"/>
  <c r="J135" i="8"/>
  <c r="O134" i="8"/>
  <c r="J134" i="8"/>
  <c r="O133" i="8"/>
  <c r="J133" i="8"/>
  <c r="O132" i="8"/>
  <c r="J132" i="8"/>
  <c r="O131" i="8"/>
  <c r="J131" i="8"/>
  <c r="O130" i="8"/>
  <c r="J130" i="8"/>
  <c r="O129" i="8"/>
  <c r="J129" i="8"/>
  <c r="O128" i="8"/>
  <c r="J128" i="8"/>
  <c r="O127" i="8"/>
  <c r="J127" i="8"/>
  <c r="O126" i="8"/>
  <c r="J126" i="8"/>
  <c r="O125" i="8"/>
  <c r="J125" i="8"/>
  <c r="O124" i="8"/>
  <c r="J124" i="8"/>
  <c r="O123" i="8"/>
  <c r="J123" i="8"/>
  <c r="O122" i="8"/>
  <c r="J122" i="8"/>
  <c r="O121" i="8"/>
  <c r="J121" i="8"/>
  <c r="O120" i="8"/>
  <c r="J120" i="8"/>
  <c r="O119" i="8"/>
  <c r="J119" i="8"/>
  <c r="O118" i="8"/>
  <c r="J118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J98" i="8"/>
  <c r="O97" i="8"/>
  <c r="J97" i="8"/>
  <c r="O96" i="8"/>
  <c r="J96" i="8"/>
  <c r="O95" i="8"/>
  <c r="J95" i="8"/>
  <c r="O94" i="8"/>
  <c r="J94" i="8"/>
  <c r="O93" i="8"/>
  <c r="J93" i="8"/>
  <c r="O92" i="8"/>
  <c r="J92" i="8"/>
  <c r="O91" i="8"/>
  <c r="J91" i="8"/>
  <c r="O90" i="8"/>
  <c r="J90" i="8"/>
  <c r="O89" i="8"/>
  <c r="J89" i="8"/>
  <c r="O88" i="8"/>
  <c r="J88" i="8"/>
  <c r="O87" i="8"/>
  <c r="J87" i="8"/>
  <c r="N86" i="8"/>
  <c r="M86" i="8"/>
  <c r="L86" i="8"/>
  <c r="K86" i="8"/>
  <c r="I86" i="8"/>
  <c r="H86" i="8"/>
  <c r="G86" i="8"/>
  <c r="F86" i="8"/>
  <c r="E86" i="8"/>
  <c r="AA93" i="8" s="1"/>
  <c r="D86" i="8"/>
  <c r="C86" i="8"/>
  <c r="O85" i="8"/>
  <c r="J85" i="8"/>
  <c r="O84" i="8"/>
  <c r="J84" i="8"/>
  <c r="O83" i="8"/>
  <c r="J83" i="8"/>
  <c r="O82" i="8"/>
  <c r="J82" i="8"/>
  <c r="O81" i="8"/>
  <c r="J81" i="8"/>
  <c r="O80" i="8"/>
  <c r="J80" i="8"/>
  <c r="O79" i="8"/>
  <c r="J79" i="8"/>
  <c r="O78" i="8"/>
  <c r="J78" i="8"/>
  <c r="O77" i="8"/>
  <c r="J77" i="8"/>
  <c r="O76" i="8"/>
  <c r="J76" i="8"/>
  <c r="O75" i="8"/>
  <c r="J75" i="8"/>
  <c r="O74" i="8"/>
  <c r="J74" i="8"/>
  <c r="O73" i="8"/>
  <c r="J73" i="8"/>
  <c r="O72" i="8"/>
  <c r="J72" i="8"/>
  <c r="O71" i="8"/>
  <c r="J71" i="8"/>
  <c r="O70" i="8"/>
  <c r="J70" i="8"/>
  <c r="O69" i="8"/>
  <c r="J69" i="8"/>
  <c r="O68" i="8"/>
  <c r="J68" i="8"/>
  <c r="O67" i="8"/>
  <c r="J67" i="8"/>
  <c r="O66" i="8"/>
  <c r="J66" i="8"/>
  <c r="O65" i="8"/>
  <c r="J65" i="8"/>
  <c r="O64" i="8"/>
  <c r="J64" i="8"/>
  <c r="O63" i="8"/>
  <c r="J63" i="8"/>
  <c r="O62" i="8"/>
  <c r="J62" i="8"/>
  <c r="O61" i="8"/>
  <c r="J61" i="8"/>
  <c r="O60" i="8"/>
  <c r="J60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J40" i="8"/>
  <c r="O39" i="8"/>
  <c r="J39" i="8"/>
  <c r="O38" i="8"/>
  <c r="J38" i="8"/>
  <c r="O37" i="8"/>
  <c r="J37" i="8"/>
  <c r="O36" i="8"/>
  <c r="J36" i="8"/>
  <c r="O35" i="8"/>
  <c r="J35" i="8"/>
  <c r="O34" i="8"/>
  <c r="J34" i="8"/>
  <c r="O33" i="8"/>
  <c r="J33" i="8"/>
  <c r="O32" i="8"/>
  <c r="J32" i="8"/>
  <c r="O31" i="8"/>
  <c r="J31" i="8"/>
  <c r="O30" i="8"/>
  <c r="J30" i="8"/>
  <c r="O29" i="8"/>
  <c r="J29" i="8"/>
  <c r="N28" i="8"/>
  <c r="M28" i="8"/>
  <c r="L28" i="8"/>
  <c r="K28" i="8"/>
  <c r="I28" i="8"/>
  <c r="H28" i="8"/>
  <c r="G28" i="8"/>
  <c r="F28" i="8"/>
  <c r="E28" i="8"/>
  <c r="D28" i="8"/>
  <c r="C28" i="8"/>
  <c r="O27" i="8"/>
  <c r="J27" i="8"/>
  <c r="O26" i="8"/>
  <c r="J26" i="8"/>
  <c r="O25" i="8"/>
  <c r="J25" i="8"/>
  <c r="O24" i="8"/>
  <c r="J24" i="8"/>
  <c r="O23" i="8"/>
  <c r="J23" i="8"/>
  <c r="O22" i="8"/>
  <c r="J22" i="8"/>
  <c r="O21" i="8"/>
  <c r="J21" i="8"/>
  <c r="O20" i="8"/>
  <c r="J20" i="8"/>
  <c r="O19" i="8"/>
  <c r="J19" i="8"/>
  <c r="O18" i="8"/>
  <c r="J18" i="8"/>
  <c r="O17" i="8"/>
  <c r="J17" i="8"/>
  <c r="O16" i="8"/>
  <c r="J16" i="8"/>
  <c r="O15" i="8"/>
  <c r="J15" i="8"/>
  <c r="O14" i="8"/>
  <c r="J14" i="8"/>
  <c r="O13" i="8"/>
  <c r="J13" i="8"/>
  <c r="O12" i="8"/>
  <c r="J12" i="8"/>
  <c r="O11" i="8"/>
  <c r="J11" i="8"/>
  <c r="O10" i="8"/>
  <c r="J10" i="8"/>
  <c r="O9" i="8"/>
  <c r="J9" i="8"/>
  <c r="O8" i="8"/>
  <c r="J8" i="8"/>
  <c r="O7" i="8"/>
  <c r="J7" i="8"/>
  <c r="O6" i="8"/>
  <c r="J6" i="8"/>
  <c r="O5" i="8"/>
  <c r="J5" i="8"/>
  <c r="O4" i="8"/>
  <c r="J4" i="8"/>
  <c r="O3" i="8"/>
  <c r="J3" i="8"/>
  <c r="O2" i="8"/>
  <c r="J2" i="8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I156" i="7"/>
  <c r="N155" i="7"/>
  <c r="I155" i="7"/>
  <c r="N154" i="7"/>
  <c r="I154" i="7"/>
  <c r="N153" i="7"/>
  <c r="I153" i="7"/>
  <c r="N152" i="7"/>
  <c r="I152" i="7"/>
  <c r="N151" i="7"/>
  <c r="I151" i="7"/>
  <c r="N150" i="7"/>
  <c r="I150" i="7"/>
  <c r="N149" i="7"/>
  <c r="I149" i="7"/>
  <c r="N148" i="7"/>
  <c r="I148" i="7"/>
  <c r="N147" i="7"/>
  <c r="I147" i="7"/>
  <c r="N146" i="7"/>
  <c r="I146" i="7"/>
  <c r="N145" i="7"/>
  <c r="I145" i="7"/>
  <c r="M144" i="7"/>
  <c r="L144" i="7"/>
  <c r="K144" i="7"/>
  <c r="J144" i="7"/>
  <c r="H144" i="7"/>
  <c r="G144" i="7"/>
  <c r="F144" i="7"/>
  <c r="E144" i="7"/>
  <c r="D144" i="7"/>
  <c r="C144" i="7"/>
  <c r="B144" i="7"/>
  <c r="N143" i="7"/>
  <c r="I143" i="7"/>
  <c r="N142" i="7"/>
  <c r="I142" i="7"/>
  <c r="N141" i="7"/>
  <c r="I141" i="7"/>
  <c r="N140" i="7"/>
  <c r="I140" i="7"/>
  <c r="N139" i="7"/>
  <c r="I139" i="7"/>
  <c r="N138" i="7"/>
  <c r="I138" i="7"/>
  <c r="N137" i="7"/>
  <c r="I137" i="7"/>
  <c r="N136" i="7"/>
  <c r="I136" i="7"/>
  <c r="N135" i="7"/>
  <c r="I135" i="7"/>
  <c r="N134" i="7"/>
  <c r="I134" i="7"/>
  <c r="N133" i="7"/>
  <c r="I133" i="7"/>
  <c r="N132" i="7"/>
  <c r="I132" i="7"/>
  <c r="N131" i="7"/>
  <c r="I131" i="7"/>
  <c r="N130" i="7"/>
  <c r="I130" i="7"/>
  <c r="N129" i="7"/>
  <c r="I129" i="7"/>
  <c r="N128" i="7"/>
  <c r="I128" i="7"/>
  <c r="N127" i="7"/>
  <c r="I127" i="7"/>
  <c r="N126" i="7"/>
  <c r="I126" i="7"/>
  <c r="N125" i="7"/>
  <c r="I125" i="7"/>
  <c r="N124" i="7"/>
  <c r="I124" i="7"/>
  <c r="N123" i="7"/>
  <c r="I123" i="7"/>
  <c r="N122" i="7"/>
  <c r="I122" i="7"/>
  <c r="N121" i="7"/>
  <c r="I121" i="7"/>
  <c r="N120" i="7"/>
  <c r="I120" i="7"/>
  <c r="N119" i="7"/>
  <c r="I119" i="7"/>
  <c r="N118" i="7"/>
  <c r="I118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I98" i="7"/>
  <c r="N97" i="7"/>
  <c r="I97" i="7"/>
  <c r="N96" i="7"/>
  <c r="I96" i="7"/>
  <c r="N95" i="7"/>
  <c r="I95" i="7"/>
  <c r="N94" i="7"/>
  <c r="I94" i="7"/>
  <c r="N93" i="7"/>
  <c r="I93" i="7"/>
  <c r="N92" i="7"/>
  <c r="I92" i="7"/>
  <c r="N91" i="7"/>
  <c r="I91" i="7"/>
  <c r="N90" i="7"/>
  <c r="I90" i="7"/>
  <c r="N89" i="7"/>
  <c r="I89" i="7"/>
  <c r="N88" i="7"/>
  <c r="I88" i="7"/>
  <c r="N87" i="7"/>
  <c r="I87" i="7"/>
  <c r="M86" i="7"/>
  <c r="L86" i="7"/>
  <c r="K86" i="7"/>
  <c r="J86" i="7"/>
  <c r="H86" i="7"/>
  <c r="G86" i="7"/>
  <c r="F86" i="7"/>
  <c r="E86" i="7"/>
  <c r="D86" i="7"/>
  <c r="C86" i="7"/>
  <c r="B86" i="7"/>
  <c r="N85" i="7"/>
  <c r="I85" i="7"/>
  <c r="N84" i="7"/>
  <c r="I84" i="7"/>
  <c r="N83" i="7"/>
  <c r="I83" i="7"/>
  <c r="N82" i="7"/>
  <c r="I82" i="7"/>
  <c r="N81" i="7"/>
  <c r="I81" i="7"/>
  <c r="N80" i="7"/>
  <c r="I80" i="7"/>
  <c r="N79" i="7"/>
  <c r="I79" i="7"/>
  <c r="N78" i="7"/>
  <c r="I78" i="7"/>
  <c r="N77" i="7"/>
  <c r="I77" i="7"/>
  <c r="N76" i="7"/>
  <c r="I76" i="7"/>
  <c r="N75" i="7"/>
  <c r="I75" i="7"/>
  <c r="N74" i="7"/>
  <c r="I74" i="7"/>
  <c r="N73" i="7"/>
  <c r="I73" i="7"/>
  <c r="N72" i="7"/>
  <c r="I72" i="7"/>
  <c r="N71" i="7"/>
  <c r="I71" i="7"/>
  <c r="N70" i="7"/>
  <c r="I70" i="7"/>
  <c r="N69" i="7"/>
  <c r="I69" i="7"/>
  <c r="N68" i="7"/>
  <c r="I68" i="7"/>
  <c r="N67" i="7"/>
  <c r="I67" i="7"/>
  <c r="N66" i="7"/>
  <c r="I66" i="7"/>
  <c r="N65" i="7"/>
  <c r="I65" i="7"/>
  <c r="N64" i="7"/>
  <c r="I64" i="7"/>
  <c r="N63" i="7"/>
  <c r="I63" i="7"/>
  <c r="N62" i="7"/>
  <c r="I62" i="7"/>
  <c r="N61" i="7"/>
  <c r="I61" i="7"/>
  <c r="N60" i="7"/>
  <c r="I60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I40" i="7"/>
  <c r="N39" i="7"/>
  <c r="I39" i="7"/>
  <c r="N38" i="7"/>
  <c r="I38" i="7"/>
  <c r="N37" i="7"/>
  <c r="I37" i="7"/>
  <c r="N36" i="7"/>
  <c r="I36" i="7"/>
  <c r="N35" i="7"/>
  <c r="I35" i="7"/>
  <c r="N34" i="7"/>
  <c r="I34" i="7"/>
  <c r="N33" i="7"/>
  <c r="I33" i="7"/>
  <c r="N32" i="7"/>
  <c r="I32" i="7"/>
  <c r="N31" i="7"/>
  <c r="I31" i="7"/>
  <c r="N30" i="7"/>
  <c r="I30" i="7"/>
  <c r="N29" i="7"/>
  <c r="I29" i="7"/>
  <c r="M28" i="7"/>
  <c r="L28" i="7"/>
  <c r="K28" i="7"/>
  <c r="J28" i="7"/>
  <c r="H28" i="7"/>
  <c r="G28" i="7"/>
  <c r="F28" i="7"/>
  <c r="E28" i="7"/>
  <c r="D28" i="7"/>
  <c r="C28" i="7"/>
  <c r="B28" i="7"/>
  <c r="N27" i="7"/>
  <c r="I27" i="7"/>
  <c r="N26" i="7"/>
  <c r="I26" i="7"/>
  <c r="N25" i="7"/>
  <c r="I25" i="7"/>
  <c r="N24" i="7"/>
  <c r="I24" i="7"/>
  <c r="N23" i="7"/>
  <c r="I23" i="7"/>
  <c r="N22" i="7"/>
  <c r="I22" i="7"/>
  <c r="N21" i="7"/>
  <c r="I21" i="7"/>
  <c r="N20" i="7"/>
  <c r="I20" i="7"/>
  <c r="N19" i="7"/>
  <c r="I19" i="7"/>
  <c r="N18" i="7"/>
  <c r="I18" i="7"/>
  <c r="N17" i="7"/>
  <c r="I17" i="7"/>
  <c r="N16" i="7"/>
  <c r="I16" i="7"/>
  <c r="N15" i="7"/>
  <c r="I15" i="7"/>
  <c r="N14" i="7"/>
  <c r="I14" i="7"/>
  <c r="N13" i="7"/>
  <c r="I13" i="7"/>
  <c r="N12" i="7"/>
  <c r="I12" i="7"/>
  <c r="N11" i="7"/>
  <c r="I11" i="7"/>
  <c r="N10" i="7"/>
  <c r="I10" i="7"/>
  <c r="N9" i="7"/>
  <c r="I9" i="7"/>
  <c r="N8" i="7"/>
  <c r="I8" i="7"/>
  <c r="N7" i="7"/>
  <c r="I7" i="7"/>
  <c r="N6" i="7"/>
  <c r="I6" i="7"/>
  <c r="N5" i="7"/>
  <c r="I5" i="7"/>
  <c r="N4" i="7"/>
  <c r="I4" i="7"/>
  <c r="N3" i="7"/>
  <c r="I3" i="7"/>
  <c r="N2" i="7"/>
  <c r="I2" i="7"/>
  <c r="M41" i="6"/>
  <c r="N41" i="6" s="1"/>
  <c r="M99" i="6"/>
  <c r="N99" i="6" s="1"/>
  <c r="J28" i="6"/>
  <c r="M28" i="6"/>
  <c r="L28" i="6"/>
  <c r="K28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I156" i="6"/>
  <c r="N155" i="6"/>
  <c r="I155" i="6"/>
  <c r="N154" i="6"/>
  <c r="I154" i="6"/>
  <c r="N153" i="6"/>
  <c r="I153" i="6"/>
  <c r="N152" i="6"/>
  <c r="I152" i="6"/>
  <c r="N151" i="6"/>
  <c r="I151" i="6"/>
  <c r="N150" i="6"/>
  <c r="I150" i="6"/>
  <c r="N149" i="6"/>
  <c r="I149" i="6"/>
  <c r="N148" i="6"/>
  <c r="I148" i="6"/>
  <c r="N147" i="6"/>
  <c r="I147" i="6"/>
  <c r="N146" i="6"/>
  <c r="I146" i="6"/>
  <c r="N145" i="6"/>
  <c r="I145" i="6"/>
  <c r="H144" i="6"/>
  <c r="G144" i="6"/>
  <c r="F144" i="6"/>
  <c r="E144" i="6"/>
  <c r="D144" i="6"/>
  <c r="C144" i="6"/>
  <c r="B144" i="6"/>
  <c r="N143" i="6"/>
  <c r="I143" i="6"/>
  <c r="N142" i="6"/>
  <c r="I142" i="6"/>
  <c r="N141" i="6"/>
  <c r="I141" i="6"/>
  <c r="N140" i="6"/>
  <c r="I140" i="6"/>
  <c r="N139" i="6"/>
  <c r="I139" i="6"/>
  <c r="N138" i="6"/>
  <c r="I138" i="6"/>
  <c r="N137" i="6"/>
  <c r="I137" i="6"/>
  <c r="N136" i="6"/>
  <c r="I136" i="6"/>
  <c r="N135" i="6"/>
  <c r="I135" i="6"/>
  <c r="N134" i="6"/>
  <c r="I134" i="6"/>
  <c r="N133" i="6"/>
  <c r="I133" i="6"/>
  <c r="N132" i="6"/>
  <c r="I132" i="6"/>
  <c r="N131" i="6"/>
  <c r="I131" i="6"/>
  <c r="N130" i="6"/>
  <c r="I130" i="6"/>
  <c r="N129" i="6"/>
  <c r="I129" i="6"/>
  <c r="N128" i="6"/>
  <c r="I128" i="6"/>
  <c r="N127" i="6"/>
  <c r="I127" i="6"/>
  <c r="N126" i="6"/>
  <c r="I126" i="6"/>
  <c r="N125" i="6"/>
  <c r="I125" i="6"/>
  <c r="N124" i="6"/>
  <c r="I124" i="6"/>
  <c r="N123" i="6"/>
  <c r="I123" i="6"/>
  <c r="N122" i="6"/>
  <c r="I122" i="6"/>
  <c r="N121" i="6"/>
  <c r="I121" i="6"/>
  <c r="N120" i="6"/>
  <c r="I120" i="6"/>
  <c r="N119" i="6"/>
  <c r="I119" i="6"/>
  <c r="N118" i="6"/>
  <c r="I118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8" i="6"/>
  <c r="I98" i="6"/>
  <c r="N97" i="6"/>
  <c r="I97" i="6"/>
  <c r="N96" i="6"/>
  <c r="I96" i="6"/>
  <c r="N95" i="6"/>
  <c r="I95" i="6"/>
  <c r="N94" i="6"/>
  <c r="I94" i="6"/>
  <c r="N93" i="6"/>
  <c r="I93" i="6"/>
  <c r="N92" i="6"/>
  <c r="I92" i="6"/>
  <c r="N91" i="6"/>
  <c r="I91" i="6"/>
  <c r="N90" i="6"/>
  <c r="I90" i="6"/>
  <c r="N89" i="6"/>
  <c r="I89" i="6"/>
  <c r="N88" i="6"/>
  <c r="I88" i="6"/>
  <c r="N87" i="6"/>
  <c r="I87" i="6"/>
  <c r="N86" i="6"/>
  <c r="H86" i="6"/>
  <c r="G86" i="6"/>
  <c r="F86" i="6"/>
  <c r="E86" i="6"/>
  <c r="D86" i="6"/>
  <c r="C86" i="6"/>
  <c r="B86" i="6"/>
  <c r="N85" i="6"/>
  <c r="I85" i="6"/>
  <c r="N84" i="6"/>
  <c r="I84" i="6"/>
  <c r="N83" i="6"/>
  <c r="I83" i="6"/>
  <c r="N82" i="6"/>
  <c r="I82" i="6"/>
  <c r="N81" i="6"/>
  <c r="I81" i="6"/>
  <c r="N80" i="6"/>
  <c r="I80" i="6"/>
  <c r="N79" i="6"/>
  <c r="I79" i="6"/>
  <c r="N78" i="6"/>
  <c r="I78" i="6"/>
  <c r="N77" i="6"/>
  <c r="I77" i="6"/>
  <c r="N76" i="6"/>
  <c r="I76" i="6"/>
  <c r="N75" i="6"/>
  <c r="I75" i="6"/>
  <c r="N74" i="6"/>
  <c r="I74" i="6"/>
  <c r="N73" i="6"/>
  <c r="I73" i="6"/>
  <c r="N72" i="6"/>
  <c r="I72" i="6"/>
  <c r="N71" i="6"/>
  <c r="I71" i="6"/>
  <c r="N70" i="6"/>
  <c r="I70" i="6"/>
  <c r="N69" i="6"/>
  <c r="I69" i="6"/>
  <c r="N68" i="6"/>
  <c r="I68" i="6"/>
  <c r="N67" i="6"/>
  <c r="I67" i="6"/>
  <c r="N66" i="6"/>
  <c r="I66" i="6"/>
  <c r="N65" i="6"/>
  <c r="I65" i="6"/>
  <c r="N64" i="6"/>
  <c r="I64" i="6"/>
  <c r="N63" i="6"/>
  <c r="I63" i="6"/>
  <c r="N62" i="6"/>
  <c r="I62" i="6"/>
  <c r="N61" i="6"/>
  <c r="I61" i="6"/>
  <c r="N60" i="6"/>
  <c r="I60" i="6"/>
  <c r="B28" i="6"/>
  <c r="C28" i="6"/>
  <c r="D28" i="6"/>
  <c r="E28" i="6"/>
  <c r="F28" i="6"/>
  <c r="G28" i="6"/>
  <c r="H28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0" i="6"/>
  <c r="I40" i="6"/>
  <c r="N39" i="6"/>
  <c r="I39" i="6"/>
  <c r="N38" i="6"/>
  <c r="I38" i="6"/>
  <c r="N37" i="6"/>
  <c r="I37" i="6"/>
  <c r="N36" i="6"/>
  <c r="I36" i="6"/>
  <c r="N35" i="6"/>
  <c r="I35" i="6"/>
  <c r="N34" i="6"/>
  <c r="I34" i="6"/>
  <c r="N33" i="6"/>
  <c r="I33" i="6"/>
  <c r="N32" i="6"/>
  <c r="I32" i="6"/>
  <c r="N31" i="6"/>
  <c r="I31" i="6"/>
  <c r="N30" i="6"/>
  <c r="I30" i="6"/>
  <c r="N29" i="6"/>
  <c r="I29" i="6"/>
  <c r="N27" i="6"/>
  <c r="I27" i="6"/>
  <c r="N26" i="6"/>
  <c r="I26" i="6"/>
  <c r="N25" i="6"/>
  <c r="I25" i="6"/>
  <c r="N24" i="6"/>
  <c r="I24" i="6"/>
  <c r="N23" i="6"/>
  <c r="I23" i="6"/>
  <c r="N22" i="6"/>
  <c r="I22" i="6"/>
  <c r="N21" i="6"/>
  <c r="I21" i="6"/>
  <c r="N20" i="6"/>
  <c r="I20" i="6"/>
  <c r="N19" i="6"/>
  <c r="I19" i="6"/>
  <c r="N18" i="6"/>
  <c r="I18" i="6"/>
  <c r="N17" i="6"/>
  <c r="I17" i="6"/>
  <c r="N16" i="6"/>
  <c r="I16" i="6"/>
  <c r="N15" i="6"/>
  <c r="I15" i="6"/>
  <c r="N14" i="6"/>
  <c r="I14" i="6"/>
  <c r="N13" i="6"/>
  <c r="I13" i="6"/>
  <c r="N12" i="6"/>
  <c r="I12" i="6"/>
  <c r="N11" i="6"/>
  <c r="I11" i="6"/>
  <c r="N10" i="6"/>
  <c r="I10" i="6"/>
  <c r="N9" i="6"/>
  <c r="I9" i="6"/>
  <c r="N8" i="6"/>
  <c r="I8" i="6"/>
  <c r="N7" i="6"/>
  <c r="I7" i="6"/>
  <c r="N6" i="6"/>
  <c r="I6" i="6"/>
  <c r="N5" i="6"/>
  <c r="I5" i="6"/>
  <c r="N4" i="6"/>
  <c r="I4" i="6"/>
  <c r="N3" i="6"/>
  <c r="I3" i="6"/>
  <c r="N2" i="6"/>
  <c r="I2" i="6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M157" i="5"/>
  <c r="N157" i="5" s="1"/>
  <c r="M99" i="5"/>
  <c r="N99" i="5" s="1"/>
  <c r="M41" i="5"/>
  <c r="N41" i="5" s="1"/>
  <c r="AB151" i="8" l="1"/>
  <c r="AB93" i="8"/>
  <c r="AE151" i="8"/>
  <c r="BH87" i="9" s="1"/>
  <c r="AD151" i="8"/>
  <c r="AC151" i="8"/>
  <c r="BD87" i="9"/>
  <c r="AA152" i="8"/>
  <c r="BD88" i="9" s="1"/>
  <c r="AC93" i="8"/>
  <c r="BD65" i="9"/>
  <c r="AA94" i="8"/>
  <c r="BD66" i="9" s="1"/>
  <c r="AE93" i="8"/>
  <c r="BH65" i="9" s="1"/>
  <c r="J65" i="9" s="1"/>
  <c r="J66" i="9" s="1"/>
  <c r="AD93" i="8"/>
  <c r="N28" i="6"/>
  <c r="O144" i="8"/>
  <c r="J144" i="8"/>
  <c r="O86" i="8"/>
  <c r="J86" i="8"/>
  <c r="O28" i="8"/>
  <c r="N144" i="7"/>
  <c r="I144" i="7"/>
  <c r="N86" i="7"/>
  <c r="I86" i="7"/>
  <c r="N28" i="7"/>
  <c r="J28" i="8"/>
  <c r="I28" i="7"/>
  <c r="I144" i="6"/>
  <c r="I86" i="6"/>
  <c r="I28" i="6"/>
  <c r="N156" i="5"/>
  <c r="I156" i="5"/>
  <c r="N155" i="5"/>
  <c r="I155" i="5"/>
  <c r="N154" i="5"/>
  <c r="I154" i="5"/>
  <c r="N153" i="5"/>
  <c r="I153" i="5"/>
  <c r="N152" i="5"/>
  <c r="I152" i="5"/>
  <c r="N151" i="5"/>
  <c r="I151" i="5"/>
  <c r="N150" i="5"/>
  <c r="I150" i="5"/>
  <c r="N149" i="5"/>
  <c r="I149" i="5"/>
  <c r="N148" i="5"/>
  <c r="I148" i="5"/>
  <c r="N147" i="5"/>
  <c r="I147" i="5"/>
  <c r="N146" i="5"/>
  <c r="I146" i="5"/>
  <c r="N145" i="5"/>
  <c r="I145" i="5"/>
  <c r="M144" i="5"/>
  <c r="L144" i="5"/>
  <c r="K144" i="5"/>
  <c r="J144" i="5"/>
  <c r="H144" i="5"/>
  <c r="G144" i="5"/>
  <c r="F144" i="5"/>
  <c r="E144" i="5"/>
  <c r="D144" i="5"/>
  <c r="C144" i="5"/>
  <c r="B144" i="5"/>
  <c r="N143" i="5"/>
  <c r="I143" i="5"/>
  <c r="N142" i="5"/>
  <c r="I142" i="5"/>
  <c r="N141" i="5"/>
  <c r="I141" i="5"/>
  <c r="N140" i="5"/>
  <c r="I140" i="5"/>
  <c r="N139" i="5"/>
  <c r="I139" i="5"/>
  <c r="N138" i="5"/>
  <c r="I138" i="5"/>
  <c r="N137" i="5"/>
  <c r="I137" i="5"/>
  <c r="N136" i="5"/>
  <c r="I136" i="5"/>
  <c r="N135" i="5"/>
  <c r="I135" i="5"/>
  <c r="N134" i="5"/>
  <c r="I134" i="5"/>
  <c r="N133" i="5"/>
  <c r="I133" i="5"/>
  <c r="N132" i="5"/>
  <c r="I132" i="5"/>
  <c r="N131" i="5"/>
  <c r="I131" i="5"/>
  <c r="N130" i="5"/>
  <c r="I130" i="5"/>
  <c r="N129" i="5"/>
  <c r="I129" i="5"/>
  <c r="N128" i="5"/>
  <c r="I128" i="5"/>
  <c r="N127" i="5"/>
  <c r="I127" i="5"/>
  <c r="N126" i="5"/>
  <c r="I126" i="5"/>
  <c r="N125" i="5"/>
  <c r="I125" i="5"/>
  <c r="N124" i="5"/>
  <c r="I124" i="5"/>
  <c r="N123" i="5"/>
  <c r="I123" i="5"/>
  <c r="N122" i="5"/>
  <c r="I122" i="5"/>
  <c r="N121" i="5"/>
  <c r="I121" i="5"/>
  <c r="N120" i="5"/>
  <c r="I120" i="5"/>
  <c r="N119" i="5"/>
  <c r="I119" i="5"/>
  <c r="N118" i="5"/>
  <c r="I118" i="5"/>
  <c r="N98" i="5"/>
  <c r="I98" i="5"/>
  <c r="N97" i="5"/>
  <c r="I97" i="5"/>
  <c r="N96" i="5"/>
  <c r="I96" i="5"/>
  <c r="N95" i="5"/>
  <c r="I95" i="5"/>
  <c r="N94" i="5"/>
  <c r="I94" i="5"/>
  <c r="N93" i="5"/>
  <c r="I93" i="5"/>
  <c r="N92" i="5"/>
  <c r="I92" i="5"/>
  <c r="N91" i="5"/>
  <c r="I91" i="5"/>
  <c r="N90" i="5"/>
  <c r="I90" i="5"/>
  <c r="N89" i="5"/>
  <c r="I89" i="5"/>
  <c r="N88" i="5"/>
  <c r="I88" i="5"/>
  <c r="N87" i="5"/>
  <c r="I87" i="5"/>
  <c r="M86" i="5"/>
  <c r="L86" i="5"/>
  <c r="K86" i="5"/>
  <c r="J86" i="5"/>
  <c r="H86" i="5"/>
  <c r="G86" i="5"/>
  <c r="F86" i="5"/>
  <c r="E86" i="5"/>
  <c r="D86" i="5"/>
  <c r="C86" i="5"/>
  <c r="B86" i="5"/>
  <c r="N85" i="5"/>
  <c r="I85" i="5"/>
  <c r="N84" i="5"/>
  <c r="I84" i="5"/>
  <c r="N83" i="5"/>
  <c r="I83" i="5"/>
  <c r="N82" i="5"/>
  <c r="I82" i="5"/>
  <c r="N81" i="5"/>
  <c r="I81" i="5"/>
  <c r="N80" i="5"/>
  <c r="I80" i="5"/>
  <c r="N79" i="5"/>
  <c r="I79" i="5"/>
  <c r="N78" i="5"/>
  <c r="I78" i="5"/>
  <c r="N77" i="5"/>
  <c r="I77" i="5"/>
  <c r="N76" i="5"/>
  <c r="I76" i="5"/>
  <c r="N75" i="5"/>
  <c r="I75" i="5"/>
  <c r="N74" i="5"/>
  <c r="I74" i="5"/>
  <c r="N73" i="5"/>
  <c r="I73" i="5"/>
  <c r="N72" i="5"/>
  <c r="I72" i="5"/>
  <c r="N71" i="5"/>
  <c r="I71" i="5"/>
  <c r="N70" i="5"/>
  <c r="I70" i="5"/>
  <c r="N69" i="5"/>
  <c r="I69" i="5"/>
  <c r="N68" i="5"/>
  <c r="I68" i="5"/>
  <c r="N67" i="5"/>
  <c r="I67" i="5"/>
  <c r="N66" i="5"/>
  <c r="I66" i="5"/>
  <c r="N65" i="5"/>
  <c r="I65" i="5"/>
  <c r="N64" i="5"/>
  <c r="I64" i="5"/>
  <c r="N63" i="5"/>
  <c r="I63" i="5"/>
  <c r="N62" i="5"/>
  <c r="I62" i="5"/>
  <c r="N61" i="5"/>
  <c r="I61" i="5"/>
  <c r="N60" i="5"/>
  <c r="I60" i="5"/>
  <c r="I23" i="5"/>
  <c r="I20" i="5"/>
  <c r="I21" i="5"/>
  <c r="I22" i="5"/>
  <c r="D28" i="5"/>
  <c r="D28" i="4"/>
  <c r="D86" i="4"/>
  <c r="I81" i="4"/>
  <c r="I80" i="4"/>
  <c r="I79" i="4"/>
  <c r="I78" i="4"/>
  <c r="I22" i="4"/>
  <c r="I21" i="4"/>
  <c r="I20" i="4"/>
  <c r="I64" i="4"/>
  <c r="N156" i="4"/>
  <c r="I156" i="4"/>
  <c r="N155" i="4"/>
  <c r="I155" i="4"/>
  <c r="N154" i="4"/>
  <c r="I154" i="4"/>
  <c r="N152" i="4"/>
  <c r="I152" i="4"/>
  <c r="N151" i="4"/>
  <c r="I151" i="4"/>
  <c r="N150" i="4"/>
  <c r="I150" i="4"/>
  <c r="N149" i="4"/>
  <c r="I149" i="4"/>
  <c r="N148" i="4"/>
  <c r="I148" i="4"/>
  <c r="N147" i="4"/>
  <c r="I147" i="4"/>
  <c r="N146" i="4"/>
  <c r="I146" i="4"/>
  <c r="N145" i="4"/>
  <c r="I145" i="4"/>
  <c r="N142" i="4"/>
  <c r="I142" i="4"/>
  <c r="N141" i="4"/>
  <c r="I141" i="4"/>
  <c r="N140" i="4"/>
  <c r="I140" i="4"/>
  <c r="N129" i="4"/>
  <c r="I129" i="4"/>
  <c r="N128" i="4"/>
  <c r="I128" i="4"/>
  <c r="N127" i="4"/>
  <c r="I127" i="4"/>
  <c r="N126" i="4"/>
  <c r="I126" i="4"/>
  <c r="N125" i="4"/>
  <c r="I125" i="4"/>
  <c r="N124" i="4"/>
  <c r="I124" i="4"/>
  <c r="N122" i="4"/>
  <c r="I122" i="4"/>
  <c r="N121" i="4"/>
  <c r="I121" i="4"/>
  <c r="N120" i="4"/>
  <c r="I120" i="4"/>
  <c r="N119" i="4"/>
  <c r="I119" i="4"/>
  <c r="N118" i="4"/>
  <c r="I118" i="4"/>
  <c r="N98" i="4"/>
  <c r="I98" i="4"/>
  <c r="N97" i="4"/>
  <c r="I97" i="4"/>
  <c r="N96" i="4"/>
  <c r="I96" i="4"/>
  <c r="N95" i="4"/>
  <c r="I95" i="4"/>
  <c r="N94" i="4"/>
  <c r="I94" i="4"/>
  <c r="N92" i="4"/>
  <c r="I92" i="4"/>
  <c r="N91" i="4"/>
  <c r="I91" i="4"/>
  <c r="N90" i="4"/>
  <c r="I90" i="4"/>
  <c r="N89" i="4"/>
  <c r="I89" i="4"/>
  <c r="N88" i="4"/>
  <c r="I88" i="4"/>
  <c r="N87" i="4"/>
  <c r="I87" i="4"/>
  <c r="M86" i="4"/>
  <c r="L86" i="4"/>
  <c r="K86" i="4"/>
  <c r="J86" i="4"/>
  <c r="H86" i="4"/>
  <c r="G86" i="4"/>
  <c r="F86" i="4"/>
  <c r="E86" i="4"/>
  <c r="C86" i="4"/>
  <c r="B86" i="4"/>
  <c r="N85" i="4"/>
  <c r="I85" i="4"/>
  <c r="N84" i="4"/>
  <c r="I84" i="4"/>
  <c r="N82" i="4"/>
  <c r="I82" i="4"/>
  <c r="N81" i="4"/>
  <c r="N80" i="4"/>
  <c r="N79" i="4"/>
  <c r="N78" i="4"/>
  <c r="N77" i="4"/>
  <c r="I77" i="4"/>
  <c r="N76" i="4"/>
  <c r="I76" i="4"/>
  <c r="N75" i="4"/>
  <c r="I75" i="4"/>
  <c r="N74" i="4"/>
  <c r="I74" i="4"/>
  <c r="N72" i="4"/>
  <c r="I72" i="4"/>
  <c r="N71" i="4"/>
  <c r="I71" i="4"/>
  <c r="N70" i="4"/>
  <c r="I70" i="4"/>
  <c r="N69" i="4"/>
  <c r="I69" i="4"/>
  <c r="N68" i="4"/>
  <c r="I68" i="4"/>
  <c r="N67" i="4"/>
  <c r="I67" i="4"/>
  <c r="N66" i="4"/>
  <c r="I66" i="4"/>
  <c r="N65" i="4"/>
  <c r="I65" i="4"/>
  <c r="N64" i="4"/>
  <c r="N62" i="4"/>
  <c r="I62" i="4"/>
  <c r="N61" i="4"/>
  <c r="I61" i="4"/>
  <c r="N60" i="4"/>
  <c r="I60" i="4"/>
  <c r="N4" i="4"/>
  <c r="N5" i="4"/>
  <c r="N6" i="4"/>
  <c r="N7" i="4"/>
  <c r="N8" i="4"/>
  <c r="N9" i="4"/>
  <c r="N2" i="4"/>
  <c r="I4" i="4"/>
  <c r="I5" i="4"/>
  <c r="I6" i="4"/>
  <c r="I7" i="4"/>
  <c r="I8" i="4"/>
  <c r="I9" i="4"/>
  <c r="I2" i="4"/>
  <c r="N40" i="5"/>
  <c r="I40" i="5"/>
  <c r="N39" i="5"/>
  <c r="I39" i="5"/>
  <c r="N38" i="5"/>
  <c r="I38" i="5"/>
  <c r="N37" i="5"/>
  <c r="I37" i="5"/>
  <c r="N36" i="5"/>
  <c r="I36" i="5"/>
  <c r="N35" i="5"/>
  <c r="I35" i="5"/>
  <c r="N34" i="5"/>
  <c r="I34" i="5"/>
  <c r="N33" i="5"/>
  <c r="I33" i="5"/>
  <c r="N32" i="5"/>
  <c r="I32" i="5"/>
  <c r="N31" i="5"/>
  <c r="I31" i="5"/>
  <c r="N30" i="5"/>
  <c r="I30" i="5"/>
  <c r="N29" i="5"/>
  <c r="I29" i="5"/>
  <c r="M28" i="5"/>
  <c r="L28" i="5"/>
  <c r="K28" i="5"/>
  <c r="J28" i="5"/>
  <c r="H28" i="5"/>
  <c r="G28" i="5"/>
  <c r="F28" i="5"/>
  <c r="E28" i="5"/>
  <c r="C28" i="5"/>
  <c r="B28" i="5"/>
  <c r="N27" i="5"/>
  <c r="I27" i="5"/>
  <c r="N26" i="5"/>
  <c r="I26" i="5"/>
  <c r="N25" i="5"/>
  <c r="I25" i="5"/>
  <c r="N24" i="5"/>
  <c r="I24" i="5"/>
  <c r="N23" i="5"/>
  <c r="N22" i="5"/>
  <c r="N21" i="5"/>
  <c r="N20" i="5"/>
  <c r="N19" i="5"/>
  <c r="I19" i="5"/>
  <c r="N18" i="5"/>
  <c r="I18" i="5"/>
  <c r="N17" i="5"/>
  <c r="I17" i="5"/>
  <c r="N16" i="5"/>
  <c r="I16" i="5"/>
  <c r="N15" i="5"/>
  <c r="I15" i="5"/>
  <c r="N14" i="5"/>
  <c r="I14" i="5"/>
  <c r="N13" i="5"/>
  <c r="I13" i="5"/>
  <c r="N12" i="5"/>
  <c r="I12" i="5"/>
  <c r="N11" i="5"/>
  <c r="I11" i="5"/>
  <c r="N10" i="5"/>
  <c r="I10" i="5"/>
  <c r="N9" i="5"/>
  <c r="I9" i="5"/>
  <c r="N8" i="5"/>
  <c r="I8" i="5"/>
  <c r="N7" i="5"/>
  <c r="I7" i="5"/>
  <c r="N6" i="5"/>
  <c r="I6" i="5"/>
  <c r="N5" i="5"/>
  <c r="I5" i="5"/>
  <c r="N4" i="5"/>
  <c r="I4" i="5"/>
  <c r="N3" i="5"/>
  <c r="I3" i="5"/>
  <c r="N2" i="5"/>
  <c r="I2" i="5"/>
  <c r="N40" i="4"/>
  <c r="I40" i="4"/>
  <c r="N29" i="4"/>
  <c r="I29" i="4"/>
  <c r="M28" i="4"/>
  <c r="L28" i="4"/>
  <c r="K28" i="4"/>
  <c r="J28" i="4"/>
  <c r="H28" i="4"/>
  <c r="G28" i="4"/>
  <c r="F28" i="4"/>
  <c r="E28" i="4"/>
  <c r="C28" i="4"/>
  <c r="B28" i="4"/>
  <c r="N27" i="4"/>
  <c r="I27" i="4"/>
  <c r="N26" i="4"/>
  <c r="I26" i="4"/>
  <c r="N25" i="4"/>
  <c r="I25" i="4"/>
  <c r="N24" i="4"/>
  <c r="I24" i="4"/>
  <c r="N22" i="4"/>
  <c r="N21" i="4"/>
  <c r="N20" i="4"/>
  <c r="N19" i="4"/>
  <c r="I19" i="4"/>
  <c r="N18" i="4"/>
  <c r="I18" i="4"/>
  <c r="N17" i="4"/>
  <c r="I17" i="4"/>
  <c r="N16" i="4"/>
  <c r="I16" i="4"/>
  <c r="N15" i="4"/>
  <c r="I15" i="4"/>
  <c r="N14" i="4"/>
  <c r="I14" i="4"/>
  <c r="N12" i="4"/>
  <c r="I12" i="4"/>
  <c r="N11" i="4"/>
  <c r="I11" i="4"/>
  <c r="N10" i="4"/>
  <c r="I10" i="4"/>
  <c r="R41" i="1"/>
  <c r="F21" i="3"/>
  <c r="E21" i="3"/>
  <c r="D21" i="3"/>
  <c r="F20" i="3"/>
  <c r="E20" i="3"/>
  <c r="D20" i="3"/>
  <c r="F16" i="3"/>
  <c r="E16" i="3"/>
  <c r="D16" i="3"/>
  <c r="F13" i="3"/>
  <c r="E13" i="3"/>
  <c r="D13" i="3"/>
  <c r="F10" i="3"/>
  <c r="E10" i="3"/>
  <c r="D10" i="3"/>
  <c r="F7" i="3"/>
  <c r="E7" i="3"/>
  <c r="D7" i="3"/>
  <c r="F4" i="3"/>
  <c r="E4" i="3"/>
  <c r="D4" i="3"/>
  <c r="F3" i="3"/>
  <c r="E3" i="3"/>
  <c r="D3" i="3"/>
  <c r="BF65" i="9" l="1"/>
  <c r="AC94" i="8"/>
  <c r="BF66" i="9" s="1"/>
  <c r="BF87" i="9"/>
  <c r="AC152" i="8"/>
  <c r="BF88" i="9" s="1"/>
  <c r="AD152" i="8"/>
  <c r="BG88" i="9" s="1"/>
  <c r="BG87" i="9"/>
  <c r="BG65" i="9"/>
  <c r="I65" i="9" s="1"/>
  <c r="I66" i="9" s="1"/>
  <c r="AD94" i="8"/>
  <c r="BG66" i="9" s="1"/>
  <c r="BE65" i="9"/>
  <c r="AB94" i="8"/>
  <c r="BE66" i="9" s="1"/>
  <c r="F65" i="9"/>
  <c r="F66" i="9" s="1"/>
  <c r="BE87" i="9"/>
  <c r="AB152" i="8"/>
  <c r="BE88" i="9" s="1"/>
  <c r="N28" i="5"/>
  <c r="N144" i="5"/>
  <c r="I144" i="5"/>
  <c r="N86" i="5"/>
  <c r="I86" i="5"/>
  <c r="I28" i="5"/>
  <c r="N86" i="4"/>
  <c r="I86" i="4"/>
  <c r="I28" i="4"/>
  <c r="N28" i="4"/>
  <c r="Z2" i="1"/>
  <c r="AG11" i="1"/>
  <c r="AK9" i="1"/>
  <c r="AJ10" i="1"/>
  <c r="AJ9" i="1"/>
  <c r="AI9" i="1"/>
  <c r="AI10" i="1"/>
  <c r="AH10" i="1"/>
  <c r="AH9" i="1"/>
  <c r="AG10" i="1"/>
  <c r="AA21" i="1"/>
  <c r="AB21" i="1"/>
  <c r="AC21" i="1"/>
  <c r="AD21" i="1"/>
  <c r="AD19" i="1"/>
  <c r="AD18" i="1"/>
  <c r="AD20" i="1" s="1"/>
  <c r="AC19" i="1"/>
  <c r="AC18" i="1"/>
  <c r="AC20" i="1" s="1"/>
  <c r="AB19" i="1"/>
  <c r="AB18" i="1"/>
  <c r="AA19" i="1"/>
  <c r="AA18" i="1"/>
  <c r="AA20" i="1" s="1"/>
  <c r="AC7" i="1"/>
  <c r="AB7" i="1"/>
  <c r="AA7" i="1"/>
  <c r="Z7" i="1"/>
  <c r="AJ7" i="1"/>
  <c r="AJ6" i="1"/>
  <c r="AJ4" i="1"/>
  <c r="AJ3" i="1"/>
  <c r="AI7" i="1"/>
  <c r="AI6" i="1"/>
  <c r="AI3" i="1"/>
  <c r="AI4" i="1"/>
  <c r="AH7" i="1"/>
  <c r="AH6" i="1"/>
  <c r="AH8" i="1" s="1"/>
  <c r="AH4" i="1"/>
  <c r="AH3" i="1"/>
  <c r="AG4" i="1"/>
  <c r="AC12" i="1"/>
  <c r="AC13" i="1" s="1"/>
  <c r="AB12" i="1"/>
  <c r="AB13" i="1" s="1"/>
  <c r="AA12" i="1"/>
  <c r="AA13" i="1" s="1"/>
  <c r="Z12" i="1"/>
  <c r="Z13" i="1" s="1"/>
  <c r="AC3" i="1"/>
  <c r="AB3" i="1"/>
  <c r="AA3" i="1"/>
  <c r="Z3" i="1"/>
  <c r="AC2" i="1"/>
  <c r="AB2" i="1"/>
  <c r="AA2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S28" i="1"/>
  <c r="R28" i="1"/>
  <c r="Q28" i="1"/>
  <c r="P28" i="1"/>
  <c r="O28" i="1"/>
  <c r="N28" i="1"/>
  <c r="M28" i="1"/>
  <c r="L28" i="1"/>
  <c r="K28" i="1"/>
  <c r="J28" i="1"/>
  <c r="AG12" i="1" s="1"/>
  <c r="AG14" i="1" s="1"/>
  <c r="H28" i="1"/>
  <c r="G28" i="1"/>
  <c r="F28" i="1"/>
  <c r="E28" i="1"/>
  <c r="C28" i="1"/>
  <c r="B28" i="1"/>
  <c r="T27" i="1"/>
  <c r="I27" i="1"/>
  <c r="T26" i="1"/>
  <c r="I26" i="1"/>
  <c r="T25" i="1"/>
  <c r="I25" i="1"/>
  <c r="T24" i="1"/>
  <c r="I24" i="1"/>
  <c r="T23" i="1"/>
  <c r="T22" i="1"/>
  <c r="T21" i="1"/>
  <c r="T20" i="1"/>
  <c r="AE19" i="1" s="1"/>
  <c r="T19" i="1"/>
  <c r="AE18" i="1" s="1"/>
  <c r="AE20" i="1" s="1"/>
  <c r="I19" i="1"/>
  <c r="T18" i="1"/>
  <c r="I18" i="1"/>
  <c r="T17" i="1"/>
  <c r="I17" i="1"/>
  <c r="T16" i="1"/>
  <c r="I16" i="1"/>
  <c r="T15" i="1"/>
  <c r="AK3" i="1" s="1"/>
  <c r="I15" i="1"/>
  <c r="T14" i="1"/>
  <c r="AK4" i="1" s="1"/>
  <c r="I14" i="1"/>
  <c r="T13" i="1"/>
  <c r="I13" i="1"/>
  <c r="T12" i="1"/>
  <c r="AK6" i="1" s="1"/>
  <c r="I12" i="1"/>
  <c r="T11" i="1"/>
  <c r="AK10" i="1" s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  <c r="G65" i="9" l="1"/>
  <c r="G66" i="9" s="1"/>
  <c r="H65" i="9"/>
  <c r="H66" i="9" s="1"/>
  <c r="AH11" i="1"/>
  <c r="AI5" i="1"/>
  <c r="AE21" i="1"/>
  <c r="AH12" i="1"/>
  <c r="AI12" i="1"/>
  <c r="AI8" i="1"/>
  <c r="AI11" i="1"/>
  <c r="I28" i="1"/>
  <c r="AJ5" i="1"/>
  <c r="AJ11" i="1"/>
  <c r="AD12" i="1"/>
  <c r="AD13" i="1" s="1"/>
  <c r="AD7" i="1"/>
  <c r="AK5" i="1"/>
  <c r="AB20" i="1"/>
  <c r="AD2" i="1"/>
  <c r="AH5" i="1"/>
  <c r="AH13" i="1" s="1"/>
  <c r="AD3" i="1"/>
  <c r="AJ8" i="1"/>
  <c r="AJ12" i="1"/>
  <c r="T28" i="1"/>
  <c r="AK12" i="1" s="1"/>
  <c r="AJ13" i="1"/>
  <c r="AK11" i="1"/>
  <c r="AK13" i="1" s="1"/>
  <c r="AI13" i="1"/>
  <c r="AH14" i="1"/>
  <c r="AG5" i="1"/>
  <c r="AG13" i="1" s="1"/>
  <c r="AK7" i="1"/>
  <c r="AK8" i="1" s="1"/>
  <c r="AI14" i="1" l="1"/>
  <c r="AJ14" i="1"/>
  <c r="AK14" i="1"/>
  <c r="I144" i="4"/>
  <c r="N144" i="4"/>
</calcChain>
</file>

<file path=xl/sharedStrings.xml><?xml version="1.0" encoding="utf-8"?>
<sst xmlns="http://schemas.openxmlformats.org/spreadsheetml/2006/main" count="3157" uniqueCount="334">
  <si>
    <t>Jan to Mar 2023</t>
  </si>
  <si>
    <t>Apr to Jun 2023</t>
  </si>
  <si>
    <t>Jul-Aug
2023</t>
  </si>
  <si>
    <t>Sep-Dec
2023</t>
  </si>
  <si>
    <t>2023 TOTAL</t>
  </si>
  <si>
    <t>Jan to Mar 2024</t>
  </si>
  <si>
    <t>2024 TOTAL</t>
  </si>
  <si>
    <t>MOH 706 Rev 2020_Malaria Rapid diagnostic Tests (Under five years)  Number Positive</t>
  </si>
  <si>
    <t>MOH 706 Rev 2020_Malaria Rapid diagnostic test (5 years and above)  Number Positive</t>
  </si>
  <si>
    <t>MOH 706_Malaria BS (5 years and above)  Number Positive</t>
  </si>
  <si>
    <t>MOH 706_Malaria BS (Under five years)  Number Positive</t>
  </si>
  <si>
    <t>MOH 706 Rev 2020_Malaria Rapid diagnostic Tests (Under five years) Total Exam</t>
  </si>
  <si>
    <t>MOH 706 Rev 2020_Malaria Rapid diagnostic test (5 years and above) Total Exam</t>
  </si>
  <si>
    <t>MOH 706_Malaria BS (5 years and above) Total Exam</t>
  </si>
  <si>
    <t>MOH 706_Malaria BS (Under five years) Total Exam</t>
  </si>
  <si>
    <t>Confirmed Malaria (only Positive cases) &lt;5 yrs</t>
  </si>
  <si>
    <t>MOH 705A Rev 2020_ Tested for Malaria &lt;5 yrs</t>
  </si>
  <si>
    <t>Confirmed Malaria (only Positive cases) &gt;5 yrs</t>
  </si>
  <si>
    <t>MOH 705B Rev 2020_ Tested for Malaria &gt;5 yrs</t>
  </si>
  <si>
    <t>Suspected  Malaria &lt;5 yrs</t>
  </si>
  <si>
    <t>Suspected  Malaria &gt;5 yrs</t>
  </si>
  <si>
    <t>MOH 705B Rev 2020_ Malaria in Pregnancy</t>
  </si>
  <si>
    <t>MOH 711 Clients given IPT 1st Dose</t>
  </si>
  <si>
    <t>MOH 711 Clients given IPT 2nd Dose</t>
  </si>
  <si>
    <t>MOH 711 Rev 2020_Clients given IPT 3rd Dose</t>
  </si>
  <si>
    <t>MOH 711New ANC clients</t>
  </si>
  <si>
    <t>MOH 711 Re-visit ANC clients</t>
  </si>
  <si>
    <t>MOH 711Pregnant Women Completing 4 ANC visits</t>
  </si>
  <si>
    <t>MOH 711No. Of clients completed 8th ANC contact</t>
  </si>
  <si>
    <t>MOH 743 Rev2020_Patients on AL by Weight Band Summary Report 5 -14 kgs</t>
  </si>
  <si>
    <t>MOH 743 Rev2020_Patients on AL by Weight Band Summary Report 15 - 24kgs</t>
  </si>
  <si>
    <t>MOH 743 Rev2020_Patients on AL by Weight Band Summary Report 25 - 34kgs</t>
  </si>
  <si>
    <t>MOH 743 Rev2020_Patients on AL by Weight Band Summary Report 35+ kgs</t>
  </si>
  <si>
    <t>MOH 743 Rev2020_Patients on AL by Weight Band Summary ReportTotal</t>
  </si>
  <si>
    <t>MOH 743 REV2020_IPT1</t>
  </si>
  <si>
    <t>MOH 743 REV2020_IPT2</t>
  </si>
  <si>
    <t>MOH 743 REV2020_IPT3</t>
  </si>
  <si>
    <t>MOH 743 Rev2020_Positive Result RDT</t>
  </si>
  <si>
    <t>MOH 743 Rev2020_Positive Result Microscopy</t>
  </si>
  <si>
    <t>MOH 743 Rev2020_Negative Result RDT</t>
  </si>
  <si>
    <t>MOH 743 Rev2020_Negative Result Microscopy</t>
  </si>
  <si>
    <t>MOH 743 Rev2020_Invalid result RDT</t>
  </si>
  <si>
    <t>MOH 743 REV2020_INVALID CASES MICROSCOPY</t>
  </si>
  <si>
    <t>MOH 743 REV2020_TOTAL TESTED RDT</t>
  </si>
  <si>
    <t>MOH 743 REV2020_TOTAL TESTED MICROSCOPY</t>
  </si>
  <si>
    <t>MOH 743 REV2020_CASES TREATED WITHOUT TESTING</t>
  </si>
  <si>
    <t>I.O.G.2</t>
  </si>
  <si>
    <t>Jan-Mar</t>
  </si>
  <si>
    <t>Apr-Jun</t>
  </si>
  <si>
    <t>Jul-Sep</t>
  </si>
  <si>
    <t>Oct-Dec</t>
  </si>
  <si>
    <t>I.O.G.1</t>
  </si>
  <si>
    <t>Sospetti Over 5</t>
  </si>
  <si>
    <t>Sospetti Under 5</t>
  </si>
  <si>
    <t>Confermati Over 5</t>
  </si>
  <si>
    <t>Confermati Under 5</t>
  </si>
  <si>
    <t>SOSPETTI TOT</t>
  </si>
  <si>
    <t>CONFERMATI TOT</t>
  </si>
  <si>
    <t>I.O.S.2</t>
  </si>
  <si>
    <t>I.R.1.1</t>
  </si>
  <si>
    <t>IPT3</t>
  </si>
  <si>
    <t>ANC</t>
  </si>
  <si>
    <t>Testati Over 5</t>
  </si>
  <si>
    <t>Testati Under 5</t>
  </si>
  <si>
    <t>TESTATI TOT</t>
  </si>
  <si>
    <t>TESTATI/SOSPETTI</t>
  </si>
  <si>
    <t>TERAPIA TOT</t>
  </si>
  <si>
    <t>TERAPIA/CONFERMATI</t>
  </si>
  <si>
    <t>Sno</t>
  </si>
  <si>
    <t>Ward</t>
  </si>
  <si>
    <t>Health Facilities</t>
  </si>
  <si>
    <t>Ganze</t>
  </si>
  <si>
    <t>Ganze Health Center</t>
  </si>
  <si>
    <t>Jaribuni</t>
  </si>
  <si>
    <t>Jaribuni Dispensary</t>
  </si>
  <si>
    <t>Mwanamwinga</t>
  </si>
  <si>
    <t>Kinarani Dispensary</t>
  </si>
  <si>
    <t xml:space="preserve">Kaloleni </t>
  </si>
  <si>
    <t>Mgamboni Dispensary</t>
  </si>
  <si>
    <t>Kambe/Ribe</t>
  </si>
  <si>
    <r>
      <t> </t>
    </r>
    <r>
      <rPr>
        <u/>
        <sz val="12"/>
        <color rgb="FF222222"/>
        <rFont val="Times New Roman"/>
        <family val="1"/>
      </rPr>
      <t>Lenga Dispensary</t>
    </r>
    <r>
      <rPr>
        <sz val="12"/>
        <color rgb="FF222222"/>
        <rFont val="Times New Roman"/>
        <family val="1"/>
      </rPr>
      <t> </t>
    </r>
  </si>
  <si>
    <t>Ruruma</t>
  </si>
  <si>
    <t>Makanzani Dispensary</t>
  </si>
  <si>
    <t>Mtepeni</t>
  </si>
  <si>
    <t>Tunzanani Dispensary</t>
  </si>
  <si>
    <t>Mwarakaya</t>
  </si>
  <si>
    <r>
      <rPr>
        <u/>
        <sz val="12"/>
        <color rgb="FF222222"/>
        <rFont val="Times New Roman"/>
        <family val="1"/>
      </rPr>
      <t>Pingilikani Dispensary</t>
    </r>
    <r>
      <rPr>
        <sz val="12"/>
        <color rgb="FF222222"/>
        <rFont val="Times New Roman"/>
        <family val="1"/>
      </rPr>
      <t> </t>
    </r>
  </si>
  <si>
    <t>Mnarani</t>
  </si>
  <si>
    <t>Kadzinuni Dispensary</t>
  </si>
  <si>
    <t>Sokoni</t>
  </si>
  <si>
    <t>Kiwandani Dispensary</t>
  </si>
  <si>
    <t>Kilifi County Hospital</t>
  </si>
  <si>
    <t>MOH 705A
Actual Reports</t>
  </si>
  <si>
    <t>MOH 705A
Expected Reports</t>
  </si>
  <si>
    <t>MOH705A
Reports on Time</t>
  </si>
  <si>
    <t>Nov-Dec 2022</t>
  </si>
  <si>
    <t>Jan-Mar 2023</t>
  </si>
  <si>
    <t>Apr-Jun 2023</t>
  </si>
  <si>
    <t>Jul-Sep 2023</t>
  </si>
  <si>
    <t>Oct-Dec 2023</t>
  </si>
  <si>
    <t>Jan-Mar 2024</t>
  </si>
  <si>
    <t>Apr-Jun 2024</t>
  </si>
  <si>
    <t>Jul-Sep 2024</t>
  </si>
  <si>
    <t>Oct-Dec 2024</t>
  </si>
  <si>
    <t>TOTAL 2023</t>
  </si>
  <si>
    <t>TOTAL 2024</t>
  </si>
  <si>
    <t>Jan-Mar 2025</t>
  </si>
  <si>
    <t>KILIFI COUNTY</t>
  </si>
  <si>
    <t>GANZE SC</t>
  </si>
  <si>
    <t>KALOLENI SC</t>
  </si>
  <si>
    <t>RABAI SC</t>
  </si>
  <si>
    <t>KF SOUTH SC</t>
  </si>
  <si>
    <t>KF NORTH SC</t>
  </si>
  <si>
    <t>MALINDI SC</t>
  </si>
  <si>
    <t>MAGARINI SC</t>
  </si>
  <si>
    <t>TOTAL 2022</t>
  </si>
  <si>
    <t>MOH705B
Reports on Time</t>
  </si>
  <si>
    <t>MOH705B
Actual Reports</t>
  </si>
  <si>
    <t>MOH705B
Expected Reports</t>
  </si>
  <si>
    <t>MOH515
Actual Reports</t>
  </si>
  <si>
    <t>MOH515
Expected Reports</t>
  </si>
  <si>
    <t>MOH515
Reports on Time</t>
  </si>
  <si>
    <t>Ganze Health Center (MWAEBA)</t>
  </si>
  <si>
    <t>MWAEBA CU</t>
  </si>
  <si>
    <t>VINAGONI CU</t>
  </si>
  <si>
    <t>MAZIACHENDA CHU</t>
  </si>
  <si>
    <t>MIKOMANI CHU</t>
  </si>
  <si>
    <t>JEURI CHU</t>
  </si>
  <si>
    <t>PINGILIKANI CHU</t>
  </si>
  <si>
    <t>TUNZANANI</t>
  </si>
  <si>
    <t>KADZINUNI</t>
  </si>
  <si>
    <t>KIWANDANI</t>
  </si>
  <si>
    <t>KWALE CHU</t>
  </si>
  <si>
    <t>MOH 748 AL DISPENSED</t>
  </si>
  <si>
    <t>MOH 748 Patients on AL by Weight Band Summary Report 5 -14 kgs</t>
  </si>
  <si>
    <t>MOH 748 Patients on AL by Weight Band Summary Report 15 - 24kgs</t>
  </si>
  <si>
    <t>MOH 748 Patients on AL by Weight Band Summary Report 25 - 34kgs</t>
  </si>
  <si>
    <t>MOH 748 Patients on AL by Weight Band Summary Report 35+ kgs</t>
  </si>
  <si>
    <t>MOH 748 POSITIVE &lt;5 yrs</t>
  </si>
  <si>
    <t>MOH 748 NEGATIVE &lt;5 yrs</t>
  </si>
  <si>
    <t>MOH 748 NOT TESTED &lt;5 yrs</t>
  </si>
  <si>
    <t>MOH 748 TOTAL &lt;5 yrs</t>
  </si>
  <si>
    <t>MOH 748 INVALID &lt;5 yrs</t>
  </si>
  <si>
    <t>MOH 748 NEGATIVE &gt;5 yrs</t>
  </si>
  <si>
    <t>MOH 748 NOT TESTED &gt;5 yrs</t>
  </si>
  <si>
    <t>MOH 748 TOTAL &gt;5 yrs</t>
  </si>
  <si>
    <t>MOH 748 INVALID &gt;5 yrs</t>
  </si>
  <si>
    <t>MOH 748 POSITIVE &gt;5 yrs</t>
  </si>
  <si>
    <t>MOH 748 RDT DISPENSED</t>
  </si>
  <si>
    <t>KF NORTH SUBCOUNTY</t>
  </si>
  <si>
    <t>Apr to Jun 2024</t>
  </si>
  <si>
    <t>Jul-Sep
2024</t>
  </si>
  <si>
    <t>Octr-Dec
2024</t>
  </si>
  <si>
    <t>Jul-Sep
2023</t>
  </si>
  <si>
    <t>Oct-Dec
2023</t>
  </si>
  <si>
    <t>OLD VERSION OF 706, no age disaggregation</t>
  </si>
  <si>
    <t>DISAGGREGATION STARTED FROM FEB 24</t>
  </si>
  <si>
    <t>KILIFI SOUTH</t>
  </si>
  <si>
    <t>PINGILIKANI DISPENSARY</t>
  </si>
  <si>
    <t>TUNZANANI DISPENSARY</t>
  </si>
  <si>
    <t>RABAI</t>
  </si>
  <si>
    <t>LENGA DISPENSARY</t>
  </si>
  <si>
    <t>MAKANZANI DISPENSARY</t>
  </si>
  <si>
    <t>KALOLENI</t>
  </si>
  <si>
    <t>GANZE</t>
  </si>
  <si>
    <t>KINARANI DISPENSARY</t>
  </si>
  <si>
    <t>MGAMBONI DISPENSARY</t>
  </si>
  <si>
    <t>GANZE HC</t>
  </si>
  <si>
    <t>JARIBUNI DISPENSARY</t>
  </si>
  <si>
    <t>old register</t>
  </si>
  <si>
    <t>I.O.S.1</t>
  </si>
  <si>
    <t>I.R.1.2</t>
  </si>
  <si>
    <t>I.r.!.3</t>
  </si>
  <si>
    <t>I.R.2.1</t>
  </si>
  <si>
    <t>I.R.2.2</t>
  </si>
  <si>
    <t>I.R.2.3</t>
  </si>
  <si>
    <t>I.R.3.1</t>
  </si>
  <si>
    <t>I.R.3.2</t>
  </si>
  <si>
    <t>Confirmed 705</t>
  </si>
  <si>
    <t>Confirmed 743</t>
  </si>
  <si>
    <t>I.R.1.3</t>
  </si>
  <si>
    <t>Jan to Mar 2025</t>
  </si>
  <si>
    <t>JANUARY ONLY</t>
  </si>
  <si>
    <t>MOH 748 Patients on AL by Weight Band Summary Report 15 - 25kgs</t>
  </si>
  <si>
    <t>MOH 748 Patients on AL by Weight Band Summary Report 35+kgs</t>
  </si>
  <si>
    <t>Baseline 2022</t>
  </si>
  <si>
    <t>RF (Jul24-May25)</t>
  </si>
  <si>
    <t>RS Jul24-Mar25</t>
  </si>
  <si>
    <t>(705 Confirmed/705 suspect)*1000</t>
  </si>
  <si>
    <t>Under 5</t>
  </si>
  <si>
    <t>Over 5</t>
  </si>
  <si>
    <t>706 Confirmed/706 tested *100</t>
  </si>
  <si>
    <t>BS</t>
  </si>
  <si>
    <t>BS 706 Confirmed/706 tested *100</t>
  </si>
  <si>
    <t>RDT 706 Confirmed/706 tested *100</t>
  </si>
  <si>
    <t>TOTAL Suspected 705</t>
  </si>
  <si>
    <t>TOTAL Confirmed 705</t>
  </si>
  <si>
    <t>Under 5 Suspected 705</t>
  </si>
  <si>
    <t>Over 5 Suspected 705</t>
  </si>
  <si>
    <t>Under 5 Confirmed 705</t>
  </si>
  <si>
    <t>Over 5 Confirmed 705</t>
  </si>
  <si>
    <t>705 Confirmed/705 Tested *100</t>
  </si>
  <si>
    <t>RI1 (Nov 22-Mar 23)</t>
  </si>
  <si>
    <t>RI2 (Apr 23-Jun24)</t>
  </si>
  <si>
    <t>IPTP3</t>
  </si>
  <si>
    <t>TOTAL SUSPECTED 705 MONTHLY AVG</t>
  </si>
  <si>
    <t>TOTAL CONFIRMED  705 MONTHLY AVG</t>
  </si>
  <si>
    <t>Under 5 SUSPECTED  705 MONTHLY AVG</t>
  </si>
  <si>
    <t>Under 5 CONFIRMED  705 MONTHLY AVG</t>
  </si>
  <si>
    <t>Over 5 SUSPECTED  705 MONTHLY AVG</t>
  </si>
  <si>
    <t>Over 5 CONFIRMED  705 MONTHLY AVG</t>
  </si>
  <si>
    <t>IPTP 3 MONTHLY AVERAGE</t>
  </si>
  <si>
    <t>Sleep Net / Sensitized</t>
  </si>
  <si>
    <t>Access Net / Sensitized</t>
  </si>
  <si>
    <t>705 Tested / 705 Suspected</t>
  </si>
  <si>
    <t>705 Tested</t>
  </si>
  <si>
    <t>705 Suspected</t>
  </si>
  <si>
    <t>Sleep Net</t>
  </si>
  <si>
    <t>Sensitised</t>
  </si>
  <si>
    <t>Access Net</t>
  </si>
  <si>
    <t>Treatment 743</t>
  </si>
  <si>
    <t>Treatment 743 Monthly AVG</t>
  </si>
  <si>
    <t>Confirmed 705 MONTHLY AVG</t>
  </si>
  <si>
    <t>Confirmed 743 MONTHLY AVG</t>
  </si>
  <si>
    <t>Actual/Expected 705 A/B</t>
  </si>
  <si>
    <t>Actual/Expected 515</t>
  </si>
  <si>
    <t>TOTAL</t>
  </si>
  <si>
    <t>UNDER 5</t>
  </si>
  <si>
    <t>OVER 5</t>
  </si>
  <si>
    <t>705 Confirmed</t>
  </si>
  <si>
    <t>RDT</t>
  </si>
  <si>
    <t>706 Confirmed</t>
  </si>
  <si>
    <t>706 Tested</t>
  </si>
  <si>
    <t>BS 706 Confirmed</t>
  </si>
  <si>
    <t>BS 706 Tested</t>
  </si>
  <si>
    <t>RDT 706 Confirmed</t>
  </si>
  <si>
    <t>RDT 706 Tested</t>
  </si>
  <si>
    <t>24/24</t>
  </si>
  <si>
    <t>9/10</t>
  </si>
  <si>
    <t>30/30</t>
  </si>
  <si>
    <t>18/18</t>
  </si>
  <si>
    <t>0/12</t>
  </si>
  <si>
    <t>0/5</t>
  </si>
  <si>
    <t>3/15</t>
  </si>
  <si>
    <t>9/9</t>
  </si>
  <si>
    <t>KF NORD</t>
  </si>
  <si>
    <t>KF SOUTH</t>
  </si>
  <si>
    <t>Pingilikani</t>
  </si>
  <si>
    <t>Tunzanani</t>
  </si>
  <si>
    <t>LENGA</t>
  </si>
  <si>
    <t>MAKANZANI</t>
  </si>
  <si>
    <t>KINARANI</t>
  </si>
  <si>
    <t>MGAMBONI</t>
  </si>
  <si>
    <t>JARIBUNI</t>
  </si>
  <si>
    <t>TOTAL 5 SUBCOUNTIES</t>
  </si>
  <si>
    <t>TOTAL 10 DISPENSARIES</t>
  </si>
  <si>
    <t>TARGET</t>
  </si>
  <si>
    <t>17% less than baseline (total)</t>
  </si>
  <si>
    <t>BS -1.3%
RDT -1.5%</t>
  </si>
  <si>
    <t>Suspected</t>
  </si>
  <si>
    <t>Confirmed</t>
  </si>
  <si>
    <t>-17% suspected cases
- 10% confirmed cases
(from baseline)</t>
  </si>
  <si>
    <t>Monthly Average Suspected</t>
  </si>
  <si>
    <t>Monthly Average Confirmed</t>
  </si>
  <si>
    <t>Positivity Rate</t>
  </si>
  <si>
    <t>-8.6% from baseline</t>
  </si>
  <si>
    <t>+15% Monthly Average from baseline</t>
  </si>
  <si>
    <t>To reach</t>
  </si>
  <si>
    <t>Above or equal</t>
  </si>
  <si>
    <t>+40% Monthly Average from baseline</t>
  </si>
  <si>
    <t>Confirmed 705 Monthly Average</t>
  </si>
  <si>
    <t>Confirmed 743 Monthly Average</t>
  </si>
  <si>
    <t>16/18</t>
  </si>
  <si>
    <t>8/9</t>
  </si>
  <si>
    <t>15/18</t>
  </si>
  <si>
    <t>14/18</t>
  </si>
  <si>
    <t>7/9</t>
  </si>
  <si>
    <t>10/10</t>
  </si>
  <si>
    <t>28/30</t>
  </si>
  <si>
    <t>22/24</t>
  </si>
  <si>
    <t>1/10</t>
  </si>
  <si>
    <t>23/24</t>
  </si>
  <si>
    <t>12/12</t>
  </si>
  <si>
    <t>5/5</t>
  </si>
  <si>
    <t>15/15</t>
  </si>
  <si>
    <t>14/15</t>
  </si>
  <si>
    <t>11/12</t>
  </si>
  <si>
    <t>3/5</t>
  </si>
  <si>
    <t>2/5</t>
  </si>
  <si>
    <t>6/12</t>
  </si>
  <si>
    <t>9/15</t>
  </si>
  <si>
    <t>Number of confirmed malaria cases per 1000 people at risk, by age (&lt;5, 5+), SubCounties of North Kilifi, South Kilifi, Kaloleni, Rabai, Ganze</t>
  </si>
  <si>
    <t>Prevalence of positives in the paediatric population (6 - 59 months), Sub-Counties of North Kilifi, South Kilifi, Kaloleni, Rabai, Ganze</t>
  </si>
  <si>
    <t>Number of reported malaria cases, disaggregated by diagnostic status (presumed or confirmed) and age (&lt;5, 5+), SubCounties of North Kilifi, South Kilifi, Kaloleni, Rabai, Ganze</t>
  </si>
  <si>
    <t>Positivity rate in the Sub-Counties of North Kilifi, South Kilifi, Kaloleni, Rabai, Ganze disaggregated by type of test carried out (rapid test or microscope)</t>
  </si>
  <si>
    <t>Number of pregnant women who received three or more doses of intermittent preventive therapy for malaria in
health facilities involved in the project</t>
  </si>
  <si>
    <t>Percentage of the population that slept under a mosquito net treated with insecticide the previous night, health facilities involved in the project</t>
  </si>
  <si>
    <t>Percentage of the population that has access to an insecticide-treated mosquito net at home, health facilities involved in the project</t>
  </si>
  <si>
    <t>Number of suspected cases that received a test at a public or community-level facility, health facilities involved in the project</t>
  </si>
  <si>
    <t>Number of malaria cases (presumed or confirmed) who received antimalarial treatment at a public facility or at community level in the health facilities involved in the project</t>
  </si>
  <si>
    <t>Number of confirmed and recorded cases in the health facilities involved in the project</t>
  </si>
  <si>
    <t>Percentage of health facilities that collect and send health data through the monitoring IT system in the health facilities involved in the project</t>
  </si>
  <si>
    <t>Number of monitoring reports produced by volunteers
community monitoring mechanisms and
included in the IT monitoring system, health facilities involved in the project</t>
  </si>
  <si>
    <t>subcounty</t>
  </si>
  <si>
    <t>dispensary</t>
  </si>
  <si>
    <t>form</t>
  </si>
  <si>
    <t>year</t>
  </si>
  <si>
    <t>period</t>
  </si>
  <si>
    <t>reports</t>
  </si>
  <si>
    <t>number</t>
  </si>
  <si>
    <t>Ganze H/C</t>
  </si>
  <si>
    <t>MOH705A</t>
  </si>
  <si>
    <t>JAS</t>
  </si>
  <si>
    <t>actual</t>
  </si>
  <si>
    <t>expected</t>
  </si>
  <si>
    <t>OND</t>
  </si>
  <si>
    <t>JFM</t>
  </si>
  <si>
    <t>MOH705B</t>
  </si>
  <si>
    <t>MOH515</t>
  </si>
  <si>
    <t>MOH516</t>
  </si>
  <si>
    <t>MOH517</t>
  </si>
  <si>
    <t>MOH518</t>
  </si>
  <si>
    <t>MOH519</t>
  </si>
  <si>
    <t>MOH520</t>
  </si>
  <si>
    <t>Kaloleni</t>
  </si>
  <si>
    <t>Kinarani</t>
  </si>
  <si>
    <t>Mgamboni</t>
  </si>
  <si>
    <t>Rabai</t>
  </si>
  <si>
    <t>Lenga</t>
  </si>
  <si>
    <t>Makanzani</t>
  </si>
  <si>
    <t>Kilifi North</t>
  </si>
  <si>
    <t>Kadzinuni</t>
  </si>
  <si>
    <t>Kiwandani</t>
  </si>
  <si>
    <t>Kilifi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</si>
</sst>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222222"/>
      <name val="Times New Roman"/>
      <family val="1"/>
    </font>
    <font>
      <u/>
      <sz val="12"/>
      <color rgb="FF222222"/>
      <name val="Times New Roman"/>
      <family val="1"/>
    </font>
    <font>
      <sz val="8"/>
      <name val="Calibri"/>
      <family val="2"/>
      <scheme val="minor"/>
    </font>
    <font>
      <i/>
      <sz val="12"/>
      <color rgb="FF222222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0">
    <xf numFmtId="0" fontId="0" fillId="0" borderId="0" xfId="0"/>
    <xf numFmtId="10" fontId="3" fillId="0" borderId="1" xfId="2" applyNumberFormat="1" applyFont="1" applyBorder="1"/>
    <xf numFmtId="17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" fontId="4" fillId="0" borderId="5" xfId="0" applyNumberFormat="1" applyFont="1" applyBorder="1" applyAlignment="1">
      <alignment horizontal="center" vertical="center" wrapText="1"/>
    </xf>
    <xf numFmtId="17" fontId="4" fillId="0" borderId="6" xfId="0" applyNumberFormat="1" applyFont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17" fontId="4" fillId="0" borderId="8" xfId="0" applyNumberFormat="1" applyFont="1" applyBorder="1" applyAlignment="1">
      <alignment horizontal="center" vertical="center" wrapText="1"/>
    </xf>
    <xf numFmtId="17" fontId="4" fillId="0" borderId="9" xfId="0" applyNumberFormat="1" applyFont="1" applyBorder="1" applyAlignment="1">
      <alignment horizontal="center" vertical="center" wrapText="1"/>
    </xf>
    <xf numFmtId="0" fontId="3" fillId="2" borderId="10" xfId="0" applyFont="1" applyFill="1" applyBorder="1"/>
    <xf numFmtId="165" fontId="3" fillId="0" borderId="2" xfId="1" applyNumberFormat="1" applyFon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165" fontId="3" fillId="0" borderId="12" xfId="1" applyNumberFormat="1" applyFont="1" applyBorder="1"/>
    <xf numFmtId="165" fontId="3" fillId="3" borderId="13" xfId="1" applyNumberFormat="1" applyFont="1" applyFill="1" applyBorder="1" applyAlignment="1">
      <alignment horizontal="center" vertical="center"/>
    </xf>
    <xf numFmtId="165" fontId="3" fillId="3" borderId="13" xfId="1" applyNumberFormat="1" applyFont="1" applyFill="1" applyBorder="1"/>
    <xf numFmtId="165" fontId="3" fillId="3" borderId="14" xfId="1" applyNumberFormat="1" applyFont="1" applyFill="1" applyBorder="1"/>
    <xf numFmtId="165" fontId="3" fillId="3" borderId="15" xfId="1" applyNumberFormat="1" applyFont="1" applyFill="1" applyBorder="1"/>
    <xf numFmtId="165" fontId="3" fillId="3" borderId="10" xfId="1" applyNumberFormat="1" applyFont="1" applyFill="1" applyBorder="1"/>
    <xf numFmtId="0" fontId="5" fillId="3" borderId="16" xfId="0" applyFont="1" applyFill="1" applyBorder="1"/>
    <xf numFmtId="0" fontId="3" fillId="2" borderId="2" xfId="0" applyFont="1" applyFill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165" fontId="3" fillId="3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/>
    <xf numFmtId="165" fontId="3" fillId="3" borderId="18" xfId="1" applyNumberFormat="1" applyFont="1" applyFill="1" applyBorder="1"/>
    <xf numFmtId="0" fontId="5" fillId="3" borderId="19" xfId="0" applyFont="1" applyFill="1" applyBorder="1"/>
    <xf numFmtId="0" fontId="3" fillId="2" borderId="20" xfId="0" applyFont="1" applyFill="1" applyBorder="1"/>
    <xf numFmtId="165" fontId="3" fillId="0" borderId="1" xfId="1" applyNumberFormat="1" applyFont="1" applyBorder="1"/>
    <xf numFmtId="165" fontId="3" fillId="0" borderId="3" xfId="1" applyNumberFormat="1" applyFont="1" applyBorder="1"/>
    <xf numFmtId="165" fontId="3" fillId="0" borderId="7" xfId="1" applyNumberFormat="1" applyFont="1" applyBorder="1"/>
    <xf numFmtId="165" fontId="3" fillId="3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/>
    <xf numFmtId="165" fontId="3" fillId="3" borderId="4" xfId="1" applyNumberFormat="1" applyFont="1" applyFill="1" applyBorder="1"/>
    <xf numFmtId="165" fontId="3" fillId="3" borderId="20" xfId="1" applyNumberFormat="1" applyFont="1" applyFill="1" applyBorder="1"/>
    <xf numFmtId="0" fontId="5" fillId="3" borderId="21" xfId="0" applyFont="1" applyFill="1" applyBorder="1"/>
    <xf numFmtId="165" fontId="3" fillId="3" borderId="6" xfId="1" applyNumberFormat="1" applyFont="1" applyFill="1" applyBorder="1"/>
    <xf numFmtId="0" fontId="3" fillId="4" borderId="13" xfId="0" applyFont="1" applyFill="1" applyBorder="1"/>
    <xf numFmtId="165" fontId="3" fillId="0" borderId="15" xfId="1" applyNumberFormat="1" applyFont="1" applyBorder="1"/>
    <xf numFmtId="165" fontId="3" fillId="3" borderId="10" xfId="1" applyNumberFormat="1" applyFont="1" applyFill="1" applyBorder="1" applyAlignment="1">
      <alignment horizontal="center" vertical="center"/>
    </xf>
    <xf numFmtId="165" fontId="3" fillId="3" borderId="22" xfId="1" applyNumberFormat="1" applyFont="1" applyFill="1" applyBorder="1"/>
    <xf numFmtId="165" fontId="3" fillId="3" borderId="12" xfId="1" applyNumberFormat="1" applyFont="1" applyFill="1" applyBorder="1"/>
    <xf numFmtId="0" fontId="5" fillId="3" borderId="23" xfId="0" applyFont="1" applyFill="1" applyBorder="1"/>
    <xf numFmtId="0" fontId="3" fillId="4" borderId="2" xfId="0" applyFont="1" applyFill="1" applyBorder="1"/>
    <xf numFmtId="0" fontId="3" fillId="4" borderId="20" xfId="0" applyFont="1" applyFill="1" applyBorder="1"/>
    <xf numFmtId="165" fontId="3" fillId="3" borderId="3" xfId="1" applyNumberFormat="1" applyFont="1" applyFill="1" applyBorder="1"/>
    <xf numFmtId="165" fontId="3" fillId="3" borderId="7" xfId="1" applyNumberFormat="1" applyFont="1" applyFill="1" applyBorder="1"/>
    <xf numFmtId="0" fontId="3" fillId="3" borderId="20" xfId="0" applyFont="1" applyFill="1" applyBorder="1"/>
    <xf numFmtId="0" fontId="3" fillId="5" borderId="13" xfId="0" applyFont="1" applyFill="1" applyBorder="1"/>
    <xf numFmtId="0" fontId="3" fillId="3" borderId="13" xfId="0" applyFont="1" applyFill="1" applyBorder="1"/>
    <xf numFmtId="0" fontId="3" fillId="5" borderId="2" xfId="0" applyFont="1" applyFill="1" applyBorder="1"/>
    <xf numFmtId="0" fontId="3" fillId="3" borderId="2" xfId="0" applyFont="1" applyFill="1" applyBorder="1"/>
    <xf numFmtId="165" fontId="3" fillId="3" borderId="17" xfId="1" applyNumberFormat="1" applyFont="1" applyFill="1" applyBorder="1"/>
    <xf numFmtId="0" fontId="3" fillId="5" borderId="10" xfId="0" applyFont="1" applyFill="1" applyBorder="1"/>
    <xf numFmtId="3" fontId="3" fillId="3" borderId="2" xfId="0" applyNumberFormat="1" applyFont="1" applyFill="1" applyBorder="1"/>
    <xf numFmtId="3" fontId="3" fillId="3" borderId="24" xfId="0" applyNumberFormat="1" applyFont="1" applyFill="1" applyBorder="1"/>
    <xf numFmtId="3" fontId="3" fillId="3" borderId="18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horizontal="right" vertical="center"/>
    </xf>
    <xf numFmtId="3" fontId="3" fillId="3" borderId="19" xfId="0" applyNumberFormat="1" applyFont="1" applyFill="1" applyBorder="1" applyAlignment="1">
      <alignment horizontal="right" vertical="center"/>
    </xf>
    <xf numFmtId="0" fontId="3" fillId="5" borderId="20" xfId="0" applyFont="1" applyFill="1" applyBorder="1"/>
    <xf numFmtId="3" fontId="3" fillId="3" borderId="1" xfId="0" applyNumberFormat="1" applyFont="1" applyFill="1" applyBorder="1"/>
    <xf numFmtId="3" fontId="3" fillId="3" borderId="8" xfId="0" applyNumberFormat="1" applyFont="1" applyFill="1" applyBorder="1"/>
    <xf numFmtId="3" fontId="3" fillId="3" borderId="7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0" fontId="3" fillId="6" borderId="13" xfId="0" applyFont="1" applyFill="1" applyBorder="1"/>
    <xf numFmtId="165" fontId="3" fillId="3" borderId="12" xfId="1" applyNumberFormat="1" applyFont="1" applyFill="1" applyBorder="1" applyAlignment="1">
      <alignment horizontal="center" vertical="center"/>
    </xf>
    <xf numFmtId="0" fontId="3" fillId="6" borderId="2" xfId="0" applyFont="1" applyFill="1" applyBorder="1"/>
    <xf numFmtId="0" fontId="4" fillId="6" borderId="2" xfId="0" applyFont="1" applyFill="1" applyBorder="1"/>
    <xf numFmtId="165" fontId="4" fillId="3" borderId="2" xfId="1" applyNumberFormat="1" applyFont="1" applyFill="1" applyBorder="1"/>
    <xf numFmtId="165" fontId="4" fillId="3" borderId="17" xfId="1" applyNumberFormat="1" applyFont="1" applyFill="1" applyBorder="1"/>
    <xf numFmtId="165" fontId="4" fillId="3" borderId="18" xfId="1" applyNumberFormat="1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10" fontId="3" fillId="3" borderId="0" xfId="2" applyNumberFormat="1" applyFont="1" applyFill="1" applyBorder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0" fontId="2" fillId="0" borderId="0" xfId="2" applyNumberFormat="1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10" xfId="0" applyBorder="1"/>
    <xf numFmtId="0" fontId="0" fillId="0" borderId="19" xfId="0" applyBorder="1" applyAlignment="1">
      <alignment wrapText="1"/>
    </xf>
    <xf numFmtId="0" fontId="0" fillId="0" borderId="26" xfId="0" applyBorder="1" applyAlignment="1">
      <alignment wrapText="1"/>
    </xf>
    <xf numFmtId="0" fontId="6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28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6" fillId="0" borderId="2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6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/>
    <xf numFmtId="0" fontId="0" fillId="0" borderId="40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3" fillId="7" borderId="10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165" fontId="3" fillId="3" borderId="41" xfId="1" applyNumberFormat="1" applyFont="1" applyFill="1" applyBorder="1" applyAlignment="1">
      <alignment horizontal="center" vertical="center"/>
    </xf>
    <xf numFmtId="165" fontId="3" fillId="3" borderId="24" xfId="1" applyNumberFormat="1" applyFont="1" applyFill="1" applyBorder="1"/>
    <xf numFmtId="165" fontId="4" fillId="3" borderId="24" xfId="1" applyNumberFormat="1" applyFont="1" applyFill="1" applyBorder="1"/>
    <xf numFmtId="0" fontId="3" fillId="3" borderId="24" xfId="0" applyFont="1" applyFill="1" applyBorder="1"/>
    <xf numFmtId="165" fontId="3" fillId="3" borderId="8" xfId="1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3" xfId="1" applyNumberFormat="1" applyFont="1" applyFill="1" applyBorder="1" applyAlignment="1">
      <alignment horizontal="center" vertical="center"/>
    </xf>
    <xf numFmtId="0" fontId="3" fillId="3" borderId="18" xfId="1" applyNumberFormat="1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4" borderId="10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165" fontId="3" fillId="3" borderId="36" xfId="1" applyNumberFormat="1" applyFont="1" applyFill="1" applyBorder="1"/>
    <xf numFmtId="165" fontId="3" fillId="3" borderId="42" xfId="1" applyNumberFormat="1" applyFont="1" applyFill="1" applyBorder="1"/>
    <xf numFmtId="165" fontId="3" fillId="3" borderId="38" xfId="1" applyNumberFormat="1" applyFont="1" applyFill="1" applyBorder="1"/>
    <xf numFmtId="165" fontId="3" fillId="3" borderId="36" xfId="1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" fontId="4" fillId="0" borderId="10" xfId="0" applyNumberFormat="1" applyFont="1" applyBorder="1" applyAlignment="1">
      <alignment horizontal="center" vertical="center" wrapText="1"/>
    </xf>
    <xf numFmtId="165" fontId="3" fillId="8" borderId="17" xfId="1" applyNumberFormat="1" applyFont="1" applyFill="1" applyBorder="1"/>
    <xf numFmtId="165" fontId="3" fillId="8" borderId="18" xfId="1" applyNumberFormat="1" applyFont="1" applyFill="1" applyBorder="1"/>
    <xf numFmtId="165" fontId="3" fillId="8" borderId="2" xfId="1" applyNumberFormat="1" applyFont="1" applyFill="1" applyBorder="1"/>
    <xf numFmtId="0" fontId="0" fillId="8" borderId="0" xfId="0" applyFill="1"/>
    <xf numFmtId="165" fontId="3" fillId="8" borderId="2" xfId="1" applyNumberFormat="1" applyFont="1" applyFill="1" applyBorder="1" applyAlignment="1">
      <alignment horizontal="center" vertical="center"/>
    </xf>
    <xf numFmtId="165" fontId="3" fillId="8" borderId="1" xfId="1" applyNumberFormat="1" applyFont="1" applyFill="1" applyBorder="1" applyAlignment="1">
      <alignment horizontal="center" vertical="center"/>
    </xf>
    <xf numFmtId="0" fontId="0" fillId="9" borderId="0" xfId="0" applyFill="1"/>
    <xf numFmtId="165" fontId="3" fillId="8" borderId="13" xfId="1" applyNumberFormat="1" applyFont="1" applyFill="1" applyBorder="1" applyAlignment="1">
      <alignment horizontal="center" vertical="center"/>
    </xf>
    <xf numFmtId="165" fontId="4" fillId="8" borderId="18" xfId="1" applyNumberFormat="1" applyFont="1" applyFill="1" applyBorder="1"/>
    <xf numFmtId="2" fontId="3" fillId="8" borderId="1" xfId="0" applyNumberFormat="1" applyFont="1" applyFill="1" applyBorder="1"/>
    <xf numFmtId="165" fontId="3" fillId="8" borderId="11" xfId="1" applyNumberFormat="1" applyFont="1" applyFill="1" applyBorder="1"/>
    <xf numFmtId="165" fontId="3" fillId="8" borderId="1" xfId="1" applyNumberFormat="1" applyFont="1" applyFill="1" applyBorder="1"/>
    <xf numFmtId="165" fontId="3" fillId="8" borderId="10" xfId="1" applyNumberFormat="1" applyFont="1" applyFill="1" applyBorder="1"/>
    <xf numFmtId="165" fontId="3" fillId="8" borderId="7" xfId="1" applyNumberFormat="1" applyFont="1" applyFill="1" applyBorder="1"/>
    <xf numFmtId="165" fontId="3" fillId="8" borderId="13" xfId="1" applyNumberFormat="1" applyFont="1" applyFill="1" applyBorder="1"/>
    <xf numFmtId="9" fontId="0" fillId="0" borderId="0" xfId="2" applyFont="1"/>
    <xf numFmtId="0" fontId="0" fillId="0" borderId="0" xfId="0" applyAlignment="1">
      <alignment horizontal="center"/>
    </xf>
    <xf numFmtId="165" fontId="3" fillId="8" borderId="14" xfId="1" applyNumberFormat="1" applyFont="1" applyFill="1" applyBorder="1"/>
    <xf numFmtId="165" fontId="3" fillId="10" borderId="17" xfId="1" applyNumberFormat="1" applyFont="1" applyFill="1" applyBorder="1"/>
    <xf numFmtId="165" fontId="3" fillId="10" borderId="14" xfId="1" applyNumberFormat="1" applyFont="1" applyFill="1" applyBorder="1"/>
    <xf numFmtId="165" fontId="3" fillId="11" borderId="14" xfId="1" applyNumberFormat="1" applyFont="1" applyFill="1" applyBorder="1"/>
    <xf numFmtId="165" fontId="3" fillId="11" borderId="6" xfId="1" applyNumberFormat="1" applyFont="1" applyFill="1" applyBorder="1"/>
    <xf numFmtId="0" fontId="0" fillId="0" borderId="0" xfId="0" applyAlignment="1">
      <alignment horizontal="center" vertical="center"/>
    </xf>
    <xf numFmtId="17" fontId="4" fillId="0" borderId="0" xfId="0" applyNumberFormat="1" applyFont="1" applyAlignment="1">
      <alignment horizontal="center" vertical="center" wrapText="1"/>
    </xf>
    <xf numFmtId="165" fontId="3" fillId="3" borderId="0" xfId="1" applyNumberFormat="1" applyFont="1" applyFill="1" applyBorder="1"/>
    <xf numFmtId="165" fontId="3" fillId="3" borderId="0" xfId="1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/>
    <xf numFmtId="0" fontId="3" fillId="3" borderId="0" xfId="0" applyFont="1" applyFill="1"/>
    <xf numFmtId="165" fontId="4" fillId="8" borderId="45" xfId="1" applyNumberFormat="1" applyFont="1" applyFill="1" applyBorder="1"/>
    <xf numFmtId="0" fontId="0" fillId="0" borderId="0" xfId="0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65" fontId="0" fillId="4" borderId="2" xfId="2" applyNumberFormat="1" applyFont="1" applyFill="1" applyBorder="1" applyAlignment="1">
      <alignment horizontal="center" vertical="center"/>
    </xf>
    <xf numFmtId="165" fontId="0" fillId="6" borderId="2" xfId="2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13" borderId="2" xfId="0" applyFill="1" applyBorder="1"/>
    <xf numFmtId="0" fontId="0" fillId="5" borderId="2" xfId="0" applyFill="1" applyBorder="1"/>
    <xf numFmtId="0" fontId="0" fillId="14" borderId="2" xfId="0" applyFill="1" applyBorder="1"/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165" fontId="0" fillId="2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0" fontId="2" fillId="4" borderId="2" xfId="2" applyNumberFormat="1" applyFont="1" applyFill="1" applyBorder="1" applyAlignment="1">
      <alignment horizontal="center" vertical="center"/>
    </xf>
    <xf numFmtId="165" fontId="1" fillId="4" borderId="2" xfId="2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10" fontId="2" fillId="5" borderId="2" xfId="2" applyNumberFormat="1" applyFont="1" applyFill="1" applyBorder="1" applyAlignment="1">
      <alignment horizontal="center" vertical="center"/>
    </xf>
    <xf numFmtId="165" fontId="0" fillId="5" borderId="2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0" fillId="12" borderId="2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/>
    </xf>
    <xf numFmtId="10" fontId="0" fillId="13" borderId="2" xfId="2" applyNumberFormat="1" applyFont="1" applyFill="1" applyBorder="1" applyAlignment="1"/>
    <xf numFmtId="165" fontId="0" fillId="13" borderId="2" xfId="0" applyNumberFormat="1" applyFill="1" applyBorder="1"/>
    <xf numFmtId="165" fontId="0" fillId="5" borderId="2" xfId="0" applyNumberFormat="1" applyFill="1" applyBorder="1"/>
    <xf numFmtId="165" fontId="0" fillId="14" borderId="2" xfId="0" applyNumberFormat="1" applyFill="1" applyBorder="1"/>
    <xf numFmtId="10" fontId="0" fillId="15" borderId="2" xfId="2" applyNumberFormat="1" applyFont="1" applyFill="1" applyBorder="1" applyAlignment="1"/>
    <xf numFmtId="10" fontId="0" fillId="16" borderId="2" xfId="2" applyNumberFormat="1" applyFont="1" applyFill="1" applyBorder="1" applyAlignment="1"/>
    <xf numFmtId="1" fontId="0" fillId="5" borderId="2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 vertical="center"/>
    </xf>
    <xf numFmtId="1" fontId="0" fillId="14" borderId="2" xfId="0" applyNumberFormat="1" applyFill="1" applyBorder="1" applyAlignment="1">
      <alignment horizontal="center" vertical="center"/>
    </xf>
    <xf numFmtId="10" fontId="0" fillId="15" borderId="2" xfId="2" quotePrefix="1" applyNumberFormat="1" applyFont="1" applyFill="1" applyBorder="1" applyAlignment="1"/>
    <xf numFmtId="165" fontId="0" fillId="15" borderId="2" xfId="0" quotePrefix="1" applyNumberFormat="1" applyFill="1" applyBorder="1"/>
    <xf numFmtId="10" fontId="0" fillId="16" borderId="2" xfId="2" quotePrefix="1" applyNumberFormat="1" applyFont="1" applyFill="1" applyBorder="1" applyAlignment="1"/>
    <xf numFmtId="10" fontId="1" fillId="5" borderId="2" xfId="2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0" fontId="12" fillId="4" borderId="2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horizontal="center" vertical="center"/>
    </xf>
    <xf numFmtId="165" fontId="12" fillId="6" borderId="2" xfId="0" applyNumberFormat="1" applyFont="1" applyFill="1" applyBorder="1" applyAlignment="1">
      <alignment horizontal="center" vertical="center"/>
    </xf>
    <xf numFmtId="1" fontId="12" fillId="14" borderId="2" xfId="0" applyNumberFormat="1" applyFont="1" applyFill="1" applyBorder="1" applyAlignment="1">
      <alignment horizontal="center" vertical="center"/>
    </xf>
    <xf numFmtId="9" fontId="0" fillId="6" borderId="2" xfId="2" applyFont="1" applyFill="1" applyBorder="1"/>
    <xf numFmtId="9" fontId="0" fillId="6" borderId="2" xfId="2" applyFont="1" applyFill="1" applyBorder="1" applyAlignment="1">
      <alignment horizontal="center"/>
    </xf>
    <xf numFmtId="9" fontId="0" fillId="7" borderId="2" xfId="2" applyFont="1" applyFill="1" applyBorder="1"/>
    <xf numFmtId="9" fontId="0" fillId="7" borderId="2" xfId="2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10" fontId="1" fillId="4" borderId="13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5" fontId="1" fillId="4" borderId="1" xfId="2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165" fontId="12" fillId="6" borderId="13" xfId="2" applyNumberFormat="1" applyFont="1" applyFill="1" applyBorder="1" applyAlignment="1">
      <alignment horizontal="center" vertical="center"/>
    </xf>
    <xf numFmtId="165" fontId="12" fillId="6" borderId="1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165" fontId="0" fillId="6" borderId="1" xfId="2" applyNumberFormat="1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10" fontId="12" fillId="5" borderId="13" xfId="2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3" fontId="0" fillId="12" borderId="13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12" fillId="13" borderId="10" xfId="2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14" borderId="13" xfId="0" applyNumberFormat="1" applyFill="1" applyBorder="1" applyAlignment="1">
      <alignment horizontal="center" vertical="center"/>
    </xf>
    <xf numFmtId="165" fontId="12" fillId="14" borderId="1" xfId="0" applyNumberFormat="1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9" fontId="0" fillId="0" borderId="42" xfId="0" applyNumberFormat="1" applyBorder="1" applyAlignment="1">
      <alignment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9" fontId="0" fillId="0" borderId="59" xfId="0" applyNumberFormat="1" applyBorder="1" applyAlignment="1">
      <alignment vertical="center"/>
    </xf>
    <xf numFmtId="0" fontId="2" fillId="0" borderId="49" xfId="0" applyFont="1" applyBorder="1"/>
    <xf numFmtId="0" fontId="2" fillId="0" borderId="46" xfId="0" applyFont="1" applyBorder="1"/>
    <xf numFmtId="0" fontId="2" fillId="0" borderId="43" xfId="0" applyFont="1" applyBorder="1"/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10" fontId="0" fillId="15" borderId="36" xfId="2" quotePrefix="1" applyNumberFormat="1" applyFont="1" applyFill="1" applyBorder="1" applyAlignment="1">
      <alignment horizontal="center" vertical="center"/>
    </xf>
    <xf numFmtId="10" fontId="0" fillId="15" borderId="36" xfId="2" applyNumberFormat="1" applyFont="1" applyFill="1" applyBorder="1" applyAlignment="1">
      <alignment horizontal="center" vertical="center"/>
    </xf>
    <xf numFmtId="10" fontId="0" fillId="16" borderId="61" xfId="2" quotePrefix="1" applyNumberFormat="1" applyFont="1" applyFill="1" applyBorder="1" applyAlignment="1">
      <alignment horizontal="center" vertical="center"/>
    </xf>
    <xf numFmtId="10" fontId="0" fillId="16" borderId="61" xfId="2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1" fontId="12" fillId="12" borderId="1" xfId="0" applyNumberFormat="1" applyFont="1" applyFill="1" applyBorder="1" applyAlignment="1">
      <alignment horizontal="center" vertical="center"/>
    </xf>
    <xf numFmtId="9" fontId="12" fillId="6" borderId="13" xfId="2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9" fontId="12" fillId="7" borderId="13" xfId="2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0" fillId="17" borderId="0" xfId="0" applyFill="1"/>
    <xf numFmtId="0" fontId="0" fillId="7" borderId="49" xfId="0" applyFill="1" applyBorder="1" applyAlignment="1">
      <alignment horizontal="center" vertical="center" wrapText="1"/>
    </xf>
    <xf numFmtId="0" fontId="0" fillId="7" borderId="62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0" fillId="7" borderId="45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13" borderId="49" xfId="0" applyFill="1" applyBorder="1" applyAlignment="1">
      <alignment horizontal="center" vertical="center" wrapText="1"/>
    </xf>
    <xf numFmtId="0" fontId="0" fillId="13" borderId="62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8" xfId="0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62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14" borderId="49" xfId="0" applyFill="1" applyBorder="1" applyAlignment="1">
      <alignment horizontal="center" vertical="center" wrapText="1"/>
    </xf>
    <xf numFmtId="0" fontId="0" fillId="14" borderId="62" xfId="0" applyFill="1" applyBorder="1" applyAlignment="1">
      <alignment horizontal="center" vertical="center" wrapText="1"/>
    </xf>
    <xf numFmtId="0" fontId="0" fillId="14" borderId="46" xfId="0" applyFill="1" applyBorder="1" applyAlignment="1">
      <alignment horizontal="center" vertical="center" wrapText="1"/>
    </xf>
    <xf numFmtId="0" fontId="0" fillId="14" borderId="45" xfId="0" applyFill="1" applyBorder="1" applyAlignment="1">
      <alignment horizontal="center" vertical="center" wrapText="1"/>
    </xf>
    <xf numFmtId="0" fontId="0" fillId="14" borderId="37" xfId="0" applyFill="1" applyBorder="1" applyAlignment="1">
      <alignment horizontal="center" vertical="center" wrapText="1"/>
    </xf>
    <xf numFmtId="0" fontId="0" fillId="14" borderId="38" xfId="0" applyFill="1" applyBorder="1" applyAlignment="1">
      <alignment horizontal="center" vertical="center" wrapText="1"/>
    </xf>
    <xf numFmtId="0" fontId="0" fillId="15" borderId="64" xfId="0" applyFill="1" applyBorder="1" applyAlignment="1">
      <alignment horizontal="center" vertical="center" wrapText="1"/>
    </xf>
    <xf numFmtId="0" fontId="0" fillId="15" borderId="63" xfId="0" applyFill="1" applyBorder="1" applyAlignment="1">
      <alignment horizontal="center" vertical="center" wrapText="1"/>
    </xf>
    <xf numFmtId="0" fontId="0" fillId="16" borderId="64" xfId="0" applyFill="1" applyBorder="1" applyAlignment="1">
      <alignment horizontal="center" vertical="center" wrapText="1"/>
    </xf>
    <xf numFmtId="0" fontId="0" fillId="16" borderId="6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0" fontId="0" fillId="0" borderId="46" xfId="0" applyNumberFormat="1" applyBorder="1" applyAlignment="1">
      <alignment horizontal="center"/>
    </xf>
    <xf numFmtId="10" fontId="0" fillId="0" borderId="37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2" borderId="47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6" borderId="47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50" xfId="0" quotePrefix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10" fontId="0" fillId="0" borderId="4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9" fontId="0" fillId="0" borderId="49" xfId="0" applyNumberFormat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12" borderId="54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13" borderId="57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55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 wrapText="1"/>
    </xf>
    <xf numFmtId="0" fontId="0" fillId="12" borderId="62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6" borderId="45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0" borderId="50" xfId="0" quotePrefix="1" applyBorder="1" applyAlignment="1">
      <alignment horizontal="center" vertical="center" wrapText="1"/>
    </xf>
    <xf numFmtId="0" fontId="0" fillId="0" borderId="50" xfId="0" quotePrefix="1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5" borderId="50" xfId="0" quotePrefix="1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9" fontId="0" fillId="0" borderId="46" xfId="0" applyNumberFormat="1" applyBorder="1" applyAlignment="1">
      <alignment horizontal="center" vertical="center"/>
    </xf>
    <xf numFmtId="0" fontId="0" fillId="5" borderId="50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19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10" fillId="0" borderId="31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37" xfId="0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opLeftCell="I1" zoomScale="70" workbookViewId="0">
      <selection activeCell="Z11" sqref="Z11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0" max="10" width="8.83203125" customWidth="1"/>
    <col min="11" max="16" width="7.83203125" customWidth="1"/>
    <col min="17" max="19" width="7.83203125" bestFit="1" customWidth="1"/>
    <col min="20" max="20" width="20.83203125" customWidth="1"/>
    <col min="21" max="21" width="8.83203125" customWidth="1"/>
    <col min="22" max="22" width="6.83203125" bestFit="1" customWidth="1"/>
    <col min="23" max="23" width="7.1640625" bestFit="1" customWidth="1"/>
    <col min="24" max="24" width="20.83203125" customWidth="1"/>
    <col min="32" max="32" width="21" bestFit="1" customWidth="1"/>
  </cols>
  <sheetData>
    <row r="1" spans="1:37" ht="29" thickBot="1" x14ac:dyDescent="0.25">
      <c r="A1" s="1" t="s">
        <v>107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2</v>
      </c>
      <c r="H1" s="6" t="s">
        <v>3</v>
      </c>
      <c r="I1" s="7" t="s">
        <v>4</v>
      </c>
      <c r="J1" s="8" t="s">
        <v>5</v>
      </c>
      <c r="K1" s="9">
        <v>45383</v>
      </c>
      <c r="L1" s="9">
        <v>45413</v>
      </c>
      <c r="M1" s="9">
        <v>45444</v>
      </c>
      <c r="N1" s="9">
        <v>45474</v>
      </c>
      <c r="O1" s="9">
        <v>45505</v>
      </c>
      <c r="P1" s="9">
        <v>45536</v>
      </c>
      <c r="Q1" s="9">
        <v>45566</v>
      </c>
      <c r="R1" s="9">
        <v>45597</v>
      </c>
      <c r="S1" s="9">
        <v>45627</v>
      </c>
      <c r="T1" s="10" t="s">
        <v>6</v>
      </c>
      <c r="U1" s="8" t="s">
        <v>181</v>
      </c>
      <c r="V1" s="2">
        <v>45748</v>
      </c>
      <c r="W1" s="186">
        <v>45778</v>
      </c>
      <c r="X1" s="210"/>
      <c r="Z1" t="s">
        <v>47</v>
      </c>
      <c r="AA1" t="s">
        <v>48</v>
      </c>
      <c r="AB1" t="s">
        <v>49</v>
      </c>
      <c r="AC1" t="s">
        <v>50</v>
      </c>
      <c r="AD1">
        <v>2024</v>
      </c>
    </row>
    <row r="2" spans="1:37" ht="16" thickTop="1" x14ac:dyDescent="0.2">
      <c r="A2" s="11" t="s">
        <v>7</v>
      </c>
      <c r="B2" s="12">
        <v>284</v>
      </c>
      <c r="C2" s="12">
        <v>512</v>
      </c>
      <c r="D2" s="14">
        <v>5285</v>
      </c>
      <c r="E2" s="15">
        <v>1104</v>
      </c>
      <c r="F2" s="13">
        <v>1059</v>
      </c>
      <c r="G2" s="16">
        <v>1868</v>
      </c>
      <c r="H2" s="17">
        <v>994</v>
      </c>
      <c r="I2" s="18">
        <f>E2+F2+G2+H2</f>
        <v>5025</v>
      </c>
      <c r="J2" s="19">
        <v>1012</v>
      </c>
      <c r="K2" s="20">
        <v>402</v>
      </c>
      <c r="L2" s="21">
        <v>477</v>
      </c>
      <c r="M2" s="20">
        <v>656</v>
      </c>
      <c r="N2" s="20">
        <v>1038</v>
      </c>
      <c r="O2" s="20">
        <v>1094</v>
      </c>
      <c r="P2" s="20">
        <v>1571</v>
      </c>
      <c r="Q2" s="20">
        <v>1112</v>
      </c>
      <c r="R2" s="20">
        <v>734</v>
      </c>
      <c r="S2" s="20">
        <v>528</v>
      </c>
      <c r="T2" s="18">
        <f>SUM(J2:S2)</f>
        <v>8624</v>
      </c>
      <c r="U2" s="19"/>
      <c r="V2" s="20"/>
      <c r="W2" s="21"/>
      <c r="X2" s="211"/>
      <c r="Y2" t="s">
        <v>46</v>
      </c>
      <c r="Z2" s="78">
        <f>J2/J6</f>
        <v>0.13240874002355096</v>
      </c>
      <c r="AA2" s="78">
        <f>(K2+L2+M2)/(K6+L6+M6)</f>
        <v>0.15320890308414015</v>
      </c>
      <c r="AB2" s="78">
        <f>(N2+O2+P2)/(N6+O6+P6)</f>
        <v>0.23103319191415023</v>
      </c>
      <c r="AC2" s="78">
        <f>(Q2+R2+S2)/(Q6+R6+S6)</f>
        <v>0.19389088533159099</v>
      </c>
      <c r="AD2" s="79">
        <f>T2/T6</f>
        <v>0.18774763791526974</v>
      </c>
      <c r="AG2" t="s">
        <v>47</v>
      </c>
      <c r="AH2" t="s">
        <v>48</v>
      </c>
      <c r="AI2" t="s">
        <v>49</v>
      </c>
      <c r="AJ2" t="s">
        <v>50</v>
      </c>
      <c r="AK2">
        <v>2024</v>
      </c>
    </row>
    <row r="3" spans="1:37" x14ac:dyDescent="0.2">
      <c r="A3" s="22" t="s">
        <v>8</v>
      </c>
      <c r="B3" s="12">
        <v>893</v>
      </c>
      <c r="C3" s="12">
        <v>2349</v>
      </c>
      <c r="D3" s="23">
        <v>19652</v>
      </c>
      <c r="E3" s="24">
        <v>5994</v>
      </c>
      <c r="F3" s="12">
        <v>9364</v>
      </c>
      <c r="G3" s="25">
        <v>4863</v>
      </c>
      <c r="H3" s="26">
        <v>5431</v>
      </c>
      <c r="I3" s="18">
        <f t="shared" ref="I3:I40" si="0">E3+F3+G3+H3</f>
        <v>25652</v>
      </c>
      <c r="J3" s="27">
        <v>4665</v>
      </c>
      <c r="K3" s="26">
        <v>1734</v>
      </c>
      <c r="L3" s="28">
        <v>3222</v>
      </c>
      <c r="M3" s="26">
        <v>3044</v>
      </c>
      <c r="N3" s="26">
        <v>3892</v>
      </c>
      <c r="O3" s="26">
        <v>4100</v>
      </c>
      <c r="P3" s="26">
        <v>4078</v>
      </c>
      <c r="Q3" s="26">
        <v>3744</v>
      </c>
      <c r="R3" s="26">
        <v>3298</v>
      </c>
      <c r="S3" s="26">
        <v>2908</v>
      </c>
      <c r="T3" s="18">
        <f t="shared" ref="T3:T9" si="1">SUM(J3:S3)</f>
        <v>34685</v>
      </c>
      <c r="U3" s="27"/>
      <c r="V3" s="26"/>
      <c r="W3" s="28"/>
      <c r="X3" s="211"/>
      <c r="Z3" s="79">
        <f>J5/J9</f>
        <v>5.7211510956004345E-2</v>
      </c>
      <c r="AA3" s="79">
        <f>(K5+L5+M5)/(K9+L9+M9)</f>
        <v>5.756591372667523E-2</v>
      </c>
      <c r="AB3" s="79">
        <f>(N5+O5+P5)/(N9+O9+P9)</f>
        <v>6.8121827411167513E-2</v>
      </c>
      <c r="AC3" s="79">
        <f>(Q5+R5+S5)/(Q9+R9+S9)</f>
        <v>6.9262804120698476E-2</v>
      </c>
      <c r="AD3" s="79">
        <f>T5/T9</f>
        <v>6.3210770166762867E-2</v>
      </c>
      <c r="AF3" t="s">
        <v>52</v>
      </c>
      <c r="AG3" s="80">
        <f>J15</f>
        <v>58556</v>
      </c>
      <c r="AH3" s="80">
        <f>K15+L15+M15</f>
        <v>56750</v>
      </c>
      <c r="AI3" s="80">
        <f>N15+O15+P15</f>
        <v>82900</v>
      </c>
      <c r="AJ3" s="80">
        <f>Q15+R15+S15</f>
        <v>47425</v>
      </c>
      <c r="AK3" s="80">
        <f>T15</f>
        <v>245631</v>
      </c>
    </row>
    <row r="4" spans="1:37" x14ac:dyDescent="0.2">
      <c r="A4" s="22" t="s">
        <v>9</v>
      </c>
      <c r="B4" s="12">
        <v>1230</v>
      </c>
      <c r="C4" s="12">
        <v>1514</v>
      </c>
      <c r="D4" s="23">
        <v>16407</v>
      </c>
      <c r="E4" s="24">
        <v>3668</v>
      </c>
      <c r="F4" s="12">
        <v>3836</v>
      </c>
      <c r="G4" s="25">
        <v>2723</v>
      </c>
      <c r="H4" s="26">
        <v>3743</v>
      </c>
      <c r="I4" s="18">
        <f t="shared" si="0"/>
        <v>13970</v>
      </c>
      <c r="J4" s="27">
        <v>3309</v>
      </c>
      <c r="K4" s="26">
        <v>560</v>
      </c>
      <c r="L4" s="28">
        <v>734</v>
      </c>
      <c r="M4" s="26">
        <v>822</v>
      </c>
      <c r="N4" s="26">
        <v>1107</v>
      </c>
      <c r="O4" s="26">
        <v>1278</v>
      </c>
      <c r="P4" s="26">
        <v>1096</v>
      </c>
      <c r="Q4" s="26">
        <v>610</v>
      </c>
      <c r="R4" s="26">
        <v>575</v>
      </c>
      <c r="S4" s="26">
        <v>630</v>
      </c>
      <c r="T4" s="18">
        <f t="shared" si="1"/>
        <v>10721</v>
      </c>
      <c r="U4" s="27"/>
      <c r="V4" s="26"/>
      <c r="W4" s="28"/>
      <c r="X4" s="211"/>
      <c r="AF4" t="s">
        <v>53</v>
      </c>
      <c r="AG4" s="80">
        <f>J14</f>
        <v>20247</v>
      </c>
      <c r="AH4" s="80">
        <f>L14+M14+K14</f>
        <v>16508</v>
      </c>
      <c r="AI4" s="80">
        <f>N14+O14+P14</f>
        <v>27822</v>
      </c>
      <c r="AJ4" s="80">
        <f>Q14+R14+S14</f>
        <v>17811</v>
      </c>
      <c r="AK4" s="80">
        <f>T14</f>
        <v>82388</v>
      </c>
    </row>
    <row r="5" spans="1:37" x14ac:dyDescent="0.2">
      <c r="A5" s="22" t="s">
        <v>10</v>
      </c>
      <c r="B5" s="12">
        <v>433</v>
      </c>
      <c r="C5" s="12">
        <v>507</v>
      </c>
      <c r="D5" s="23">
        <v>4888</v>
      </c>
      <c r="E5" s="24">
        <v>1149</v>
      </c>
      <c r="F5" s="12">
        <v>1062</v>
      </c>
      <c r="G5" s="25">
        <v>736</v>
      </c>
      <c r="H5" s="26">
        <v>1057</v>
      </c>
      <c r="I5" s="18">
        <f t="shared" si="0"/>
        <v>4004</v>
      </c>
      <c r="J5" s="27">
        <v>1000</v>
      </c>
      <c r="K5" s="26">
        <v>259</v>
      </c>
      <c r="L5" s="28">
        <v>269</v>
      </c>
      <c r="M5" s="26">
        <v>234</v>
      </c>
      <c r="N5" s="26">
        <v>415</v>
      </c>
      <c r="O5" s="26">
        <v>482</v>
      </c>
      <c r="P5" s="26">
        <v>445</v>
      </c>
      <c r="Q5" s="26">
        <v>411</v>
      </c>
      <c r="R5" s="26">
        <v>258</v>
      </c>
      <c r="S5" s="26">
        <v>279</v>
      </c>
      <c r="T5" s="18">
        <f t="shared" si="1"/>
        <v>4052</v>
      </c>
      <c r="U5" s="27"/>
      <c r="V5" s="26"/>
      <c r="W5" s="28"/>
      <c r="X5" s="211"/>
      <c r="AF5" s="81" t="s">
        <v>56</v>
      </c>
      <c r="AG5" s="82">
        <f>AG3+AG4</f>
        <v>78803</v>
      </c>
      <c r="AH5" s="82">
        <f t="shared" ref="AH5:AJ5" si="2">AH3+AH4</f>
        <v>73258</v>
      </c>
      <c r="AI5" s="82">
        <f>AI4+AI3</f>
        <v>110722</v>
      </c>
      <c r="AJ5" s="82">
        <f t="shared" si="2"/>
        <v>65236</v>
      </c>
      <c r="AK5" s="82">
        <f>AK3+AK4</f>
        <v>328019</v>
      </c>
    </row>
    <row r="6" spans="1:37" x14ac:dyDescent="0.2">
      <c r="A6" s="22" t="s">
        <v>11</v>
      </c>
      <c r="B6" s="12">
        <v>3235</v>
      </c>
      <c r="C6" s="12">
        <v>3939</v>
      </c>
      <c r="D6" s="23">
        <v>45953</v>
      </c>
      <c r="E6" s="24">
        <v>11299</v>
      </c>
      <c r="F6" s="12">
        <v>15900</v>
      </c>
      <c r="G6" s="25">
        <v>11999</v>
      </c>
      <c r="H6" s="26">
        <v>9929</v>
      </c>
      <c r="I6" s="18">
        <f t="shared" si="0"/>
        <v>49127</v>
      </c>
      <c r="J6" s="27">
        <v>7643</v>
      </c>
      <c r="K6" s="26">
        <v>3146</v>
      </c>
      <c r="L6" s="28">
        <v>3263</v>
      </c>
      <c r="M6" s="26">
        <v>3610</v>
      </c>
      <c r="N6" s="26">
        <v>4407</v>
      </c>
      <c r="O6" s="26">
        <v>5086</v>
      </c>
      <c r="P6" s="26">
        <v>6535</v>
      </c>
      <c r="Q6" s="26">
        <v>5370</v>
      </c>
      <c r="R6" s="26">
        <v>3800</v>
      </c>
      <c r="S6" s="26">
        <v>3074</v>
      </c>
      <c r="T6" s="18">
        <f t="shared" si="1"/>
        <v>45934</v>
      </c>
      <c r="U6" s="27"/>
      <c r="V6" s="26"/>
      <c r="W6" s="28"/>
      <c r="X6" s="211"/>
      <c r="Z6" t="s">
        <v>47</v>
      </c>
      <c r="AA6" t="s">
        <v>48</v>
      </c>
      <c r="AB6" t="s">
        <v>49</v>
      </c>
      <c r="AC6" t="s">
        <v>50</v>
      </c>
      <c r="AD6">
        <v>2024</v>
      </c>
      <c r="AF6" t="s">
        <v>54</v>
      </c>
      <c r="AG6" s="80">
        <f>J12</f>
        <v>10136</v>
      </c>
      <c r="AH6" s="80">
        <f>L12+M12+K12</f>
        <v>11484</v>
      </c>
      <c r="AI6" s="80">
        <f>N12+O12+P12</f>
        <v>17429</v>
      </c>
      <c r="AJ6" s="80">
        <f>Q12+R12+S12</f>
        <v>11037</v>
      </c>
      <c r="AK6" s="80">
        <f>T12</f>
        <v>50086</v>
      </c>
    </row>
    <row r="7" spans="1:37" x14ac:dyDescent="0.2">
      <c r="A7" s="22" t="s">
        <v>12</v>
      </c>
      <c r="B7" s="12">
        <v>10273</v>
      </c>
      <c r="C7" s="12">
        <v>14398</v>
      </c>
      <c r="D7" s="23">
        <v>143372</v>
      </c>
      <c r="E7" s="24">
        <v>42999</v>
      </c>
      <c r="F7" s="12">
        <v>61644</v>
      </c>
      <c r="G7" s="25">
        <v>34180</v>
      </c>
      <c r="H7" s="26">
        <v>33867</v>
      </c>
      <c r="I7" s="18">
        <f t="shared" si="0"/>
        <v>172690</v>
      </c>
      <c r="J7" s="27">
        <v>20547</v>
      </c>
      <c r="K7" s="26">
        <v>9249</v>
      </c>
      <c r="L7" s="28">
        <v>14829</v>
      </c>
      <c r="M7" s="26">
        <v>14512</v>
      </c>
      <c r="N7" s="26">
        <v>17768</v>
      </c>
      <c r="O7" s="26">
        <v>15978</v>
      </c>
      <c r="P7" s="26">
        <v>18888</v>
      </c>
      <c r="Q7" s="26">
        <v>16125</v>
      </c>
      <c r="R7" s="26">
        <v>13600</v>
      </c>
      <c r="S7" s="26">
        <v>11381</v>
      </c>
      <c r="T7" s="18">
        <f t="shared" si="1"/>
        <v>152877</v>
      </c>
      <c r="U7" s="27"/>
      <c r="V7" s="26"/>
      <c r="W7" s="28"/>
      <c r="X7" s="211"/>
      <c r="Y7" t="s">
        <v>58</v>
      </c>
      <c r="Z7" s="79">
        <f>(J10+J12)/(J11+J13)</f>
        <v>0.21306749525289143</v>
      </c>
      <c r="AA7" s="79">
        <f>(SUM(K10:M10)+SUM(K12:M12))/(SUM(K11:M11)+(SUM(K13:M13)))</f>
        <v>0.23379131583851459</v>
      </c>
      <c r="AB7" s="79">
        <f>(SUM(N10:P10)+SUM(N12:P12))/(SUM(N11:P11)+(SUM(N13:P13)))</f>
        <v>0.23193282731631798</v>
      </c>
      <c r="AC7" s="79">
        <f>(SUM(Q10:S10)+SUM(Q12:S12))/(SUM(Q11:S11)+(SUM(Q13:S13)))</f>
        <v>0.23237155021797024</v>
      </c>
      <c r="AD7" s="79">
        <f>(T10+T12)/(T11+T13)</f>
        <v>0.22837307194597731</v>
      </c>
      <c r="AF7" t="s">
        <v>55</v>
      </c>
      <c r="AG7" s="80">
        <f>J10</f>
        <v>2207</v>
      </c>
      <c r="AH7" s="80">
        <f>L10+M10+K10</f>
        <v>2316</v>
      </c>
      <c r="AI7" s="80">
        <f>N10+O10+P10</f>
        <v>4144</v>
      </c>
      <c r="AJ7" s="80">
        <f>Q10+R10+S10</f>
        <v>2662</v>
      </c>
      <c r="AK7" s="80">
        <f>T10</f>
        <v>11329</v>
      </c>
    </row>
    <row r="8" spans="1:37" x14ac:dyDescent="0.2">
      <c r="A8" s="22" t="s">
        <v>13</v>
      </c>
      <c r="B8" s="12">
        <v>11244</v>
      </c>
      <c r="C8" s="12">
        <v>10679</v>
      </c>
      <c r="D8" s="23">
        <v>140712</v>
      </c>
      <c r="E8" s="24">
        <v>31119</v>
      </c>
      <c r="F8" s="12">
        <v>38208</v>
      </c>
      <c r="G8" s="25">
        <v>27152</v>
      </c>
      <c r="H8" s="26">
        <v>54308</v>
      </c>
      <c r="I8" s="18">
        <f t="shared" si="0"/>
        <v>150787</v>
      </c>
      <c r="J8" s="27">
        <v>42384</v>
      </c>
      <c r="K8" s="26">
        <v>8971</v>
      </c>
      <c r="L8" s="28">
        <v>11645</v>
      </c>
      <c r="M8" s="26">
        <v>12212</v>
      </c>
      <c r="N8" s="26">
        <v>13965</v>
      </c>
      <c r="O8" s="26">
        <v>12758</v>
      </c>
      <c r="P8" s="26">
        <v>15065</v>
      </c>
      <c r="Q8" s="26">
        <v>9173</v>
      </c>
      <c r="R8" s="26">
        <v>10240</v>
      </c>
      <c r="S8" s="26">
        <v>9591</v>
      </c>
      <c r="T8" s="18">
        <f t="shared" si="1"/>
        <v>146004</v>
      </c>
      <c r="U8" s="27"/>
      <c r="V8" s="49"/>
      <c r="W8" s="37"/>
      <c r="X8" s="211"/>
      <c r="AF8" s="81" t="s">
        <v>57</v>
      </c>
      <c r="AG8" s="82">
        <f>AG6+AG7</f>
        <v>12343</v>
      </c>
      <c r="AH8" s="82">
        <f t="shared" ref="AH8:AK8" si="3">AH6+AH7</f>
        <v>13800</v>
      </c>
      <c r="AI8" s="82">
        <f t="shared" si="3"/>
        <v>21573</v>
      </c>
      <c r="AJ8" s="82">
        <f t="shared" si="3"/>
        <v>13699</v>
      </c>
      <c r="AK8" s="82">
        <f t="shared" si="3"/>
        <v>61415</v>
      </c>
    </row>
    <row r="9" spans="1:37" ht="16" thickBot="1" x14ac:dyDescent="0.25">
      <c r="A9" s="29" t="s">
        <v>14</v>
      </c>
      <c r="B9" s="30">
        <v>3902</v>
      </c>
      <c r="C9" s="30">
        <v>3990</v>
      </c>
      <c r="D9" s="31">
        <v>54201</v>
      </c>
      <c r="E9" s="32">
        <v>11875</v>
      </c>
      <c r="F9" s="30">
        <v>14485</v>
      </c>
      <c r="G9" s="33">
        <v>8585</v>
      </c>
      <c r="H9" s="34">
        <v>19844</v>
      </c>
      <c r="I9" s="18">
        <f t="shared" si="0"/>
        <v>54789</v>
      </c>
      <c r="J9" s="35">
        <v>17479</v>
      </c>
      <c r="K9" s="36">
        <v>4035</v>
      </c>
      <c r="L9" s="37">
        <v>4677</v>
      </c>
      <c r="M9" s="36">
        <v>4525</v>
      </c>
      <c r="N9" s="36">
        <v>6149</v>
      </c>
      <c r="O9" s="36">
        <v>6679</v>
      </c>
      <c r="P9" s="36">
        <v>6872</v>
      </c>
      <c r="Q9" s="36">
        <v>5436</v>
      </c>
      <c r="R9" s="36">
        <v>5014</v>
      </c>
      <c r="S9" s="36">
        <v>3237</v>
      </c>
      <c r="T9" s="38">
        <f t="shared" si="1"/>
        <v>64103</v>
      </c>
      <c r="U9" s="182"/>
      <c r="V9" s="49"/>
      <c r="W9" s="37"/>
      <c r="X9" s="211"/>
      <c r="AF9" t="s">
        <v>62</v>
      </c>
      <c r="AG9" s="80">
        <f>J13</f>
        <v>40925</v>
      </c>
      <c r="AH9" s="80">
        <f>K13+L13+M13</f>
        <v>43721</v>
      </c>
      <c r="AI9" s="80">
        <f>N13+O13+P13</f>
        <v>66355</v>
      </c>
      <c r="AJ9" s="80">
        <f>Q13+R13+S13</f>
        <v>41739</v>
      </c>
      <c r="AK9" s="80">
        <f>T13</f>
        <v>192740</v>
      </c>
    </row>
    <row r="10" spans="1:37" ht="16" thickTop="1" x14ac:dyDescent="0.2">
      <c r="A10" s="39" t="s">
        <v>15</v>
      </c>
      <c r="B10" s="13">
        <v>858</v>
      </c>
      <c r="C10" s="13">
        <v>1128</v>
      </c>
      <c r="D10" s="14">
        <v>11084</v>
      </c>
      <c r="E10" s="40">
        <v>3193</v>
      </c>
      <c r="F10" s="13">
        <v>3095</v>
      </c>
      <c r="G10" s="41">
        <v>1677</v>
      </c>
      <c r="H10" s="20">
        <v>2436</v>
      </c>
      <c r="I10" s="42">
        <f t="shared" si="0"/>
        <v>10401</v>
      </c>
      <c r="J10" s="43">
        <v>2207</v>
      </c>
      <c r="K10" s="17">
        <v>594</v>
      </c>
      <c r="L10" s="44">
        <v>881</v>
      </c>
      <c r="M10" s="17">
        <v>841</v>
      </c>
      <c r="N10" s="17">
        <v>1255</v>
      </c>
      <c r="O10" s="17">
        <v>1337</v>
      </c>
      <c r="P10" s="17">
        <v>1552</v>
      </c>
      <c r="Q10" s="17">
        <v>1643</v>
      </c>
      <c r="R10" s="17">
        <v>899</v>
      </c>
      <c r="S10" s="17">
        <v>120</v>
      </c>
      <c r="T10" s="18">
        <f>SUM(J10:S10)</f>
        <v>11329</v>
      </c>
      <c r="U10" s="43"/>
      <c r="V10" s="17"/>
      <c r="W10" s="44"/>
      <c r="X10" s="211"/>
      <c r="AF10" t="s">
        <v>63</v>
      </c>
      <c r="AG10" s="80">
        <f>J11</f>
        <v>17005</v>
      </c>
      <c r="AH10" s="80">
        <f>K11+L11+M11</f>
        <v>15306</v>
      </c>
      <c r="AI10" s="80">
        <f>N11+O11+P11</f>
        <v>26659</v>
      </c>
      <c r="AJ10" s="80">
        <f>Q11+R11+S11</f>
        <v>17214</v>
      </c>
      <c r="AK10" s="80">
        <f>T11</f>
        <v>76184</v>
      </c>
    </row>
    <row r="11" spans="1:37" x14ac:dyDescent="0.2">
      <c r="A11" s="45" t="s">
        <v>16</v>
      </c>
      <c r="B11" s="12">
        <v>8540</v>
      </c>
      <c r="C11" s="12">
        <v>5452</v>
      </c>
      <c r="D11" s="23">
        <v>69135</v>
      </c>
      <c r="E11" s="24">
        <v>17065</v>
      </c>
      <c r="F11" s="12">
        <v>21743</v>
      </c>
      <c r="G11" s="25">
        <v>11572</v>
      </c>
      <c r="H11" s="26">
        <v>19731</v>
      </c>
      <c r="I11" s="18">
        <f t="shared" si="0"/>
        <v>70111</v>
      </c>
      <c r="J11" s="27">
        <v>17005</v>
      </c>
      <c r="K11" s="26">
        <v>4219</v>
      </c>
      <c r="L11" s="28">
        <v>5413</v>
      </c>
      <c r="M11" s="26">
        <v>5674</v>
      </c>
      <c r="N11" s="26">
        <v>8561</v>
      </c>
      <c r="O11" s="26">
        <v>8271</v>
      </c>
      <c r="P11" s="26">
        <v>9827</v>
      </c>
      <c r="Q11" s="26">
        <v>9375</v>
      </c>
      <c r="R11" s="26">
        <v>7335</v>
      </c>
      <c r="S11" s="26">
        <v>504</v>
      </c>
      <c r="T11" s="18">
        <f t="shared" ref="T11:T16" si="4">SUM(J11:S11)</f>
        <v>76184</v>
      </c>
      <c r="U11" s="27"/>
      <c r="V11" s="26"/>
      <c r="W11" s="28"/>
      <c r="X11" s="211"/>
      <c r="Z11" t="s">
        <v>47</v>
      </c>
      <c r="AA11" t="s">
        <v>48</v>
      </c>
      <c r="AB11" t="s">
        <v>49</v>
      </c>
      <c r="AC11" t="s">
        <v>50</v>
      </c>
      <c r="AD11">
        <v>2024</v>
      </c>
      <c r="AF11" s="81" t="s">
        <v>64</v>
      </c>
      <c r="AG11" s="82">
        <f>AG9+AG10</f>
        <v>57930</v>
      </c>
      <c r="AH11" s="82">
        <f>AH9+AH10</f>
        <v>59027</v>
      </c>
      <c r="AI11" s="82">
        <f t="shared" ref="AI11" si="5">AI9+AI10</f>
        <v>93014</v>
      </c>
      <c r="AJ11" s="82">
        <f t="shared" ref="AJ11" si="6">AJ9+AJ10</f>
        <v>58953</v>
      </c>
      <c r="AK11" s="82">
        <f t="shared" ref="AK11" si="7">AK9+AK10</f>
        <v>268924</v>
      </c>
    </row>
    <row r="12" spans="1:37" x14ac:dyDescent="0.2">
      <c r="A12" s="45" t="s">
        <v>17</v>
      </c>
      <c r="B12" s="12">
        <v>3026</v>
      </c>
      <c r="C12" s="12">
        <v>4301</v>
      </c>
      <c r="D12" s="23">
        <v>49297</v>
      </c>
      <c r="E12" s="24">
        <v>12608</v>
      </c>
      <c r="F12" s="12">
        <v>14514</v>
      </c>
      <c r="G12" s="25">
        <v>9709</v>
      </c>
      <c r="H12" s="26">
        <v>10487</v>
      </c>
      <c r="I12" s="18">
        <f t="shared" si="0"/>
        <v>47318</v>
      </c>
      <c r="J12" s="27">
        <v>10136</v>
      </c>
      <c r="K12" s="26">
        <v>2584</v>
      </c>
      <c r="L12" s="28">
        <v>4558</v>
      </c>
      <c r="M12" s="26">
        <v>4342</v>
      </c>
      <c r="N12" s="26">
        <v>5591</v>
      </c>
      <c r="O12" s="26">
        <v>5320</v>
      </c>
      <c r="P12" s="26">
        <v>6518</v>
      </c>
      <c r="Q12" s="26">
        <v>6133</v>
      </c>
      <c r="R12" s="26">
        <v>4168</v>
      </c>
      <c r="S12" s="26">
        <v>736</v>
      </c>
      <c r="T12" s="18">
        <f t="shared" si="4"/>
        <v>50086</v>
      </c>
      <c r="U12" s="27"/>
      <c r="V12" s="26"/>
      <c r="W12" s="28"/>
      <c r="X12" s="211"/>
      <c r="Y12" t="s">
        <v>51</v>
      </c>
      <c r="Z12">
        <f>(J10+J12)/(J14+J15)</f>
        <v>0.15663109272489625</v>
      </c>
      <c r="AA12">
        <f>(K10+L10+M10+K12+L12+M12)/(K14+L14+M14+K15+L15+M15)</f>
        <v>0.18837533102186793</v>
      </c>
      <c r="AB12">
        <f>(N10+O10+P10+N12+O12+P12)/(N14+O14+P14+N15+O15+P15)</f>
        <v>0.19483932732428966</v>
      </c>
      <c r="AC12">
        <f>(Q10+R10+S10+Q12+R12+S12)/(Q14+R14+S14+Q15+R15+S15)</f>
        <v>0.20999141578269667</v>
      </c>
      <c r="AD12">
        <f>(T10+T12)/(T14+T15)</f>
        <v>0.18723000801782824</v>
      </c>
      <c r="AF12" s="81" t="s">
        <v>66</v>
      </c>
      <c r="AG12" s="80">
        <f>J28</f>
        <v>18387</v>
      </c>
      <c r="AH12" s="80">
        <f>K28+L28+M28</f>
        <v>10455</v>
      </c>
      <c r="AI12" s="80">
        <f>N28+O28+P28</f>
        <v>18044</v>
      </c>
      <c r="AJ12" s="80">
        <f>Q28+R28+S28</f>
        <v>14605</v>
      </c>
      <c r="AK12" s="80">
        <f>T28</f>
        <v>61491</v>
      </c>
    </row>
    <row r="13" spans="1:37" x14ac:dyDescent="0.2">
      <c r="A13" s="45" t="s">
        <v>18</v>
      </c>
      <c r="B13" s="12">
        <v>6254</v>
      </c>
      <c r="C13" s="12">
        <v>7184</v>
      </c>
      <c r="D13" s="23">
        <v>69336</v>
      </c>
      <c r="E13" s="24">
        <v>18369</v>
      </c>
      <c r="F13" s="12">
        <v>41016</v>
      </c>
      <c r="G13" s="25">
        <v>32382</v>
      </c>
      <c r="H13" s="26">
        <v>44290</v>
      </c>
      <c r="I13" s="18">
        <f t="shared" si="0"/>
        <v>136057</v>
      </c>
      <c r="J13" s="27">
        <v>40925</v>
      </c>
      <c r="K13" s="26">
        <v>11140</v>
      </c>
      <c r="L13" s="28">
        <v>14969</v>
      </c>
      <c r="M13" s="26">
        <v>17612</v>
      </c>
      <c r="N13" s="26">
        <v>23072</v>
      </c>
      <c r="O13" s="26">
        <v>18424</v>
      </c>
      <c r="P13" s="26">
        <v>24859</v>
      </c>
      <c r="Q13" s="26">
        <v>22041</v>
      </c>
      <c r="R13" s="26">
        <v>18027</v>
      </c>
      <c r="S13" s="26">
        <v>1671</v>
      </c>
      <c r="T13" s="18">
        <f t="shared" si="4"/>
        <v>192740</v>
      </c>
      <c r="U13" s="27"/>
      <c r="V13" s="26"/>
      <c r="W13" s="28"/>
      <c r="X13" s="211"/>
      <c r="Z13">
        <f>Z12*1000</f>
        <v>156.63109272489626</v>
      </c>
      <c r="AA13">
        <f t="shared" ref="AA13:AC13" si="8">AA12*1000</f>
        <v>188.37533102186794</v>
      </c>
      <c r="AB13">
        <f t="shared" si="8"/>
        <v>194.83932732428966</v>
      </c>
      <c r="AC13">
        <f t="shared" si="8"/>
        <v>209.99141578269666</v>
      </c>
      <c r="AD13">
        <f>AD12*1000</f>
        <v>187.23000801782825</v>
      </c>
      <c r="AF13" s="81" t="s">
        <v>65</v>
      </c>
      <c r="AG13" s="83">
        <f>AG11/AG5</f>
        <v>0.73512429729832618</v>
      </c>
      <c r="AH13" s="83">
        <f>AH11/AH5</f>
        <v>0.80574135248027523</v>
      </c>
      <c r="AI13" s="83">
        <f>AI11/AI5</f>
        <v>0.84006791784830481</v>
      </c>
      <c r="AJ13" s="83">
        <f>AJ11/AJ5</f>
        <v>0.90368814764853767</v>
      </c>
      <c r="AK13" s="83">
        <f>AK11/AK5</f>
        <v>0.81984275301125853</v>
      </c>
    </row>
    <row r="14" spans="1:37" x14ac:dyDescent="0.2">
      <c r="A14" s="45" t="s">
        <v>19</v>
      </c>
      <c r="B14" s="12">
        <v>9280</v>
      </c>
      <c r="C14" s="12">
        <v>6217</v>
      </c>
      <c r="D14" s="23">
        <v>77571</v>
      </c>
      <c r="E14" s="24">
        <v>18816</v>
      </c>
      <c r="F14" s="12">
        <v>23741</v>
      </c>
      <c r="G14" s="25">
        <v>12661</v>
      </c>
      <c r="H14" s="26">
        <v>22501</v>
      </c>
      <c r="I14" s="18">
        <f t="shared" si="0"/>
        <v>77719</v>
      </c>
      <c r="J14" s="27">
        <v>20247</v>
      </c>
      <c r="K14" s="26">
        <v>4531</v>
      </c>
      <c r="L14" s="28">
        <v>5944</v>
      </c>
      <c r="M14" s="26">
        <v>6033</v>
      </c>
      <c r="N14" s="26">
        <v>8872</v>
      </c>
      <c r="O14" s="26">
        <v>8731</v>
      </c>
      <c r="P14" s="26">
        <v>10219</v>
      </c>
      <c r="Q14" s="26">
        <v>9566</v>
      </c>
      <c r="R14" s="26">
        <v>7686</v>
      </c>
      <c r="S14" s="26">
        <v>559</v>
      </c>
      <c r="T14" s="18">
        <f t="shared" si="4"/>
        <v>82388</v>
      </c>
      <c r="U14" s="27"/>
      <c r="V14" s="26"/>
      <c r="W14" s="28"/>
      <c r="X14" s="211"/>
      <c r="AF14" s="81" t="s">
        <v>67</v>
      </c>
      <c r="AG14" s="83">
        <f>AG12/AG8</f>
        <v>1.4896702584460828</v>
      </c>
      <c r="AH14" s="83">
        <f t="shared" ref="AH14:AK14" si="9">AH12/AH8</f>
        <v>0.75760869565217392</v>
      </c>
      <c r="AI14" s="83">
        <f t="shared" si="9"/>
        <v>0.83641589023316187</v>
      </c>
      <c r="AJ14" s="83">
        <f t="shared" si="9"/>
        <v>1.0661362143222133</v>
      </c>
      <c r="AK14" s="83">
        <f t="shared" si="9"/>
        <v>1.0012374826996662</v>
      </c>
    </row>
    <row r="15" spans="1:37" x14ac:dyDescent="0.2">
      <c r="A15" s="45" t="s">
        <v>20</v>
      </c>
      <c r="B15" s="12">
        <v>15146</v>
      </c>
      <c r="C15" s="12">
        <v>16079</v>
      </c>
      <c r="D15" s="23">
        <v>207635</v>
      </c>
      <c r="E15" s="24">
        <v>51363</v>
      </c>
      <c r="F15" s="12">
        <v>71167</v>
      </c>
      <c r="G15" s="25">
        <v>47538</v>
      </c>
      <c r="H15" s="26">
        <v>68437</v>
      </c>
      <c r="I15" s="18">
        <f t="shared" si="0"/>
        <v>238505</v>
      </c>
      <c r="J15" s="27">
        <v>58556</v>
      </c>
      <c r="K15" s="26">
        <v>14372</v>
      </c>
      <c r="L15" s="28">
        <v>19993</v>
      </c>
      <c r="M15" s="26">
        <v>22385</v>
      </c>
      <c r="N15" s="26">
        <v>28398</v>
      </c>
      <c r="O15" s="26">
        <v>24777</v>
      </c>
      <c r="P15" s="26">
        <v>29725</v>
      </c>
      <c r="Q15" s="26">
        <v>25173</v>
      </c>
      <c r="R15" s="26">
        <v>20260</v>
      </c>
      <c r="S15" s="26">
        <v>1992</v>
      </c>
      <c r="T15" s="18">
        <f t="shared" si="4"/>
        <v>245631</v>
      </c>
      <c r="U15" s="27"/>
      <c r="V15" s="26"/>
      <c r="W15" s="28"/>
      <c r="X15" s="211"/>
    </row>
    <row r="16" spans="1:37" ht="16" thickBot="1" x14ac:dyDescent="0.25">
      <c r="A16" s="46" t="s">
        <v>21</v>
      </c>
      <c r="B16" s="34">
        <v>92</v>
      </c>
      <c r="C16" s="34">
        <v>100</v>
      </c>
      <c r="D16" s="47">
        <v>1256</v>
      </c>
      <c r="E16" s="48">
        <v>252</v>
      </c>
      <c r="F16" s="34">
        <v>138</v>
      </c>
      <c r="G16" s="33">
        <v>180</v>
      </c>
      <c r="H16" s="34">
        <v>77</v>
      </c>
      <c r="I16" s="38">
        <f t="shared" si="0"/>
        <v>647</v>
      </c>
      <c r="J16" s="48">
        <v>142</v>
      </c>
      <c r="K16" s="49">
        <v>16</v>
      </c>
      <c r="L16" s="37">
        <v>42</v>
      </c>
      <c r="M16" s="49">
        <v>18</v>
      </c>
      <c r="N16" s="49">
        <v>111</v>
      </c>
      <c r="O16" s="49">
        <v>241</v>
      </c>
      <c r="P16" s="49">
        <v>36</v>
      </c>
      <c r="Q16" s="49">
        <v>34</v>
      </c>
      <c r="R16" s="49">
        <v>25</v>
      </c>
      <c r="S16" s="49">
        <v>6</v>
      </c>
      <c r="T16" s="18">
        <f t="shared" si="4"/>
        <v>671</v>
      </c>
      <c r="U16" s="48"/>
      <c r="V16" s="49"/>
      <c r="W16" s="37"/>
      <c r="X16" s="211"/>
    </row>
    <row r="17" spans="1:31" ht="16" thickTop="1" x14ac:dyDescent="0.2">
      <c r="A17" s="50" t="s">
        <v>22</v>
      </c>
      <c r="B17" s="13">
        <v>2755</v>
      </c>
      <c r="C17" s="13">
        <v>2123</v>
      </c>
      <c r="D17" s="14">
        <v>45015</v>
      </c>
      <c r="E17" s="40">
        <v>5665</v>
      </c>
      <c r="F17" s="13">
        <v>10431</v>
      </c>
      <c r="G17" s="41">
        <v>5569</v>
      </c>
      <c r="H17" s="20">
        <v>14533</v>
      </c>
      <c r="I17" s="18">
        <f t="shared" si="0"/>
        <v>36198</v>
      </c>
      <c r="J17" s="19">
        <v>7871</v>
      </c>
      <c r="K17" s="51">
        <v>1834</v>
      </c>
      <c r="L17" s="44">
        <v>1456</v>
      </c>
      <c r="M17" s="51">
        <v>1389</v>
      </c>
      <c r="N17" s="51">
        <v>1117</v>
      </c>
      <c r="O17" s="51">
        <v>2767</v>
      </c>
      <c r="P17" s="51">
        <v>5694</v>
      </c>
      <c r="Q17" s="51">
        <v>4084</v>
      </c>
      <c r="R17" s="51">
        <v>3830</v>
      </c>
      <c r="S17" s="51">
        <v>1036</v>
      </c>
      <c r="T17" s="42">
        <f>SUM(J17:S17)</f>
        <v>31078</v>
      </c>
      <c r="U17" s="19"/>
      <c r="V17" s="51"/>
      <c r="W17" s="44"/>
      <c r="X17" s="211"/>
      <c r="AA17" t="s">
        <v>47</v>
      </c>
      <c r="AB17" t="s">
        <v>48</v>
      </c>
      <c r="AC17" t="s">
        <v>49</v>
      </c>
      <c r="AD17" t="s">
        <v>50</v>
      </c>
      <c r="AE17">
        <v>2024</v>
      </c>
    </row>
    <row r="18" spans="1:31" x14ac:dyDescent="0.2">
      <c r="A18" s="52" t="s">
        <v>23</v>
      </c>
      <c r="B18" s="12">
        <v>2226</v>
      </c>
      <c r="C18" s="12">
        <v>2022</v>
      </c>
      <c r="D18" s="23">
        <v>35299</v>
      </c>
      <c r="E18" s="24">
        <v>4806</v>
      </c>
      <c r="F18" s="12">
        <v>6015</v>
      </c>
      <c r="G18" s="25">
        <v>5477</v>
      </c>
      <c r="H18" s="26">
        <v>11825</v>
      </c>
      <c r="I18" s="18">
        <f t="shared" si="0"/>
        <v>28123</v>
      </c>
      <c r="J18" s="27">
        <v>6910</v>
      </c>
      <c r="K18" s="53">
        <v>1552</v>
      </c>
      <c r="L18" s="28">
        <v>1276</v>
      </c>
      <c r="M18" s="53">
        <v>1128</v>
      </c>
      <c r="N18" s="53">
        <v>1097</v>
      </c>
      <c r="O18" s="53">
        <v>1020</v>
      </c>
      <c r="P18" s="53">
        <v>2366</v>
      </c>
      <c r="Q18" s="53">
        <v>4829</v>
      </c>
      <c r="R18" s="53">
        <v>3697</v>
      </c>
      <c r="S18" s="53">
        <v>1464</v>
      </c>
      <c r="T18" s="18">
        <f t="shared" ref="T18:T23" si="10">SUM(J18:S18)</f>
        <v>25339</v>
      </c>
      <c r="U18" s="27"/>
      <c r="V18" s="53"/>
      <c r="W18" s="28"/>
      <c r="X18" s="211"/>
      <c r="Y18" t="s">
        <v>59</v>
      </c>
      <c r="Z18" t="s">
        <v>60</v>
      </c>
      <c r="AA18" s="80">
        <f>J19</f>
        <v>5943</v>
      </c>
      <c r="AB18">
        <f>K19+L19+M19</f>
        <v>3367</v>
      </c>
      <c r="AC18">
        <f>N19+O19+P19</f>
        <v>2879</v>
      </c>
      <c r="AD18">
        <f>Q19+R19+S19</f>
        <v>6896</v>
      </c>
      <c r="AE18" s="80">
        <f>T19</f>
        <v>19085</v>
      </c>
    </row>
    <row r="19" spans="1:31" x14ac:dyDescent="0.2">
      <c r="A19" s="52" t="s">
        <v>24</v>
      </c>
      <c r="B19" s="26">
        <v>1952</v>
      </c>
      <c r="C19" s="26">
        <v>1700</v>
      </c>
      <c r="D19" s="54">
        <v>27398</v>
      </c>
      <c r="E19" s="27">
        <v>4055</v>
      </c>
      <c r="F19" s="26">
        <v>3924</v>
      </c>
      <c r="G19" s="25">
        <v>3983</v>
      </c>
      <c r="H19" s="26">
        <v>9225</v>
      </c>
      <c r="I19" s="18">
        <f t="shared" si="0"/>
        <v>21187</v>
      </c>
      <c r="J19" s="27">
        <v>5943</v>
      </c>
      <c r="K19" s="53">
        <v>1317</v>
      </c>
      <c r="L19" s="28">
        <v>1083</v>
      </c>
      <c r="M19" s="53">
        <v>967</v>
      </c>
      <c r="N19" s="53">
        <v>830</v>
      </c>
      <c r="O19" s="53">
        <v>921</v>
      </c>
      <c r="P19" s="53">
        <v>1128</v>
      </c>
      <c r="Q19" s="53">
        <v>2179</v>
      </c>
      <c r="R19" s="53">
        <v>3440</v>
      </c>
      <c r="S19" s="53">
        <v>1277</v>
      </c>
      <c r="T19" s="18">
        <f t="shared" si="10"/>
        <v>19085</v>
      </c>
      <c r="U19" s="27"/>
      <c r="V19" s="53"/>
      <c r="W19" s="28"/>
      <c r="X19" s="211"/>
      <c r="Z19" t="s">
        <v>61</v>
      </c>
      <c r="AA19" s="80">
        <f>J20</f>
        <v>12934</v>
      </c>
      <c r="AB19">
        <f>K20+L20+M20</f>
        <v>10401</v>
      </c>
      <c r="AC19">
        <f>N20+O20+P20</f>
        <v>11254</v>
      </c>
      <c r="AD19">
        <f>Q20+R20+S20</f>
        <v>9645</v>
      </c>
      <c r="AE19" s="80">
        <f>T20</f>
        <v>44234</v>
      </c>
    </row>
    <row r="20" spans="1:31" x14ac:dyDescent="0.2">
      <c r="A20" s="55" t="s">
        <v>25</v>
      </c>
      <c r="B20" s="56">
        <v>4288</v>
      </c>
      <c r="C20" s="56">
        <v>3592</v>
      </c>
      <c r="D20" s="57">
        <v>48228</v>
      </c>
      <c r="E20" s="58">
        <v>13367</v>
      </c>
      <c r="F20" s="59">
        <v>11163</v>
      </c>
      <c r="G20" s="60">
        <v>7761</v>
      </c>
      <c r="H20" s="61">
        <v>15298</v>
      </c>
      <c r="I20" s="18">
        <v>47589</v>
      </c>
      <c r="J20" s="27">
        <v>12934</v>
      </c>
      <c r="K20" s="53">
        <v>3494</v>
      </c>
      <c r="L20" s="28">
        <v>3685</v>
      </c>
      <c r="M20" s="53">
        <v>3222</v>
      </c>
      <c r="N20" s="53">
        <v>3557</v>
      </c>
      <c r="O20" s="53">
        <v>3600</v>
      </c>
      <c r="P20" s="53">
        <v>4097</v>
      </c>
      <c r="Q20" s="53">
        <v>4459</v>
      </c>
      <c r="R20" s="53">
        <v>4299</v>
      </c>
      <c r="S20" s="53">
        <v>887</v>
      </c>
      <c r="T20" s="18">
        <f t="shared" si="10"/>
        <v>44234</v>
      </c>
      <c r="U20" s="27"/>
      <c r="V20" s="53"/>
      <c r="W20" s="28"/>
      <c r="X20" s="211"/>
      <c r="AA20" s="79">
        <f>AA18/AA19</f>
        <v>0.45948662440080407</v>
      </c>
      <c r="AB20" s="79">
        <f t="shared" ref="AB20:AE20" si="11">AB18/AB19</f>
        <v>0.32371887318527065</v>
      </c>
      <c r="AC20" s="79">
        <f t="shared" si="11"/>
        <v>0.25582015283454773</v>
      </c>
      <c r="AD20" s="79">
        <f t="shared" si="11"/>
        <v>0.71498185588387764</v>
      </c>
      <c r="AE20" s="79">
        <f t="shared" si="11"/>
        <v>0.43145544151557624</v>
      </c>
    </row>
    <row r="21" spans="1:31" x14ac:dyDescent="0.2">
      <c r="A21" s="52" t="s">
        <v>26</v>
      </c>
      <c r="B21" s="56">
        <v>11855</v>
      </c>
      <c r="C21" s="56">
        <v>10853</v>
      </c>
      <c r="D21" s="57">
        <v>141402</v>
      </c>
      <c r="E21" s="58">
        <v>45214</v>
      </c>
      <c r="F21" s="59">
        <v>35305</v>
      </c>
      <c r="G21" s="60">
        <v>22451</v>
      </c>
      <c r="H21" s="61">
        <v>45200</v>
      </c>
      <c r="I21" s="18">
        <v>146113</v>
      </c>
      <c r="J21" s="27">
        <v>38192</v>
      </c>
      <c r="K21" s="53">
        <v>12328</v>
      </c>
      <c r="L21" s="28">
        <v>11779</v>
      </c>
      <c r="M21" s="53">
        <v>10972</v>
      </c>
      <c r="N21" s="53">
        <v>11407</v>
      </c>
      <c r="O21" s="53">
        <v>10915</v>
      </c>
      <c r="P21" s="53">
        <v>10798</v>
      </c>
      <c r="Q21" s="53">
        <v>12043</v>
      </c>
      <c r="R21" s="53">
        <v>12440</v>
      </c>
      <c r="S21" s="53">
        <v>3283</v>
      </c>
      <c r="T21" s="18">
        <f t="shared" si="10"/>
        <v>134157</v>
      </c>
      <c r="U21" s="27"/>
      <c r="V21" s="53"/>
      <c r="W21" s="28"/>
      <c r="X21" s="211"/>
      <c r="AA21" s="79">
        <f>SUM(J17:J19)/SUM(J20:J21)</f>
        <v>0.405351484567539</v>
      </c>
      <c r="AB21" s="79">
        <f>SUM(K17:M19)/SUM(K20:M21)</f>
        <v>0.26389621811785402</v>
      </c>
      <c r="AC21" s="79">
        <f>SUM(N17:P19)/SUM(N20:P21)</f>
        <v>0.38175508180466039</v>
      </c>
      <c r="AD21" s="79">
        <f>SUM(Q17:S19)/SUM(Q20:S21)</f>
        <v>0.69059902167811604</v>
      </c>
      <c r="AE21" s="79">
        <f>(T17+T18+T19)/(T20+T21)</f>
        <v>0.42323884052446592</v>
      </c>
    </row>
    <row r="22" spans="1:31" x14ac:dyDescent="0.2">
      <c r="A22" s="52" t="s">
        <v>27</v>
      </c>
      <c r="B22" s="56">
        <v>2656</v>
      </c>
      <c r="C22" s="56">
        <v>2397</v>
      </c>
      <c r="D22" s="57">
        <v>31517</v>
      </c>
      <c r="E22" s="58">
        <v>8405</v>
      </c>
      <c r="F22" s="59">
        <v>8542</v>
      </c>
      <c r="G22" s="60">
        <v>4939</v>
      </c>
      <c r="H22" s="61">
        <v>9967</v>
      </c>
      <c r="I22" s="18">
        <v>31853</v>
      </c>
      <c r="J22" s="27">
        <v>8040</v>
      </c>
      <c r="K22" s="53">
        <v>3110</v>
      </c>
      <c r="L22" s="28">
        <v>2848</v>
      </c>
      <c r="M22" s="53">
        <v>2452</v>
      </c>
      <c r="N22" s="53">
        <v>2546</v>
      </c>
      <c r="O22" s="53">
        <v>2430</v>
      </c>
      <c r="P22" s="53">
        <v>2353</v>
      </c>
      <c r="Q22" s="53">
        <v>2243</v>
      </c>
      <c r="R22" s="53">
        <v>2596</v>
      </c>
      <c r="S22" s="53">
        <v>641</v>
      </c>
      <c r="T22" s="18">
        <f t="shared" si="10"/>
        <v>29259</v>
      </c>
      <c r="U22" s="27"/>
      <c r="V22" s="53"/>
      <c r="W22" s="28"/>
      <c r="X22" s="211"/>
    </row>
    <row r="23" spans="1:31" ht="16" thickBot="1" x14ac:dyDescent="0.25">
      <c r="A23" s="62" t="s">
        <v>28</v>
      </c>
      <c r="B23" s="63">
        <v>128</v>
      </c>
      <c r="C23" s="63">
        <v>161</v>
      </c>
      <c r="D23" s="64">
        <v>1493</v>
      </c>
      <c r="E23" s="65">
        <v>321</v>
      </c>
      <c r="F23" s="66">
        <v>355</v>
      </c>
      <c r="G23" s="67">
        <v>255</v>
      </c>
      <c r="H23" s="68">
        <v>622</v>
      </c>
      <c r="I23" s="38">
        <v>1553</v>
      </c>
      <c r="J23" s="35">
        <v>563</v>
      </c>
      <c r="K23" s="49">
        <v>181</v>
      </c>
      <c r="L23" s="37">
        <v>164</v>
      </c>
      <c r="M23" s="49">
        <v>140</v>
      </c>
      <c r="N23" s="49">
        <v>166</v>
      </c>
      <c r="O23" s="49">
        <v>182</v>
      </c>
      <c r="P23" s="49">
        <v>175</v>
      </c>
      <c r="Q23" s="49">
        <v>185</v>
      </c>
      <c r="R23" s="49">
        <v>201</v>
      </c>
      <c r="S23" s="49">
        <v>65</v>
      </c>
      <c r="T23" s="18">
        <f t="shared" si="10"/>
        <v>2022</v>
      </c>
      <c r="U23" s="35"/>
      <c r="V23" s="49"/>
      <c r="W23" s="37"/>
      <c r="X23" s="211"/>
    </row>
    <row r="24" spans="1:31" ht="16" thickTop="1" x14ac:dyDescent="0.2">
      <c r="A24" s="69" t="s">
        <v>29</v>
      </c>
      <c r="B24" s="13">
        <v>437</v>
      </c>
      <c r="C24" s="13">
        <v>667</v>
      </c>
      <c r="D24" s="14">
        <v>6800</v>
      </c>
      <c r="E24" s="40">
        <v>1608</v>
      </c>
      <c r="F24" s="13">
        <v>1872</v>
      </c>
      <c r="G24" s="41">
        <v>1150</v>
      </c>
      <c r="H24" s="20">
        <v>1812</v>
      </c>
      <c r="I24" s="18">
        <f>E24+F24+G24+H24</f>
        <v>6442</v>
      </c>
      <c r="J24" s="70">
        <v>2699</v>
      </c>
      <c r="K24" s="16">
        <v>355</v>
      </c>
      <c r="L24" s="16">
        <v>602</v>
      </c>
      <c r="M24" s="16">
        <v>626</v>
      </c>
      <c r="N24" s="16">
        <v>897</v>
      </c>
      <c r="O24" s="16">
        <v>908</v>
      </c>
      <c r="P24" s="16">
        <v>1146</v>
      </c>
      <c r="Q24" s="16">
        <v>1103</v>
      </c>
      <c r="R24" s="16">
        <v>853</v>
      </c>
      <c r="S24" s="16">
        <v>841</v>
      </c>
      <c r="T24" s="42">
        <f>SUM(J24:S24)</f>
        <v>10030</v>
      </c>
      <c r="U24" s="70"/>
      <c r="V24" s="16"/>
      <c r="W24" s="16"/>
      <c r="X24" s="211"/>
    </row>
    <row r="25" spans="1:31" x14ac:dyDescent="0.2">
      <c r="A25" s="71" t="s">
        <v>30</v>
      </c>
      <c r="B25" s="12">
        <v>486</v>
      </c>
      <c r="C25" s="12">
        <v>843</v>
      </c>
      <c r="D25" s="23">
        <v>9041</v>
      </c>
      <c r="E25" s="24">
        <v>1899</v>
      </c>
      <c r="F25" s="12">
        <v>2754</v>
      </c>
      <c r="G25" s="25">
        <v>1542</v>
      </c>
      <c r="H25" s="26">
        <v>2552</v>
      </c>
      <c r="I25" s="18">
        <f t="shared" si="0"/>
        <v>8747</v>
      </c>
      <c r="J25" s="27">
        <v>4033</v>
      </c>
      <c r="K25" s="27">
        <v>495</v>
      </c>
      <c r="L25" s="27">
        <v>879</v>
      </c>
      <c r="M25" s="27">
        <v>798</v>
      </c>
      <c r="N25" s="27">
        <v>1277</v>
      </c>
      <c r="O25" s="27">
        <v>1294</v>
      </c>
      <c r="P25" s="27">
        <v>1566</v>
      </c>
      <c r="Q25" s="27">
        <v>1544</v>
      </c>
      <c r="R25" s="27">
        <v>1012</v>
      </c>
      <c r="S25" s="27">
        <v>819</v>
      </c>
      <c r="T25" s="18">
        <f>SUM(J25:S25)</f>
        <v>13717</v>
      </c>
      <c r="U25" s="27"/>
      <c r="V25" s="27"/>
      <c r="W25" s="27"/>
      <c r="X25" s="211"/>
      <c r="AB25" t="s">
        <v>51</v>
      </c>
    </row>
    <row r="26" spans="1:31" x14ac:dyDescent="0.2">
      <c r="A26" s="71" t="s">
        <v>31</v>
      </c>
      <c r="B26" s="12">
        <v>320</v>
      </c>
      <c r="C26" s="12">
        <v>470</v>
      </c>
      <c r="D26" s="23">
        <v>6248</v>
      </c>
      <c r="E26" s="24">
        <v>1289</v>
      </c>
      <c r="F26" s="12">
        <v>2007</v>
      </c>
      <c r="G26" s="25">
        <v>1221</v>
      </c>
      <c r="H26" s="26">
        <v>1794</v>
      </c>
      <c r="I26" s="18">
        <f t="shared" si="0"/>
        <v>6311</v>
      </c>
      <c r="J26" s="27">
        <v>2766</v>
      </c>
      <c r="K26" s="27">
        <v>398</v>
      </c>
      <c r="L26" s="27">
        <v>738</v>
      </c>
      <c r="M26" s="27">
        <v>735</v>
      </c>
      <c r="N26" s="27">
        <v>960</v>
      </c>
      <c r="O26" s="27">
        <v>908</v>
      </c>
      <c r="P26" s="27">
        <v>1060</v>
      </c>
      <c r="Q26" s="27">
        <v>1102</v>
      </c>
      <c r="R26" s="27">
        <v>432</v>
      </c>
      <c r="S26" s="27">
        <v>458</v>
      </c>
      <c r="T26" s="18">
        <f t="shared" ref="T26:T40" si="12">SUM(J26:S26)</f>
        <v>9557</v>
      </c>
      <c r="U26" s="27"/>
      <c r="V26" s="27"/>
      <c r="W26" s="27"/>
      <c r="X26" s="211"/>
      <c r="AB26" t="s">
        <v>46</v>
      </c>
    </row>
    <row r="27" spans="1:31" x14ac:dyDescent="0.2">
      <c r="A27" s="71" t="s">
        <v>32</v>
      </c>
      <c r="B27" s="12">
        <v>1008</v>
      </c>
      <c r="C27" s="12">
        <v>1676</v>
      </c>
      <c r="D27" s="23">
        <v>19139</v>
      </c>
      <c r="E27" s="24">
        <v>4039</v>
      </c>
      <c r="F27" s="12">
        <v>6760</v>
      </c>
      <c r="G27" s="25">
        <v>3902</v>
      </c>
      <c r="H27" s="26">
        <v>6132</v>
      </c>
      <c r="I27" s="18">
        <f t="shared" si="0"/>
        <v>20833</v>
      </c>
      <c r="J27" s="27">
        <v>8889</v>
      </c>
      <c r="K27" s="27">
        <v>966</v>
      </c>
      <c r="L27" s="27">
        <v>1879</v>
      </c>
      <c r="M27" s="27">
        <v>1984</v>
      </c>
      <c r="N27" s="27">
        <v>2487</v>
      </c>
      <c r="O27" s="27">
        <v>2595</v>
      </c>
      <c r="P27" s="27">
        <v>2946</v>
      </c>
      <c r="Q27" s="27">
        <v>2977</v>
      </c>
      <c r="R27" s="27">
        <v>1657</v>
      </c>
      <c r="S27" s="27">
        <v>1807</v>
      </c>
      <c r="T27" s="18">
        <f t="shared" si="12"/>
        <v>28187</v>
      </c>
      <c r="U27" s="27"/>
      <c r="V27" s="27"/>
      <c r="W27" s="27"/>
      <c r="X27" s="211"/>
      <c r="AB27" t="s">
        <v>170</v>
      </c>
    </row>
    <row r="28" spans="1:31" x14ac:dyDescent="0.2">
      <c r="A28" s="72" t="s">
        <v>33</v>
      </c>
      <c r="B28" s="73">
        <f>SUM(B24:B27)</f>
        <v>2251</v>
      </c>
      <c r="C28" s="73">
        <f>SUM(C24:C27)</f>
        <v>3656</v>
      </c>
      <c r="D28" s="74">
        <v>41228</v>
      </c>
      <c r="E28" s="73">
        <f t="shared" ref="E28:G28" si="13">SUM(E24:E27)</f>
        <v>8835</v>
      </c>
      <c r="F28" s="73">
        <f t="shared" si="13"/>
        <v>13393</v>
      </c>
      <c r="G28" s="73">
        <f t="shared" si="13"/>
        <v>7815</v>
      </c>
      <c r="H28" s="73">
        <f>SUM(H24:H27)</f>
        <v>12290</v>
      </c>
      <c r="I28" s="18">
        <f>E28+F28+G28+H28</f>
        <v>42333</v>
      </c>
      <c r="J28" s="75">
        <f t="shared" ref="J28:Q28" si="14">SUM(J24:J27)</f>
        <v>18387</v>
      </c>
      <c r="K28" s="75">
        <f t="shared" si="14"/>
        <v>2214</v>
      </c>
      <c r="L28" s="75">
        <f t="shared" si="14"/>
        <v>4098</v>
      </c>
      <c r="M28" s="75">
        <f t="shared" si="14"/>
        <v>4143</v>
      </c>
      <c r="N28" s="75">
        <f t="shared" si="14"/>
        <v>5621</v>
      </c>
      <c r="O28" s="75">
        <f t="shared" si="14"/>
        <v>5705</v>
      </c>
      <c r="P28" s="75">
        <f t="shared" si="14"/>
        <v>6718</v>
      </c>
      <c r="Q28" s="75">
        <f t="shared" si="14"/>
        <v>6726</v>
      </c>
      <c r="R28" s="75">
        <f>SUM(R24:R27)</f>
        <v>3954</v>
      </c>
      <c r="S28" s="75">
        <f>SUM(S24:S27)</f>
        <v>3925</v>
      </c>
      <c r="T28" s="18">
        <f t="shared" si="12"/>
        <v>61491</v>
      </c>
      <c r="U28" s="75"/>
      <c r="V28" s="75"/>
      <c r="W28" s="75"/>
      <c r="X28" s="211"/>
      <c r="AB28" t="s">
        <v>58</v>
      </c>
    </row>
    <row r="29" spans="1:31" x14ac:dyDescent="0.2">
      <c r="A29" s="71" t="s">
        <v>34</v>
      </c>
      <c r="B29" s="26">
        <v>2755</v>
      </c>
      <c r="C29" s="26">
        <v>2123</v>
      </c>
      <c r="D29" s="54">
        <v>45015</v>
      </c>
      <c r="E29" s="27">
        <v>5665</v>
      </c>
      <c r="F29" s="26">
        <v>10431</v>
      </c>
      <c r="G29" s="25">
        <v>5569</v>
      </c>
      <c r="H29" s="26">
        <v>14533</v>
      </c>
      <c r="I29" s="18">
        <f t="shared" si="0"/>
        <v>36198</v>
      </c>
      <c r="J29" s="27">
        <v>7871</v>
      </c>
      <c r="K29" s="27">
        <v>1834</v>
      </c>
      <c r="L29" s="27">
        <v>1456</v>
      </c>
      <c r="M29" s="27">
        <v>1389</v>
      </c>
      <c r="N29" s="27">
        <v>1117</v>
      </c>
      <c r="O29" s="27">
        <v>2767</v>
      </c>
      <c r="P29" s="27">
        <v>5694</v>
      </c>
      <c r="Q29" s="27">
        <v>4084</v>
      </c>
      <c r="R29" s="27">
        <v>3830</v>
      </c>
      <c r="S29" s="27">
        <v>3456</v>
      </c>
      <c r="T29" s="18">
        <f t="shared" si="12"/>
        <v>33498</v>
      </c>
      <c r="U29" s="27"/>
      <c r="V29" s="27"/>
      <c r="W29" s="27"/>
      <c r="X29" s="211"/>
      <c r="AB29" t="s">
        <v>59</v>
      </c>
    </row>
    <row r="30" spans="1:31" x14ac:dyDescent="0.2">
      <c r="A30" s="71" t="s">
        <v>35</v>
      </c>
      <c r="B30" s="26">
        <v>2226</v>
      </c>
      <c r="C30" s="26">
        <v>2022</v>
      </c>
      <c r="D30" s="54">
        <v>35299</v>
      </c>
      <c r="E30" s="27">
        <v>4806</v>
      </c>
      <c r="F30" s="26">
        <v>6015</v>
      </c>
      <c r="G30" s="25">
        <v>5477</v>
      </c>
      <c r="H30" s="26">
        <v>11825</v>
      </c>
      <c r="I30" s="18">
        <f t="shared" si="0"/>
        <v>28123</v>
      </c>
      <c r="J30" s="27">
        <v>6910</v>
      </c>
      <c r="K30" s="53">
        <v>1552</v>
      </c>
      <c r="L30" s="53">
        <v>1276</v>
      </c>
      <c r="M30" s="53">
        <v>1128</v>
      </c>
      <c r="N30" s="53">
        <v>1097</v>
      </c>
      <c r="O30" s="53">
        <v>1020</v>
      </c>
      <c r="P30" s="53">
        <v>2366</v>
      </c>
      <c r="Q30" s="53">
        <v>4829</v>
      </c>
      <c r="R30" s="53">
        <v>3697</v>
      </c>
      <c r="S30" s="53">
        <v>3494</v>
      </c>
      <c r="T30" s="18">
        <f t="shared" si="12"/>
        <v>27369</v>
      </c>
      <c r="U30" s="27"/>
      <c r="V30" s="53"/>
      <c r="W30" s="53"/>
      <c r="X30" s="211"/>
      <c r="AB30" t="s">
        <v>171</v>
      </c>
    </row>
    <row r="31" spans="1:31" x14ac:dyDescent="0.2">
      <c r="A31" s="71" t="s">
        <v>36</v>
      </c>
      <c r="B31" s="26">
        <v>1952</v>
      </c>
      <c r="C31" s="26">
        <v>1700</v>
      </c>
      <c r="D31" s="54">
        <v>27398</v>
      </c>
      <c r="E31" s="27">
        <v>4055</v>
      </c>
      <c r="F31" s="26">
        <v>3924</v>
      </c>
      <c r="G31" s="25">
        <v>3983</v>
      </c>
      <c r="H31" s="26">
        <v>9225</v>
      </c>
      <c r="I31" s="18">
        <f t="shared" si="0"/>
        <v>21187</v>
      </c>
      <c r="J31" s="27">
        <v>5943</v>
      </c>
      <c r="K31" s="53">
        <v>1317</v>
      </c>
      <c r="L31" s="53">
        <v>1083</v>
      </c>
      <c r="M31" s="53">
        <v>967</v>
      </c>
      <c r="N31" s="53">
        <v>830</v>
      </c>
      <c r="O31" s="53">
        <v>921</v>
      </c>
      <c r="P31" s="53">
        <v>1128</v>
      </c>
      <c r="Q31" s="53">
        <v>2179</v>
      </c>
      <c r="R31" s="53">
        <v>3440</v>
      </c>
      <c r="S31" s="53">
        <v>3173</v>
      </c>
      <c r="T31" s="18">
        <f t="shared" si="12"/>
        <v>20981</v>
      </c>
      <c r="U31" s="27"/>
      <c r="V31" s="53"/>
      <c r="W31" s="53"/>
      <c r="X31" s="211"/>
      <c r="AB31" t="s">
        <v>172</v>
      </c>
    </row>
    <row r="32" spans="1:31" x14ac:dyDescent="0.2">
      <c r="A32" s="71" t="s">
        <v>37</v>
      </c>
      <c r="B32" s="26">
        <v>1974</v>
      </c>
      <c r="C32" s="26">
        <v>3214</v>
      </c>
      <c r="D32" s="54">
        <v>32401</v>
      </c>
      <c r="E32" s="27">
        <v>7878</v>
      </c>
      <c r="F32" s="26">
        <v>12282</v>
      </c>
      <c r="G32" s="25">
        <v>6529</v>
      </c>
      <c r="H32" s="26">
        <v>6274</v>
      </c>
      <c r="I32" s="18">
        <f t="shared" si="0"/>
        <v>32963</v>
      </c>
      <c r="J32" s="27">
        <v>5091</v>
      </c>
      <c r="K32" s="27">
        <v>1910</v>
      </c>
      <c r="L32" s="27">
        <v>3600</v>
      </c>
      <c r="M32" s="27">
        <v>3808</v>
      </c>
      <c r="N32" s="27">
        <v>4990</v>
      </c>
      <c r="O32" s="27">
        <v>4974</v>
      </c>
      <c r="P32" s="27">
        <v>5797</v>
      </c>
      <c r="Q32" s="27">
        <v>6142</v>
      </c>
      <c r="R32" s="27">
        <v>3107</v>
      </c>
      <c r="S32" s="27">
        <v>3353</v>
      </c>
      <c r="T32" s="18">
        <f t="shared" si="12"/>
        <v>42772</v>
      </c>
      <c r="U32" s="27"/>
      <c r="V32" s="27"/>
      <c r="W32" s="27"/>
      <c r="X32" s="211"/>
      <c r="AB32" t="s">
        <v>173</v>
      </c>
    </row>
    <row r="33" spans="1:28" x14ac:dyDescent="0.2">
      <c r="A33" s="71" t="s">
        <v>38</v>
      </c>
      <c r="B33" s="26">
        <v>269</v>
      </c>
      <c r="C33" s="26">
        <v>268</v>
      </c>
      <c r="D33" s="54">
        <v>5007</v>
      </c>
      <c r="E33" s="27">
        <v>849</v>
      </c>
      <c r="F33" s="26">
        <v>944</v>
      </c>
      <c r="G33" s="25">
        <v>878</v>
      </c>
      <c r="H33" s="26">
        <v>1972</v>
      </c>
      <c r="I33" s="18">
        <f t="shared" si="0"/>
        <v>4643</v>
      </c>
      <c r="J33" s="27">
        <v>2477</v>
      </c>
      <c r="K33" s="27">
        <v>279</v>
      </c>
      <c r="L33" s="27">
        <v>471</v>
      </c>
      <c r="M33" s="27">
        <v>417</v>
      </c>
      <c r="N33" s="27">
        <v>725</v>
      </c>
      <c r="O33" s="27">
        <v>1153</v>
      </c>
      <c r="P33" s="27">
        <v>803</v>
      </c>
      <c r="Q33" s="27">
        <v>573</v>
      </c>
      <c r="R33" s="27">
        <v>410</v>
      </c>
      <c r="S33" s="27">
        <v>413</v>
      </c>
      <c r="T33" s="18">
        <f t="shared" si="12"/>
        <v>7721</v>
      </c>
      <c r="U33" s="27"/>
      <c r="V33" s="27"/>
      <c r="W33" s="27"/>
      <c r="X33" s="211"/>
      <c r="AB33" t="s">
        <v>174</v>
      </c>
    </row>
    <row r="34" spans="1:28" x14ac:dyDescent="0.2">
      <c r="A34" s="71" t="s">
        <v>39</v>
      </c>
      <c r="B34" s="26">
        <v>14919</v>
      </c>
      <c r="C34" s="26">
        <v>15946</v>
      </c>
      <c r="D34" s="54">
        <v>181264</v>
      </c>
      <c r="E34" s="27">
        <v>53463</v>
      </c>
      <c r="F34" s="26">
        <v>71370</v>
      </c>
      <c r="G34" s="25">
        <v>39659</v>
      </c>
      <c r="H34" s="26">
        <v>34033</v>
      </c>
      <c r="I34" s="18">
        <f t="shared" si="0"/>
        <v>198525</v>
      </c>
      <c r="J34" s="27">
        <v>18039</v>
      </c>
      <c r="K34" s="27">
        <v>8739</v>
      </c>
      <c r="L34" s="27">
        <v>12412</v>
      </c>
      <c r="M34" s="27">
        <v>13515</v>
      </c>
      <c r="N34" s="27">
        <v>15611</v>
      </c>
      <c r="O34" s="27">
        <v>13932</v>
      </c>
      <c r="P34" s="27">
        <v>17892</v>
      </c>
      <c r="Q34" s="27">
        <v>17621</v>
      </c>
      <c r="R34" s="27">
        <v>11883</v>
      </c>
      <c r="S34" s="27">
        <v>10335</v>
      </c>
      <c r="T34" s="18">
        <f t="shared" si="12"/>
        <v>139979</v>
      </c>
      <c r="U34" s="27"/>
      <c r="V34" s="27"/>
      <c r="W34" s="27"/>
      <c r="X34" s="211"/>
      <c r="AB34" t="s">
        <v>175</v>
      </c>
    </row>
    <row r="35" spans="1:28" x14ac:dyDescent="0.2">
      <c r="A35" s="71" t="s">
        <v>40</v>
      </c>
      <c r="B35" s="26">
        <v>4079</v>
      </c>
      <c r="C35" s="26">
        <v>2460</v>
      </c>
      <c r="D35" s="54">
        <v>65570</v>
      </c>
      <c r="E35" s="27">
        <v>10609</v>
      </c>
      <c r="F35" s="26">
        <v>19914</v>
      </c>
      <c r="G35" s="25">
        <v>14559</v>
      </c>
      <c r="H35" s="26">
        <v>37687</v>
      </c>
      <c r="I35" s="18">
        <f t="shared" si="0"/>
        <v>82769</v>
      </c>
      <c r="J35" s="27">
        <v>29860.799999999999</v>
      </c>
      <c r="K35" s="27">
        <v>4093</v>
      </c>
      <c r="L35" s="27">
        <v>5813</v>
      </c>
      <c r="M35" s="27">
        <v>7711</v>
      </c>
      <c r="N35" s="27">
        <v>8532</v>
      </c>
      <c r="O35" s="27">
        <v>10663</v>
      </c>
      <c r="P35" s="27">
        <v>12160</v>
      </c>
      <c r="Q35" s="27">
        <v>9729</v>
      </c>
      <c r="R35" s="27">
        <v>7241</v>
      </c>
      <c r="S35" s="27">
        <v>8311</v>
      </c>
      <c r="T35" s="18">
        <f t="shared" si="12"/>
        <v>104113.8</v>
      </c>
      <c r="U35" s="27"/>
      <c r="V35" s="27"/>
      <c r="W35" s="27"/>
      <c r="X35" s="211"/>
      <c r="AB35" t="s">
        <v>176</v>
      </c>
    </row>
    <row r="36" spans="1:28" x14ac:dyDescent="0.2">
      <c r="A36" s="71" t="s">
        <v>41</v>
      </c>
      <c r="B36" s="26">
        <v>313</v>
      </c>
      <c r="C36" s="26">
        <v>1044</v>
      </c>
      <c r="D36" s="54">
        <v>3010</v>
      </c>
      <c r="E36" s="27">
        <v>1360</v>
      </c>
      <c r="F36" s="26">
        <v>1779</v>
      </c>
      <c r="G36" s="25">
        <v>1246</v>
      </c>
      <c r="H36" s="26">
        <v>301</v>
      </c>
      <c r="I36" s="18">
        <f t="shared" si="0"/>
        <v>4686</v>
      </c>
      <c r="J36" s="27">
        <v>126</v>
      </c>
      <c r="K36" s="27">
        <v>38</v>
      </c>
      <c r="L36" s="27">
        <v>56</v>
      </c>
      <c r="M36" s="27">
        <v>58</v>
      </c>
      <c r="N36" s="27">
        <v>61</v>
      </c>
      <c r="O36" s="27">
        <v>237</v>
      </c>
      <c r="P36" s="27">
        <v>337</v>
      </c>
      <c r="Q36" s="27">
        <v>249</v>
      </c>
      <c r="R36" s="27">
        <v>33</v>
      </c>
      <c r="S36" s="27">
        <v>51</v>
      </c>
      <c r="T36" s="18">
        <f t="shared" si="12"/>
        <v>1246</v>
      </c>
      <c r="U36" s="27"/>
      <c r="V36" s="27"/>
      <c r="W36" s="27"/>
      <c r="X36" s="211"/>
      <c r="AB36" t="s">
        <v>177</v>
      </c>
    </row>
    <row r="37" spans="1:28" x14ac:dyDescent="0.2">
      <c r="A37" s="71" t="s">
        <v>42</v>
      </c>
      <c r="B37" s="26">
        <v>0</v>
      </c>
      <c r="C37" s="26">
        <v>0</v>
      </c>
      <c r="D37" s="54">
        <v>0</v>
      </c>
      <c r="E37" s="27">
        <v>0</v>
      </c>
      <c r="F37" s="26">
        <v>0</v>
      </c>
      <c r="G37" s="25">
        <v>0</v>
      </c>
      <c r="H37" s="26">
        <v>0</v>
      </c>
      <c r="I37" s="18">
        <f t="shared" si="0"/>
        <v>0</v>
      </c>
      <c r="J37" s="27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18">
        <f t="shared" si="12"/>
        <v>0</v>
      </c>
      <c r="U37" s="27"/>
      <c r="V37" s="53"/>
      <c r="W37" s="53"/>
      <c r="X37" s="211"/>
    </row>
    <row r="38" spans="1:28" x14ac:dyDescent="0.2">
      <c r="A38" s="71" t="s">
        <v>43</v>
      </c>
      <c r="B38" s="26">
        <v>16893</v>
      </c>
      <c r="C38" s="26">
        <v>19160</v>
      </c>
      <c r="D38" s="54">
        <v>213665</v>
      </c>
      <c r="E38" s="27">
        <v>61341</v>
      </c>
      <c r="F38" s="26">
        <v>83652</v>
      </c>
      <c r="G38" s="25">
        <v>46188</v>
      </c>
      <c r="H38" s="26">
        <v>40307</v>
      </c>
      <c r="I38" s="18">
        <f t="shared" si="0"/>
        <v>231488</v>
      </c>
      <c r="J38" s="27">
        <v>23130</v>
      </c>
      <c r="K38" s="26">
        <v>10649</v>
      </c>
      <c r="L38" s="26">
        <v>16012</v>
      </c>
      <c r="M38" s="26">
        <v>17323</v>
      </c>
      <c r="N38" s="26">
        <v>20601</v>
      </c>
      <c r="O38" s="26">
        <v>18906</v>
      </c>
      <c r="P38" s="26">
        <v>23689</v>
      </c>
      <c r="Q38" s="26">
        <v>23763</v>
      </c>
      <c r="R38" s="26">
        <v>14990</v>
      </c>
      <c r="S38" s="26">
        <v>13688</v>
      </c>
      <c r="T38" s="18">
        <f t="shared" si="12"/>
        <v>182751</v>
      </c>
      <c r="U38" s="27"/>
      <c r="V38" s="26"/>
      <c r="W38" s="26"/>
      <c r="X38" s="211"/>
    </row>
    <row r="39" spans="1:28" x14ac:dyDescent="0.2">
      <c r="A39" s="71" t="s">
        <v>44</v>
      </c>
      <c r="B39" s="26">
        <v>4348</v>
      </c>
      <c r="C39" s="26">
        <v>2728</v>
      </c>
      <c r="D39" s="54">
        <v>70577</v>
      </c>
      <c r="E39" s="27">
        <v>11458</v>
      </c>
      <c r="F39" s="26">
        <v>20858</v>
      </c>
      <c r="G39" s="25">
        <v>15437</v>
      </c>
      <c r="H39" s="26">
        <v>39659</v>
      </c>
      <c r="I39" s="18">
        <f t="shared" si="0"/>
        <v>87412</v>
      </c>
      <c r="J39" s="27">
        <v>32337</v>
      </c>
      <c r="K39" s="26">
        <v>4372</v>
      </c>
      <c r="L39" s="26">
        <v>6284</v>
      </c>
      <c r="M39" s="26">
        <v>8128</v>
      </c>
      <c r="N39" s="26">
        <v>9257</v>
      </c>
      <c r="O39" s="26">
        <v>11816</v>
      </c>
      <c r="P39" s="26">
        <v>12963</v>
      </c>
      <c r="Q39" s="26">
        <v>10302</v>
      </c>
      <c r="R39" s="26">
        <v>7651</v>
      </c>
      <c r="S39" s="26">
        <v>8724</v>
      </c>
      <c r="T39" s="18">
        <f t="shared" si="12"/>
        <v>111834</v>
      </c>
      <c r="U39" s="27"/>
      <c r="V39" s="26"/>
      <c r="W39" s="26"/>
      <c r="X39" s="211"/>
    </row>
    <row r="40" spans="1:28" ht="16" thickBot="1" x14ac:dyDescent="0.25">
      <c r="A40" s="76" t="s">
        <v>45</v>
      </c>
      <c r="B40" s="34">
        <v>16</v>
      </c>
      <c r="C40" s="34">
        <v>440</v>
      </c>
      <c r="D40" s="47">
        <v>1995</v>
      </c>
      <c r="E40" s="48">
        <v>22</v>
      </c>
      <c r="F40" s="34">
        <v>1296</v>
      </c>
      <c r="G40" s="33">
        <v>837</v>
      </c>
      <c r="H40" s="34">
        <v>3902</v>
      </c>
      <c r="I40" s="38">
        <f t="shared" si="0"/>
        <v>6057</v>
      </c>
      <c r="J40" s="48">
        <v>8766</v>
      </c>
      <c r="K40" s="77">
        <v>5</v>
      </c>
      <c r="L40" s="77">
        <v>4</v>
      </c>
      <c r="M40" s="77">
        <v>9</v>
      </c>
      <c r="N40" s="77">
        <v>6</v>
      </c>
      <c r="O40" s="77">
        <v>13</v>
      </c>
      <c r="P40" s="77">
        <v>35</v>
      </c>
      <c r="Q40" s="77">
        <v>1</v>
      </c>
      <c r="R40" s="77">
        <v>0</v>
      </c>
      <c r="S40" s="77">
        <v>0</v>
      </c>
      <c r="T40" s="18">
        <f t="shared" si="12"/>
        <v>8839</v>
      </c>
      <c r="U40" s="48"/>
      <c r="V40" s="77"/>
      <c r="W40" s="77"/>
      <c r="X40" s="211"/>
    </row>
    <row r="41" spans="1:28" ht="16" thickTop="1" x14ac:dyDescent="0.2">
      <c r="A41" s="164" t="s">
        <v>133</v>
      </c>
      <c r="Q41" s="16"/>
      <c r="R41" s="173">
        <f>8+50.5+35.3+69</f>
        <v>162.80000000000001</v>
      </c>
      <c r="S41" s="16"/>
      <c r="T41" s="167"/>
      <c r="U41" s="194">
        <v>0</v>
      </c>
      <c r="V41" s="194">
        <v>0</v>
      </c>
      <c r="W41" s="194">
        <v>0</v>
      </c>
      <c r="X41" s="212"/>
    </row>
    <row r="42" spans="1:28" x14ac:dyDescent="0.2">
      <c r="A42" s="165" t="s">
        <v>148</v>
      </c>
      <c r="Q42" s="27"/>
      <c r="R42" s="174">
        <v>430</v>
      </c>
      <c r="S42" s="27"/>
      <c r="T42" s="168"/>
      <c r="U42" s="188">
        <v>0</v>
      </c>
      <c r="V42" s="188">
        <v>0</v>
      </c>
      <c r="W42" s="188">
        <v>0</v>
      </c>
      <c r="X42" s="211"/>
    </row>
    <row r="43" spans="1:28" x14ac:dyDescent="0.2">
      <c r="A43" s="165" t="s">
        <v>134</v>
      </c>
      <c r="Q43" s="27"/>
      <c r="R43" s="174">
        <v>16</v>
      </c>
      <c r="S43" s="27"/>
      <c r="T43" s="168"/>
      <c r="U43" s="188">
        <v>0</v>
      </c>
      <c r="V43" s="188">
        <v>0</v>
      </c>
      <c r="W43" s="188">
        <v>0</v>
      </c>
      <c r="X43" s="211"/>
    </row>
    <row r="44" spans="1:28" x14ac:dyDescent="0.2">
      <c r="A44" s="165" t="s">
        <v>135</v>
      </c>
      <c r="Q44" s="27"/>
      <c r="R44" s="174">
        <v>43</v>
      </c>
      <c r="S44" s="27"/>
      <c r="T44" s="168"/>
      <c r="U44" s="188">
        <v>0</v>
      </c>
      <c r="V44" s="188">
        <v>0</v>
      </c>
      <c r="W44" s="188">
        <v>0</v>
      </c>
      <c r="X44" s="211"/>
    </row>
    <row r="45" spans="1:28" x14ac:dyDescent="0.2">
      <c r="A45" s="165" t="s">
        <v>136</v>
      </c>
      <c r="Q45" s="75"/>
      <c r="R45" s="174">
        <v>35</v>
      </c>
      <c r="S45" s="75"/>
      <c r="T45" s="169"/>
      <c r="U45" s="195">
        <v>0</v>
      </c>
      <c r="V45" s="195">
        <v>0</v>
      </c>
      <c r="W45" s="195">
        <v>0</v>
      </c>
      <c r="X45" s="213"/>
    </row>
    <row r="46" spans="1:28" x14ac:dyDescent="0.2">
      <c r="A46" s="165" t="s">
        <v>137</v>
      </c>
      <c r="Q46" s="27"/>
      <c r="R46" s="174">
        <v>71</v>
      </c>
      <c r="S46" s="27"/>
      <c r="T46" s="168"/>
      <c r="U46" s="188">
        <v>0</v>
      </c>
      <c r="V46" s="188">
        <v>0</v>
      </c>
      <c r="W46" s="188">
        <v>0</v>
      </c>
      <c r="X46" s="211"/>
    </row>
    <row r="47" spans="1:28" x14ac:dyDescent="0.2">
      <c r="A47" s="165" t="s">
        <v>138</v>
      </c>
      <c r="Q47" s="53"/>
      <c r="R47" s="172">
        <v>22</v>
      </c>
      <c r="S47" s="53"/>
      <c r="T47" s="170"/>
      <c r="U47" s="195">
        <v>0</v>
      </c>
      <c r="V47" s="195">
        <v>0</v>
      </c>
      <c r="W47" s="195">
        <v>0</v>
      </c>
      <c r="X47" s="214"/>
    </row>
    <row r="48" spans="1:28" x14ac:dyDescent="0.2">
      <c r="A48" s="165" t="s">
        <v>139</v>
      </c>
      <c r="Q48" s="53"/>
      <c r="R48" s="172">
        <v>34</v>
      </c>
      <c r="S48" s="53"/>
      <c r="T48" s="170"/>
      <c r="U48" s="195">
        <v>0</v>
      </c>
      <c r="V48" s="195">
        <v>0</v>
      </c>
      <c r="W48" s="195">
        <v>0</v>
      </c>
      <c r="X48" s="214"/>
    </row>
    <row r="49" spans="1:24" x14ac:dyDescent="0.2">
      <c r="A49" s="165" t="s">
        <v>140</v>
      </c>
      <c r="Q49" s="27"/>
      <c r="R49" s="174">
        <v>1</v>
      </c>
      <c r="S49" s="27"/>
      <c r="T49" s="168"/>
      <c r="U49" s="195">
        <v>0</v>
      </c>
      <c r="V49" s="195">
        <v>0</v>
      </c>
      <c r="W49" s="195">
        <v>0</v>
      </c>
      <c r="X49" s="211"/>
    </row>
    <row r="50" spans="1:24" x14ac:dyDescent="0.2">
      <c r="A50" s="165" t="s">
        <v>141</v>
      </c>
      <c r="Q50" s="27"/>
      <c r="R50" s="174">
        <v>57</v>
      </c>
      <c r="S50" s="27"/>
      <c r="T50" s="168"/>
      <c r="U50" s="195">
        <v>0</v>
      </c>
      <c r="V50" s="195">
        <v>0</v>
      </c>
      <c r="W50" s="195">
        <v>0</v>
      </c>
      <c r="X50" s="211"/>
    </row>
    <row r="51" spans="1:24" x14ac:dyDescent="0.2">
      <c r="A51" s="165" t="s">
        <v>142</v>
      </c>
      <c r="Q51" s="27"/>
      <c r="R51" s="174">
        <v>2</v>
      </c>
      <c r="S51" s="27"/>
      <c r="T51" s="168"/>
      <c r="U51" s="195">
        <v>0</v>
      </c>
      <c r="V51" s="195">
        <v>0</v>
      </c>
      <c r="W51" s="195">
        <v>0</v>
      </c>
      <c r="X51" s="211"/>
    </row>
    <row r="52" spans="1:24" x14ac:dyDescent="0.2">
      <c r="A52" s="165" t="s">
        <v>147</v>
      </c>
      <c r="Q52" s="27"/>
      <c r="R52" s="174">
        <v>141</v>
      </c>
      <c r="S52" s="27"/>
      <c r="T52" s="168"/>
      <c r="U52" s="195">
        <v>0</v>
      </c>
      <c r="V52" s="195">
        <v>0</v>
      </c>
      <c r="W52" s="195">
        <v>0</v>
      </c>
      <c r="X52" s="211"/>
    </row>
    <row r="53" spans="1:24" x14ac:dyDescent="0.2">
      <c r="A53" s="165" t="s">
        <v>143</v>
      </c>
      <c r="Q53" s="27"/>
      <c r="R53" s="174">
        <v>227</v>
      </c>
      <c r="S53" s="27"/>
      <c r="T53" s="168"/>
      <c r="U53" s="195">
        <v>0</v>
      </c>
      <c r="V53" s="195">
        <v>0</v>
      </c>
      <c r="W53" s="195">
        <v>0</v>
      </c>
      <c r="X53" s="211"/>
    </row>
    <row r="54" spans="1:24" x14ac:dyDescent="0.2">
      <c r="A54" s="165" t="s">
        <v>144</v>
      </c>
      <c r="Q54" s="53"/>
      <c r="R54" s="172">
        <v>0</v>
      </c>
      <c r="S54" s="53"/>
      <c r="T54" s="170"/>
      <c r="U54" s="195">
        <v>0</v>
      </c>
      <c r="V54" s="195">
        <v>0</v>
      </c>
      <c r="W54" s="195">
        <v>0</v>
      </c>
      <c r="X54" s="214"/>
    </row>
    <row r="55" spans="1:24" x14ac:dyDescent="0.2">
      <c r="A55" s="165" t="s">
        <v>145</v>
      </c>
      <c r="Q55" s="26"/>
      <c r="R55" s="175">
        <v>368</v>
      </c>
      <c r="S55" s="26"/>
      <c r="T55" s="168"/>
      <c r="U55" s="195">
        <v>0</v>
      </c>
      <c r="V55" s="195">
        <v>0</v>
      </c>
      <c r="W55" s="195">
        <v>0</v>
      </c>
      <c r="X55" s="211"/>
    </row>
    <row r="56" spans="1:24" ht="16" thickBot="1" x14ac:dyDescent="0.25">
      <c r="A56" s="166" t="s">
        <v>146</v>
      </c>
      <c r="Q56" s="34"/>
      <c r="R56" s="176">
        <v>5</v>
      </c>
      <c r="S56" s="34"/>
      <c r="T56" s="171"/>
      <c r="U56" s="196">
        <v>0</v>
      </c>
      <c r="V56" s="196">
        <v>0</v>
      </c>
      <c r="W56" s="196">
        <v>0</v>
      </c>
      <c r="X56" s="211"/>
    </row>
    <row r="57" spans="1:24" ht="16" thickTop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16AC-D59C-4D68-AC5A-25E03C348073}">
  <dimension ref="B2:BH94"/>
  <sheetViews>
    <sheetView topLeftCell="A2" zoomScale="70" zoomScaleNormal="70" workbookViewId="0">
      <selection activeCell="BA75" sqref="BA75:BC75"/>
    </sheetView>
  </sheetViews>
  <sheetFormatPr baseColWidth="10" defaultColWidth="8.83203125" defaultRowHeight="15" x14ac:dyDescent="0.2"/>
  <cols>
    <col min="2" max="2" width="14.83203125" customWidth="1"/>
    <col min="3" max="3" width="36.1640625" customWidth="1"/>
    <col min="4" max="4" width="14.83203125" customWidth="1"/>
    <col min="5" max="5" width="47.1640625" style="216" bestFit="1" customWidth="1"/>
    <col min="6" max="6" width="14.5" bestFit="1" customWidth="1"/>
    <col min="7" max="7" width="19.1640625" bestFit="1" customWidth="1"/>
    <col min="8" max="8" width="18.83203125" bestFit="1" customWidth="1"/>
    <col min="9" max="9" width="16.33203125" bestFit="1" customWidth="1"/>
    <col min="10" max="10" width="17.83203125" bestFit="1" customWidth="1"/>
    <col min="11" max="11" width="35.1640625" customWidth="1"/>
    <col min="12" max="12" width="26.6640625" customWidth="1"/>
    <col min="17" max="17" width="6.83203125" bestFit="1" customWidth="1"/>
    <col min="18" max="18" width="8.5" bestFit="1" customWidth="1"/>
    <col min="19" max="19" width="36.83203125" bestFit="1" customWidth="1"/>
    <col min="20" max="20" width="13.1640625" bestFit="1" customWidth="1"/>
    <col min="21" max="21" width="18.6640625" bestFit="1" customWidth="1"/>
    <col min="22" max="22" width="17.1640625" customWidth="1"/>
    <col min="23" max="23" width="14.5" bestFit="1" customWidth="1"/>
    <col min="24" max="24" width="16" bestFit="1" customWidth="1"/>
    <col min="28" max="28" width="36.83203125" bestFit="1" customWidth="1"/>
    <col min="29" max="29" width="8.33203125" bestFit="1" customWidth="1"/>
    <col min="30" max="30" width="10.83203125" bestFit="1" customWidth="1"/>
    <col min="31" max="31" width="9.6640625" bestFit="1" customWidth="1"/>
  </cols>
  <sheetData>
    <row r="2" spans="2:60" ht="49" thickBot="1" x14ac:dyDescent="0.45">
      <c r="B2" s="398" t="s">
        <v>254</v>
      </c>
      <c r="C2" s="398"/>
      <c r="D2" s="398"/>
      <c r="E2" s="398"/>
      <c r="F2" s="251" t="s">
        <v>185</v>
      </c>
      <c r="G2" s="251" t="s">
        <v>202</v>
      </c>
      <c r="H2" s="251" t="s">
        <v>203</v>
      </c>
      <c r="I2" s="251" t="s">
        <v>187</v>
      </c>
      <c r="J2" s="251" t="s">
        <v>186</v>
      </c>
      <c r="K2" s="393" t="s">
        <v>256</v>
      </c>
      <c r="L2" s="393"/>
      <c r="Q2" s="386" t="str">
        <f>'MOH DATA KF NORTH'!W1</f>
        <v>KF NORD</v>
      </c>
      <c r="R2" s="386"/>
      <c r="S2" s="386"/>
      <c r="T2" s="251" t="str">
        <f>'MOH DATA KF NORTH'!Z1</f>
        <v>Baseline 2022</v>
      </c>
      <c r="U2" s="251" t="str">
        <f>'MOH DATA KF NORTH'!AA1</f>
        <v>RI1 (Nov 22-Mar 23)</v>
      </c>
      <c r="V2" s="251" t="str">
        <f>'MOH DATA KF NORTH'!AB1</f>
        <v>RI2 (Apr 23-Jun24)</v>
      </c>
      <c r="W2" s="251" t="str">
        <f>'MOH DATA KF NORTH'!AC1</f>
        <v>RS Jul24-Mar25</v>
      </c>
      <c r="X2" s="251" t="str">
        <f>'MOH DATA KF NORTH'!AD1</f>
        <v>RF (Jul24-May25)</v>
      </c>
      <c r="Z2" s="386" t="str">
        <f>'MOH DATA KF SUD'!W1</f>
        <v>KF SOUTH</v>
      </c>
      <c r="AA2" s="386">
        <f>'MOH DATA KF SUD'!X1</f>
        <v>0</v>
      </c>
      <c r="AB2" s="386">
        <f>'MOH DATA KF SUD'!Y1</f>
        <v>0</v>
      </c>
      <c r="AC2" s="251" t="str">
        <f>'MOH DATA KF SUD'!Z1</f>
        <v>Baseline 2022</v>
      </c>
      <c r="AD2" s="251" t="str">
        <f>'MOH DATA KF SUD'!AA1</f>
        <v>RI1 (Nov 22-Mar 23)</v>
      </c>
      <c r="AE2" s="251" t="str">
        <f>'MOH DATA KF SUD'!AB1</f>
        <v>RI2 (Apr 23-Jun24)</v>
      </c>
      <c r="AF2" s="251" t="str">
        <f>'MOH DATA KF SUD'!AC1</f>
        <v>RS Jul24-Mar25</v>
      </c>
      <c r="AG2" s="251" t="str">
        <f>'MOH DATA KF SUD'!AD1</f>
        <v>RF (Jul24-May25)</v>
      </c>
      <c r="AI2" s="386" t="str">
        <f>'MOH DATA RABAI'!W1</f>
        <v>RABAI</v>
      </c>
      <c r="AJ2" s="386">
        <f>'MOH DATA RABAI'!X1</f>
        <v>0</v>
      </c>
      <c r="AK2" s="386">
        <f>'MOH DATA RABAI'!Y1</f>
        <v>0</v>
      </c>
      <c r="AL2" s="251" t="str">
        <f>'MOH DATA RABAI'!Z1</f>
        <v>Baseline 2022</v>
      </c>
      <c r="AM2" s="251" t="str">
        <f>'MOH DATA RABAI'!AA1</f>
        <v>RI1 (Nov 22-Mar 23)</v>
      </c>
      <c r="AN2" s="251" t="str">
        <f>'MOH DATA RABAI'!AB1</f>
        <v>RI2 (Apr 23-Jun24)</v>
      </c>
      <c r="AO2" s="251" t="str">
        <f>'MOH DATA RABAI'!AC1</f>
        <v>RS Jul24-Mar25</v>
      </c>
      <c r="AP2" s="251" t="str">
        <f>'MOH DATA RABAI'!AD1</f>
        <v>RF (Jul24-May25)</v>
      </c>
      <c r="AR2" s="386" t="str">
        <f>'MOH DATA KALOLENI'!W1</f>
        <v>KALOLENI</v>
      </c>
      <c r="AS2" s="386">
        <f>'MOH DATA KALOLENI'!X1</f>
        <v>0</v>
      </c>
      <c r="AT2" s="386">
        <f>'MOH DATA KALOLENI'!Y1</f>
        <v>0</v>
      </c>
      <c r="AU2" s="251" t="str">
        <f>'MOH DATA KALOLENI'!Z1</f>
        <v>Baseline 2022</v>
      </c>
      <c r="AV2" s="251" t="str">
        <f>'MOH DATA KALOLENI'!AA1</f>
        <v>RI1 (Nov 22-Mar 23)</v>
      </c>
      <c r="AW2" s="251" t="str">
        <f>'MOH DATA KALOLENI'!AB1</f>
        <v>RI2 (Apr 23-Jun24)</v>
      </c>
      <c r="AX2" s="251" t="str">
        <f>'MOH DATA KALOLENI'!AC1</f>
        <v>RS Jul24-Mar25</v>
      </c>
      <c r="AY2" s="251" t="str">
        <f>'MOH DATA KALOLENI'!AD1</f>
        <v>RF (Jul24-May25)</v>
      </c>
      <c r="BA2" s="386" t="str">
        <f>'MOH DATA GANZE'!X1</f>
        <v>GANZE</v>
      </c>
      <c r="BB2" s="386">
        <f>'MOH DATA GANZE'!Y1</f>
        <v>0</v>
      </c>
      <c r="BC2" s="386">
        <f>'MOH DATA GANZE'!Z1</f>
        <v>0</v>
      </c>
      <c r="BD2" s="251" t="str">
        <f>'MOH DATA GANZE'!AA1</f>
        <v>Baseline 2022</v>
      </c>
      <c r="BE2" s="251" t="str">
        <f>'MOH DATA GANZE'!AB1</f>
        <v>RI1 (Nov 22-Mar 23)</v>
      </c>
      <c r="BF2" s="251" t="str">
        <f>'MOH DATA GANZE'!AC1</f>
        <v>RI2 (Apr 23-Jun24)</v>
      </c>
      <c r="BG2" s="251" t="str">
        <f>'MOH DATA GANZE'!AD1</f>
        <v>RS Jul24-Mar25</v>
      </c>
      <c r="BH2" s="251" t="str">
        <f>'MOH DATA GANZE'!AE1</f>
        <v>RF (Jul24-May25)</v>
      </c>
    </row>
    <row r="3" spans="2:60" ht="20" thickTop="1" x14ac:dyDescent="0.2">
      <c r="B3" s="399" t="s">
        <v>51</v>
      </c>
      <c r="C3" s="409" t="s">
        <v>291</v>
      </c>
      <c r="D3" s="402" t="s">
        <v>226</v>
      </c>
      <c r="E3" s="276" t="s">
        <v>188</v>
      </c>
      <c r="F3" s="277">
        <f>(F4/F5)*1000</f>
        <v>229.88927827315618</v>
      </c>
      <c r="G3" s="277">
        <f t="shared" ref="G3:J3" si="0">(G4/G5)*1000</f>
        <v>234.43537999141262</v>
      </c>
      <c r="H3" s="277">
        <f t="shared" si="0"/>
        <v>186.53866797527948</v>
      </c>
      <c r="I3" s="277">
        <f>(I4/I5)*1000</f>
        <v>225.5169894687738</v>
      </c>
      <c r="J3" s="277">
        <f t="shared" si="0"/>
        <v>225.5169894687738</v>
      </c>
      <c r="K3" s="431">
        <v>196.4</v>
      </c>
      <c r="L3" s="434" t="s">
        <v>257</v>
      </c>
      <c r="Q3" s="387" t="str">
        <f>'MOH DATA KF NORTH'!W2</f>
        <v>I.O.G.1</v>
      </c>
      <c r="R3" s="387" t="str">
        <f>'MOH DATA KF NORTH'!X2</f>
        <v>TOTAL</v>
      </c>
      <c r="S3" s="243" t="str">
        <f>'MOH DATA KF NORTH'!Y2</f>
        <v>(705 Confirmed/705 suspect)*1000</v>
      </c>
      <c r="T3" s="247">
        <f>'MOH DATA KF NORTH'!Z2</f>
        <v>252.15362526920316</v>
      </c>
      <c r="U3" s="247">
        <f>'MOH DATA KF NORTH'!AA2</f>
        <v>277.26747979721927</v>
      </c>
      <c r="V3" s="247">
        <f>'MOH DATA KF NORTH'!AB2</f>
        <v>182.1995019006423</v>
      </c>
      <c r="W3" s="247">
        <f>'MOH DATA KF NORTH'!AC2</f>
        <v>256.12093752722836</v>
      </c>
      <c r="X3" s="247">
        <f>'MOH DATA KF NORTH'!AD2</f>
        <v>256.12093752722836</v>
      </c>
      <c r="Z3" s="387" t="str">
        <f>'MOH DATA KF SUD'!W2</f>
        <v>I.O.G.1</v>
      </c>
      <c r="AA3" s="387" t="str">
        <f>'MOH DATA KF SUD'!X2</f>
        <v>TOTAL</v>
      </c>
      <c r="AB3" s="243" t="str">
        <f>'MOH DATA KF SUD'!Y2</f>
        <v>(705 Confirmed/705 suspect)*1000</v>
      </c>
      <c r="AC3" s="247">
        <f>'MOH DATA KF SUD'!Z2</f>
        <v>222.72469133205729</v>
      </c>
      <c r="AD3" s="247">
        <f>'MOH DATA KF SUD'!AA2</f>
        <v>211.71049729173305</v>
      </c>
      <c r="AE3" s="247">
        <f>'MOH DATA KF SUD'!AB2</f>
        <v>157.76328251504691</v>
      </c>
      <c r="AF3" s="247">
        <f>'MOH DATA KF SUD'!AC2</f>
        <v>202.69740634005765</v>
      </c>
      <c r="AG3" s="247">
        <f>'MOH DATA KF SUD'!AD2</f>
        <v>202.69740634005765</v>
      </c>
      <c r="AI3" s="387" t="str">
        <f>'MOH DATA RABAI'!W2</f>
        <v>I.O.G.1</v>
      </c>
      <c r="AJ3" s="387" t="str">
        <f>'MOH DATA RABAI'!X2</f>
        <v>TOTAL</v>
      </c>
      <c r="AK3" s="243" t="str">
        <f>'MOH DATA RABAI'!Y2</f>
        <v>(705 Confirmed/705 suspect)*1000</v>
      </c>
      <c r="AL3" s="247">
        <f>'MOH DATA RABAI'!Z2</f>
        <v>149.17127071823205</v>
      </c>
      <c r="AM3" s="247">
        <f>'MOH DATA RABAI'!AA2</f>
        <v>487.89283874291601</v>
      </c>
      <c r="AN3" s="247">
        <f>'MOH DATA RABAI'!AB2</f>
        <v>209.2557298538826</v>
      </c>
      <c r="AO3" s="247">
        <f>'MOH DATA RABAI'!AC2</f>
        <v>310.78431372549022</v>
      </c>
      <c r="AP3" s="247">
        <f>'MOH DATA RABAI'!AD2</f>
        <v>310.78431372549022</v>
      </c>
      <c r="AR3" s="387" t="str">
        <f>'MOH DATA KALOLENI'!W2</f>
        <v>I.O.G.1</v>
      </c>
      <c r="AS3" s="387" t="str">
        <f>'MOH DATA KALOLENI'!X2</f>
        <v>TOTAL</v>
      </c>
      <c r="AT3" s="243" t="str">
        <f>'MOH DATA KALOLENI'!Y2</f>
        <v>(705 Confirmed/705 suspect)*1000</v>
      </c>
      <c r="AU3" s="247">
        <f>'MOH DATA KALOLENI'!Z2</f>
        <v>241.81904193833685</v>
      </c>
      <c r="AV3" s="247">
        <f>'MOH DATA KALOLENI'!AA2</f>
        <v>205.29641599536924</v>
      </c>
      <c r="AW3" s="247">
        <f>'MOH DATA KALOLENI'!AB2</f>
        <v>202.26186097830083</v>
      </c>
      <c r="AX3" s="247">
        <f>'MOH DATA KALOLENI'!AC2</f>
        <v>193.9208471012316</v>
      </c>
      <c r="AY3" s="247">
        <f>'MOH DATA KALOLENI'!AD2</f>
        <v>193.9208471012316</v>
      </c>
      <c r="BA3" s="387" t="str">
        <f>'MOH DATA GANZE'!X2</f>
        <v>I.O.G.1</v>
      </c>
      <c r="BB3" s="387" t="str">
        <f>'MOH DATA GANZE'!Y2</f>
        <v>TOTAL</v>
      </c>
      <c r="BC3" s="243" t="str">
        <f>'MOH DATA GANZE'!Z2</f>
        <v>(705 Confirmed/705 suspect)*1000</v>
      </c>
      <c r="BD3" s="247">
        <f>'MOH DATA GANZE'!AA2</f>
        <v>229.72667209702234</v>
      </c>
      <c r="BE3" s="247">
        <f>'MOH DATA GANZE'!AB2</f>
        <v>245.53757984597934</v>
      </c>
      <c r="BF3" s="247">
        <f>'MOH DATA GANZE'!AC2</f>
        <v>249.70446485405108</v>
      </c>
      <c r="BG3" s="247">
        <f>'MOH DATA GANZE'!AD2</f>
        <v>258.02144615512998</v>
      </c>
      <c r="BH3" s="247">
        <f>'MOH DATA GANZE'!AE2</f>
        <v>258.02144615512998</v>
      </c>
    </row>
    <row r="4" spans="2:60" x14ac:dyDescent="0.2">
      <c r="B4" s="400"/>
      <c r="C4" s="410"/>
      <c r="D4" s="388"/>
      <c r="E4" s="217" t="s">
        <v>229</v>
      </c>
      <c r="F4" s="236">
        <f>T4+AC4+AL4+AU4+BD4</f>
        <v>57596</v>
      </c>
      <c r="G4" s="236">
        <f>U4+AD4+AM4+AV4+BE4</f>
        <v>23478</v>
      </c>
      <c r="H4" s="236">
        <f t="shared" ref="H4:J5" si="1">V4+AE4+AN4+AW4+BF4</f>
        <v>60820</v>
      </c>
      <c r="I4" s="236">
        <f t="shared" si="1"/>
        <v>51244</v>
      </c>
      <c r="J4" s="236">
        <f t="shared" si="1"/>
        <v>51244</v>
      </c>
      <c r="K4" s="432"/>
      <c r="L4" s="426"/>
      <c r="Q4" s="388"/>
      <c r="R4" s="388">
        <f>'MOH DATA KF NORTH'!X3</f>
        <v>0</v>
      </c>
      <c r="S4" s="217" t="str">
        <f>'MOH DATA KF NORTH'!Y3</f>
        <v>705 Confirmed</v>
      </c>
      <c r="T4" s="236">
        <f>'MOH DATA KF NORTH'!Z3</f>
        <v>12645</v>
      </c>
      <c r="U4" s="236">
        <f>'MOH DATA KF NORTH'!AA3</f>
        <v>5524</v>
      </c>
      <c r="V4" s="236">
        <f>'MOH DATA KF NORTH'!AB3</f>
        <v>13900</v>
      </c>
      <c r="W4" s="236">
        <f>'MOH DATA KF NORTH'!AC3</f>
        <v>11758</v>
      </c>
      <c r="X4" s="236">
        <f>'MOH DATA KF NORTH'!AD3</f>
        <v>11758</v>
      </c>
      <c r="Z4" s="388">
        <f>'MOH DATA KF SUD'!W3</f>
        <v>0</v>
      </c>
      <c r="AA4" s="388">
        <f>'MOH DATA KF SUD'!X3</f>
        <v>0</v>
      </c>
      <c r="AB4" s="217" t="str">
        <f>'MOH DATA KF SUD'!Y3</f>
        <v>705 Confirmed</v>
      </c>
      <c r="AC4" s="236">
        <f>'MOH DATA KF SUD'!Z3</f>
        <v>21178</v>
      </c>
      <c r="AD4" s="236">
        <f>'MOH DATA KF SUD'!AA3</f>
        <v>8638</v>
      </c>
      <c r="AE4" s="236">
        <f>'MOH DATA KF SUD'!AB3</f>
        <v>20655</v>
      </c>
      <c r="AF4" s="236">
        <f>'MOH DATA KF SUD'!AC3</f>
        <v>17584</v>
      </c>
      <c r="AG4" s="236">
        <f>'MOH DATA KF SUD'!AD3</f>
        <v>17584</v>
      </c>
      <c r="AI4" s="388">
        <f>'MOH DATA RABAI'!W3</f>
        <v>0</v>
      </c>
      <c r="AJ4" s="388">
        <f>'MOH DATA RABAI'!X3</f>
        <v>0</v>
      </c>
      <c r="AK4" s="217" t="str">
        <f>'MOH DATA RABAI'!Y3</f>
        <v>705 Confirmed</v>
      </c>
      <c r="AL4" s="236">
        <f>'MOH DATA RABAI'!Z3</f>
        <v>1863</v>
      </c>
      <c r="AM4" s="236">
        <f>'MOH DATA RABAI'!AA3</f>
        <v>947</v>
      </c>
      <c r="AN4" s="236">
        <f>'MOH DATA RABAI'!AB3</f>
        <v>4282</v>
      </c>
      <c r="AO4" s="236">
        <f>'MOH DATA RABAI'!AC3</f>
        <v>5389</v>
      </c>
      <c r="AP4" s="236">
        <f>'MOH DATA RABAI'!AD3</f>
        <v>5389</v>
      </c>
      <c r="AR4" s="388">
        <f>'MOH DATA KALOLENI'!W3</f>
        <v>0</v>
      </c>
      <c r="AS4" s="388">
        <f>'MOH DATA KALOLENI'!X3</f>
        <v>0</v>
      </c>
      <c r="AT4" s="217" t="str">
        <f>'MOH DATA KALOLENI'!Y3</f>
        <v>705 Confirmed</v>
      </c>
      <c r="AU4" s="236">
        <f>'MOH DATA KALOLENI'!Z3</f>
        <v>11757</v>
      </c>
      <c r="AV4" s="236">
        <f>'MOH DATA KALOLENI'!AA3</f>
        <v>4256</v>
      </c>
      <c r="AW4" s="236">
        <f>'MOH DATA KALOLENI'!AB3</f>
        <v>10999</v>
      </c>
      <c r="AX4" s="236">
        <f>'MOH DATA KALOLENI'!AC3</f>
        <v>10329</v>
      </c>
      <c r="AY4" s="236">
        <f>'MOH DATA KALOLENI'!AD3</f>
        <v>10329</v>
      </c>
      <c r="BA4" s="388">
        <f>'MOH DATA GANZE'!X3</f>
        <v>0</v>
      </c>
      <c r="BB4" s="388">
        <f>'MOH DATA GANZE'!Y3</f>
        <v>0</v>
      </c>
      <c r="BC4" s="217" t="str">
        <f>'MOH DATA GANZE'!Z3</f>
        <v>705 Confirmed</v>
      </c>
      <c r="BD4" s="236">
        <f>'MOH DATA GANZE'!AA3</f>
        <v>10153</v>
      </c>
      <c r="BE4" s="236">
        <f>'MOH DATA GANZE'!AB3</f>
        <v>4113</v>
      </c>
      <c r="BF4" s="236">
        <f>'MOH DATA GANZE'!AC3</f>
        <v>10984</v>
      </c>
      <c r="BG4" s="236">
        <f>'MOH DATA GANZE'!AD3</f>
        <v>6184</v>
      </c>
      <c r="BH4" s="236">
        <f>'MOH DATA GANZE'!AE3</f>
        <v>6184</v>
      </c>
    </row>
    <row r="5" spans="2:60" x14ac:dyDescent="0.2">
      <c r="B5" s="400"/>
      <c r="C5" s="410"/>
      <c r="D5" s="389"/>
      <c r="E5" s="217" t="s">
        <v>216</v>
      </c>
      <c r="F5" s="236">
        <f>T5+AC5+AL5+AU5+BD5</f>
        <v>250538</v>
      </c>
      <c r="G5" s="236">
        <f>U5+AD5+AM5+AV5+BE5</f>
        <v>100147</v>
      </c>
      <c r="H5" s="236">
        <f t="shared" si="1"/>
        <v>326045</v>
      </c>
      <c r="I5" s="236">
        <f t="shared" si="1"/>
        <v>227229</v>
      </c>
      <c r="J5" s="236">
        <f>X5+AG5+AP5+AY5+BH5</f>
        <v>227229</v>
      </c>
      <c r="K5" s="432"/>
      <c r="L5" s="426"/>
      <c r="Q5" s="388"/>
      <c r="R5" s="389">
        <f>'MOH DATA KF NORTH'!X4</f>
        <v>0</v>
      </c>
      <c r="S5" s="217" t="str">
        <f>'MOH DATA KF NORTH'!Y4</f>
        <v>705 Suspected</v>
      </c>
      <c r="T5" s="236">
        <f>'MOH DATA KF NORTH'!Z4</f>
        <v>50148</v>
      </c>
      <c r="U5" s="236">
        <f>'MOH DATA KF NORTH'!AA4</f>
        <v>19923</v>
      </c>
      <c r="V5" s="236">
        <f>'MOH DATA KF NORTH'!AB4</f>
        <v>76290</v>
      </c>
      <c r="W5" s="236">
        <f>'MOH DATA KF NORTH'!AC4</f>
        <v>45908</v>
      </c>
      <c r="X5" s="236">
        <f>'MOH DATA KF NORTH'!AD4</f>
        <v>45908</v>
      </c>
      <c r="Z5" s="388">
        <f>'MOH DATA KF SUD'!W4</f>
        <v>0</v>
      </c>
      <c r="AA5" s="389">
        <f>'MOH DATA KF SUD'!X4</f>
        <v>0</v>
      </c>
      <c r="AB5" s="217" t="str">
        <f>'MOH DATA KF SUD'!Y4</f>
        <v>705 Suspected</v>
      </c>
      <c r="AC5" s="236">
        <f>'MOH DATA KF SUD'!Z4</f>
        <v>95086</v>
      </c>
      <c r="AD5" s="236">
        <f>'MOH DATA KF SUD'!AA4</f>
        <v>40801</v>
      </c>
      <c r="AE5" s="236">
        <f>'MOH DATA KF SUD'!AB4</f>
        <v>130924</v>
      </c>
      <c r="AF5" s="236">
        <f>'MOH DATA KF SUD'!AC4</f>
        <v>86750</v>
      </c>
      <c r="AG5" s="236">
        <f>'MOH DATA KF SUD'!AD4</f>
        <v>86750</v>
      </c>
      <c r="AI5" s="388">
        <f>'MOH DATA RABAI'!W4</f>
        <v>0</v>
      </c>
      <c r="AJ5" s="389">
        <f>'MOH DATA RABAI'!X4</f>
        <v>0</v>
      </c>
      <c r="AK5" s="217" t="str">
        <f>'MOH DATA RABAI'!Y4</f>
        <v>705 Suspected</v>
      </c>
      <c r="AL5" s="236">
        <f>'MOH DATA RABAI'!Z4</f>
        <v>12489</v>
      </c>
      <c r="AM5" s="236">
        <f>'MOH DATA RABAI'!AA4</f>
        <v>1941</v>
      </c>
      <c r="AN5" s="236">
        <f>'MOH DATA RABAI'!AB4</f>
        <v>20463</v>
      </c>
      <c r="AO5" s="236">
        <f>'MOH DATA RABAI'!AC4</f>
        <v>17340</v>
      </c>
      <c r="AP5" s="236">
        <f>'MOH DATA RABAI'!AD4</f>
        <v>17340</v>
      </c>
      <c r="AR5" s="388">
        <f>'MOH DATA KALOLENI'!W4</f>
        <v>0</v>
      </c>
      <c r="AS5" s="389">
        <f>'MOH DATA KALOLENI'!X4</f>
        <v>0</v>
      </c>
      <c r="AT5" s="217" t="str">
        <f>'MOH DATA KALOLENI'!Y4</f>
        <v>705 Suspected</v>
      </c>
      <c r="AU5" s="236">
        <f>'MOH DATA KALOLENI'!Z4</f>
        <v>48619</v>
      </c>
      <c r="AV5" s="236">
        <f>'MOH DATA KALOLENI'!AA4</f>
        <v>20731</v>
      </c>
      <c r="AW5" s="236">
        <f>'MOH DATA KALOLENI'!AB4</f>
        <v>54380</v>
      </c>
      <c r="AX5" s="236">
        <f>'MOH DATA KALOLENI'!AC4</f>
        <v>53264</v>
      </c>
      <c r="AY5" s="236">
        <f>'MOH DATA KALOLENI'!AD4</f>
        <v>53264</v>
      </c>
      <c r="BA5" s="388">
        <f>'MOH DATA GANZE'!X4</f>
        <v>0</v>
      </c>
      <c r="BB5" s="389">
        <f>'MOH DATA GANZE'!Y4</f>
        <v>0</v>
      </c>
      <c r="BC5" s="217" t="str">
        <f>'MOH DATA GANZE'!Z4</f>
        <v>705 Suspected</v>
      </c>
      <c r="BD5" s="236">
        <f>'MOH DATA GANZE'!AA4</f>
        <v>44196</v>
      </c>
      <c r="BE5" s="236">
        <f>'MOH DATA GANZE'!AB4</f>
        <v>16751</v>
      </c>
      <c r="BF5" s="236">
        <f>'MOH DATA GANZE'!AC4</f>
        <v>43988</v>
      </c>
      <c r="BG5" s="236">
        <f>'MOH DATA GANZE'!AD4</f>
        <v>23967</v>
      </c>
      <c r="BH5" s="236">
        <f>'MOH DATA GANZE'!AE4</f>
        <v>23967</v>
      </c>
    </row>
    <row r="6" spans="2:60" x14ac:dyDescent="0.2">
      <c r="B6" s="400"/>
      <c r="C6" s="410"/>
      <c r="D6" s="387" t="s">
        <v>227</v>
      </c>
      <c r="E6" s="217" t="s">
        <v>188</v>
      </c>
      <c r="F6" s="267">
        <f>(F7/F8)*1000</f>
        <v>154.940424295263</v>
      </c>
      <c r="G6" s="267">
        <f t="shared" ref="G6" si="2">(G7/G8)*1000</f>
        <v>167.62361523912455</v>
      </c>
      <c r="H6" s="267">
        <f t="shared" ref="H6" si="3">(H7/H8)*1000</f>
        <v>139.18237257509975</v>
      </c>
      <c r="I6" s="267">
        <f>(I7/I8)*1000</f>
        <v>161.2969143791295</v>
      </c>
      <c r="J6" s="267">
        <f t="shared" ref="J6" si="4">(J7/J8)*1000</f>
        <v>161.2969143791295</v>
      </c>
      <c r="K6" s="432"/>
      <c r="L6" s="426"/>
      <c r="Q6" s="388"/>
      <c r="R6" s="387" t="str">
        <f>'MOH DATA KF NORTH'!X5</f>
        <v>UNDER 5</v>
      </c>
      <c r="S6" s="217" t="str">
        <f>'MOH DATA KF NORTH'!Y5</f>
        <v>(705 Confirmed/705 suspect)*1000</v>
      </c>
      <c r="T6" s="247">
        <f>'MOH DATA KF NORTH'!Z5</f>
        <v>170.87855501861682</v>
      </c>
      <c r="U6" s="247">
        <f>'MOH DATA KF NORTH'!AA5</f>
        <v>205.60393790230975</v>
      </c>
      <c r="V6" s="247">
        <f>'MOH DATA KF NORTH'!AB5</f>
        <v>124.87935656836461</v>
      </c>
      <c r="W6" s="247">
        <f>'MOH DATA KF NORTH'!AC5</f>
        <v>160.89787525702536</v>
      </c>
      <c r="X6" s="247">
        <f>'MOH DATA KF NORTH'!AD5</f>
        <v>160.89787525702536</v>
      </c>
      <c r="Z6" s="388">
        <f>'MOH DATA KF SUD'!W5</f>
        <v>0</v>
      </c>
      <c r="AA6" s="387" t="str">
        <f>'MOH DATA KF SUD'!X5</f>
        <v>UNDER 5</v>
      </c>
      <c r="AB6" s="217" t="str">
        <f>'MOH DATA KF SUD'!Y5</f>
        <v>(705 Confirmed/705 suspect)*1000</v>
      </c>
      <c r="AC6" s="247">
        <f>'MOH DATA KF SUD'!Z5</f>
        <v>155.84273354506627</v>
      </c>
      <c r="AD6" s="247">
        <f>'MOH DATA KF SUD'!AA5</f>
        <v>167.29750189250566</v>
      </c>
      <c r="AE6" s="247">
        <f>'MOH DATA KF SUD'!AB5</f>
        <v>118.73293621245968</v>
      </c>
      <c r="AF6" s="247">
        <f>'MOH DATA KF SUD'!AC5</f>
        <v>148.5222761358624</v>
      </c>
      <c r="AG6" s="247">
        <f>'MOH DATA KF SUD'!AD5</f>
        <v>148.5222761358624</v>
      </c>
      <c r="AI6" s="388">
        <f>'MOH DATA RABAI'!W5</f>
        <v>0</v>
      </c>
      <c r="AJ6" s="387" t="str">
        <f>'MOH DATA RABAI'!X5</f>
        <v>UNDER 5</v>
      </c>
      <c r="AK6" s="217" t="str">
        <f>'MOH DATA RABAI'!Y5</f>
        <v>(705 Confirmed/705 suspect)*1000</v>
      </c>
      <c r="AL6" s="247">
        <f>'MOH DATA RABAI'!Z5</f>
        <v>98.12256464753807</v>
      </c>
      <c r="AM6" s="247">
        <f>'MOH DATA RABAI'!AA5</f>
        <v>329.6</v>
      </c>
      <c r="AN6" s="247">
        <f>'MOH DATA RABAI'!AB5</f>
        <v>166.87453230231978</v>
      </c>
      <c r="AO6" s="247">
        <f>'MOH DATA RABAI'!AC5</f>
        <v>182.9472175782183</v>
      </c>
      <c r="AP6" s="247">
        <f>'MOH DATA RABAI'!AD5</f>
        <v>182.9472175782183</v>
      </c>
      <c r="AR6" s="388">
        <f>'MOH DATA KALOLENI'!W5</f>
        <v>0</v>
      </c>
      <c r="AS6" s="387" t="str">
        <f>'MOH DATA KALOLENI'!X5</f>
        <v>UNDER 5</v>
      </c>
      <c r="AT6" s="217" t="str">
        <f>'MOH DATA KALOLENI'!Y5</f>
        <v>(705 Confirmed/705 suspect)*1000</v>
      </c>
      <c r="AU6" s="247">
        <f>'MOH DATA KALOLENI'!Z5</f>
        <v>133.7117628508357</v>
      </c>
      <c r="AV6" s="247">
        <f>'MOH DATA KALOLENI'!AA5</f>
        <v>114.69579575765273</v>
      </c>
      <c r="AW6" s="247">
        <f>'MOH DATA KALOLENI'!AB5</f>
        <v>149.43085492855411</v>
      </c>
      <c r="AX6" s="247">
        <f>'MOH DATA KALOLENI'!AC5</f>
        <v>172.50298448070038</v>
      </c>
      <c r="AY6" s="247">
        <f>'MOH DATA KALOLENI'!AD5</f>
        <v>172.50298448070038</v>
      </c>
      <c r="BA6" s="388">
        <f>'MOH DATA GANZE'!X5</f>
        <v>0</v>
      </c>
      <c r="BB6" s="387" t="str">
        <f>'MOH DATA GANZE'!Y5</f>
        <v>UNDER 5</v>
      </c>
      <c r="BC6" s="217" t="str">
        <f>'MOH DATA GANZE'!Z5</f>
        <v>(705 Confirmed/705 suspect)*1000</v>
      </c>
      <c r="BD6" s="247">
        <f>'MOH DATA GANZE'!AA5</f>
        <v>181.71044835078018</v>
      </c>
      <c r="BE6" s="247">
        <f>'MOH DATA GANZE'!AB5</f>
        <v>197.76593043919777</v>
      </c>
      <c r="BF6" s="247">
        <f>'MOH DATA GANZE'!AC5</f>
        <v>217.08700374079885</v>
      </c>
      <c r="BG6" s="247">
        <f>'MOH DATA GANZE'!AD5</f>
        <v>168.0672268907563</v>
      </c>
      <c r="BH6" s="247">
        <f>'MOH DATA GANZE'!AE5</f>
        <v>168.0672268907563</v>
      </c>
    </row>
    <row r="7" spans="2:60" x14ac:dyDescent="0.2">
      <c r="B7" s="400"/>
      <c r="C7" s="410"/>
      <c r="D7" s="388"/>
      <c r="E7" s="217" t="s">
        <v>229</v>
      </c>
      <c r="F7" s="236">
        <f>T7+AC7+AL7+AU7+BD7</f>
        <v>10663</v>
      </c>
      <c r="G7" s="236">
        <f>U7+AD7+AM7+AV7+BE7</f>
        <v>4963</v>
      </c>
      <c r="H7" s="236">
        <f t="shared" ref="H7:H8" si="5">V7+AE7+AN7+AW7+BF7</f>
        <v>11092</v>
      </c>
      <c r="I7" s="236">
        <f t="shared" ref="I7:I8" si="6">W7+AF7+AO7+AX7+BG7</f>
        <v>9472</v>
      </c>
      <c r="J7" s="236">
        <f t="shared" ref="J7" si="7">X7+AG7+AP7+AY7+BH7</f>
        <v>9472</v>
      </c>
      <c r="K7" s="432"/>
      <c r="L7" s="426"/>
      <c r="Q7" s="388"/>
      <c r="R7" s="388">
        <f>'MOH DATA KF NORTH'!X6</f>
        <v>0</v>
      </c>
      <c r="S7" s="217" t="str">
        <f>'MOH DATA KF NORTH'!Y6</f>
        <v>705 Confirmed</v>
      </c>
      <c r="T7" s="236">
        <f>'MOH DATA KF NORTH'!Z6</f>
        <v>2157</v>
      </c>
      <c r="U7" s="236">
        <f>'MOH DATA KF NORTH'!AA6</f>
        <v>1086</v>
      </c>
      <c r="V7" s="236">
        <f>'MOH DATA KF NORTH'!AB6</f>
        <v>2329</v>
      </c>
      <c r="W7" s="236">
        <f>'MOH DATA KF NORTH'!AC6</f>
        <v>1878</v>
      </c>
      <c r="X7" s="236">
        <f>'MOH DATA KF NORTH'!AD6</f>
        <v>1878</v>
      </c>
      <c r="Z7" s="388">
        <f>'MOH DATA KF SUD'!W6</f>
        <v>0</v>
      </c>
      <c r="AA7" s="388">
        <f>'MOH DATA KF SUD'!X6</f>
        <v>0</v>
      </c>
      <c r="AB7" s="217" t="str">
        <f>'MOH DATA KF SUD'!Y6</f>
        <v>705 Confirmed</v>
      </c>
      <c r="AC7" s="236">
        <f>'MOH DATA KF SUD'!Z6</f>
        <v>4269</v>
      </c>
      <c r="AD7" s="236">
        <f>'MOH DATA KF SUD'!AA6</f>
        <v>1989</v>
      </c>
      <c r="AE7" s="236">
        <f>'MOH DATA KF SUD'!AB6</f>
        <v>3827</v>
      </c>
      <c r="AF7" s="236">
        <f>'MOH DATA KF SUD'!AC6</f>
        <v>3367</v>
      </c>
      <c r="AG7" s="236">
        <f>'MOH DATA KF SUD'!AD6</f>
        <v>3367</v>
      </c>
      <c r="AI7" s="388">
        <f>'MOH DATA RABAI'!W6</f>
        <v>0</v>
      </c>
      <c r="AJ7" s="388">
        <f>'MOH DATA RABAI'!X6</f>
        <v>0</v>
      </c>
      <c r="AK7" s="217" t="str">
        <f>'MOH DATA RABAI'!Y6</f>
        <v>705 Confirmed</v>
      </c>
      <c r="AL7" s="236">
        <f>'MOH DATA RABAI'!Z6</f>
        <v>277</v>
      </c>
      <c r="AM7" s="236">
        <f>'MOH DATA RABAI'!AA6</f>
        <v>206</v>
      </c>
      <c r="AN7" s="236">
        <f>'MOH DATA RABAI'!AB6</f>
        <v>669</v>
      </c>
      <c r="AO7" s="236">
        <f>'MOH DATA RABAI'!AC6</f>
        <v>766</v>
      </c>
      <c r="AP7" s="236">
        <f>'MOH DATA RABAI'!AD6</f>
        <v>766</v>
      </c>
      <c r="AR7" s="388">
        <f>'MOH DATA KALOLENI'!W6</f>
        <v>0</v>
      </c>
      <c r="AS7" s="388">
        <f>'MOH DATA KALOLENI'!X6</f>
        <v>0</v>
      </c>
      <c r="AT7" s="217" t="str">
        <f>'MOH DATA KALOLENI'!Y6</f>
        <v>705 Confirmed</v>
      </c>
      <c r="AU7" s="236">
        <f>'MOH DATA KALOLENI'!Z6</f>
        <v>2120</v>
      </c>
      <c r="AV7" s="236">
        <f>'MOH DATA KALOLENI'!AA6</f>
        <v>903</v>
      </c>
      <c r="AW7" s="236">
        <f>'MOH DATA KALOLENI'!AB6</f>
        <v>2468</v>
      </c>
      <c r="AX7" s="236">
        <f>'MOH DATA KALOLENI'!AC6</f>
        <v>2601</v>
      </c>
      <c r="AY7" s="236">
        <f>'MOH DATA KALOLENI'!AD6</f>
        <v>2601</v>
      </c>
      <c r="BA7" s="388">
        <f>'MOH DATA GANZE'!X6</f>
        <v>0</v>
      </c>
      <c r="BB7" s="388">
        <f>'MOH DATA GANZE'!Y6</f>
        <v>0</v>
      </c>
      <c r="BC7" s="217" t="str">
        <f>'MOH DATA GANZE'!Z6</f>
        <v>705 Confirmed</v>
      </c>
      <c r="BD7" s="236">
        <f>'MOH DATA GANZE'!AA6</f>
        <v>1840</v>
      </c>
      <c r="BE7" s="236">
        <f>'MOH DATA GANZE'!AB6</f>
        <v>779</v>
      </c>
      <c r="BF7" s="236">
        <f>'MOH DATA GANZE'!AC6</f>
        <v>1799</v>
      </c>
      <c r="BG7" s="236">
        <f>'MOH DATA GANZE'!AD6</f>
        <v>860</v>
      </c>
      <c r="BH7" s="236">
        <f>'MOH DATA GANZE'!AE6</f>
        <v>860</v>
      </c>
    </row>
    <row r="8" spans="2:60" x14ac:dyDescent="0.2">
      <c r="B8" s="400"/>
      <c r="C8" s="410"/>
      <c r="D8" s="389"/>
      <c r="E8" s="217" t="s">
        <v>216</v>
      </c>
      <c r="F8" s="236">
        <f>T8+AC8+AL8+AU8+BD8</f>
        <v>68820</v>
      </c>
      <c r="G8" s="236">
        <f>U8+AD8+AM8+AV8+BE8</f>
        <v>29608</v>
      </c>
      <c r="H8" s="236">
        <f t="shared" si="5"/>
        <v>79694</v>
      </c>
      <c r="I8" s="236">
        <f t="shared" si="6"/>
        <v>58724</v>
      </c>
      <c r="J8" s="236">
        <f>X8+AG8+AP8+AY8+BH8</f>
        <v>58724</v>
      </c>
      <c r="K8" s="432"/>
      <c r="L8" s="426"/>
      <c r="Q8" s="388"/>
      <c r="R8" s="389">
        <f>'MOH DATA KF NORTH'!X7</f>
        <v>0</v>
      </c>
      <c r="S8" s="217" t="str">
        <f>'MOH DATA KF NORTH'!Y7</f>
        <v>705 Suspected</v>
      </c>
      <c r="T8" s="236">
        <f>'MOH DATA KF NORTH'!Z7</f>
        <v>12623</v>
      </c>
      <c r="U8" s="236">
        <f>'MOH DATA KF NORTH'!AA7</f>
        <v>5282</v>
      </c>
      <c r="V8" s="236">
        <f>'MOH DATA KF NORTH'!AB7</f>
        <v>18650</v>
      </c>
      <c r="W8" s="236">
        <f>'MOH DATA KF NORTH'!AC7</f>
        <v>11672</v>
      </c>
      <c r="X8" s="236">
        <f>'MOH DATA KF NORTH'!AD7</f>
        <v>11672</v>
      </c>
      <c r="Z8" s="388">
        <f>'MOH DATA KF SUD'!W7</f>
        <v>0</v>
      </c>
      <c r="AA8" s="389">
        <f>'MOH DATA KF SUD'!X7</f>
        <v>0</v>
      </c>
      <c r="AB8" s="217" t="str">
        <f>'MOH DATA KF SUD'!Y7</f>
        <v>705 Suspected</v>
      </c>
      <c r="AC8" s="236">
        <f>'MOH DATA KF SUD'!Z7</f>
        <v>27393</v>
      </c>
      <c r="AD8" s="236">
        <f>'MOH DATA KF SUD'!AA7</f>
        <v>11889</v>
      </c>
      <c r="AE8" s="236">
        <f>'MOH DATA KF SUD'!AB7</f>
        <v>32232</v>
      </c>
      <c r="AF8" s="236">
        <f>'MOH DATA KF SUD'!AC7</f>
        <v>22670</v>
      </c>
      <c r="AG8" s="236">
        <f>'MOH DATA KF SUD'!AD7</f>
        <v>22670</v>
      </c>
      <c r="AI8" s="388">
        <f>'MOH DATA RABAI'!W7</f>
        <v>0</v>
      </c>
      <c r="AJ8" s="389">
        <f>'MOH DATA RABAI'!X7</f>
        <v>0</v>
      </c>
      <c r="AK8" s="217" t="str">
        <f>'MOH DATA RABAI'!Y7</f>
        <v>705 Suspected</v>
      </c>
      <c r="AL8" s="236">
        <f>'MOH DATA RABAI'!Z7</f>
        <v>2823</v>
      </c>
      <c r="AM8" s="236">
        <f>'MOH DATA RABAI'!AA7</f>
        <v>625</v>
      </c>
      <c r="AN8" s="236">
        <f>'MOH DATA RABAI'!AB7</f>
        <v>4009</v>
      </c>
      <c r="AO8" s="236">
        <f>'MOH DATA RABAI'!AC7</f>
        <v>4187</v>
      </c>
      <c r="AP8" s="236">
        <f>'MOH DATA RABAI'!AD7</f>
        <v>4187</v>
      </c>
      <c r="AR8" s="388">
        <f>'MOH DATA KALOLENI'!W7</f>
        <v>0</v>
      </c>
      <c r="AS8" s="389">
        <f>'MOH DATA KALOLENI'!X7</f>
        <v>0</v>
      </c>
      <c r="AT8" s="217" t="str">
        <f>'MOH DATA KALOLENI'!Y7</f>
        <v>705 Suspected</v>
      </c>
      <c r="AU8" s="236">
        <f>'MOH DATA KALOLENI'!Z7</f>
        <v>15855</v>
      </c>
      <c r="AV8" s="236">
        <f>'MOH DATA KALOLENI'!AA7</f>
        <v>7873</v>
      </c>
      <c r="AW8" s="236">
        <f>'MOH DATA KALOLENI'!AB7</f>
        <v>16516</v>
      </c>
      <c r="AX8" s="236">
        <f>'MOH DATA KALOLENI'!AC7</f>
        <v>15078</v>
      </c>
      <c r="AY8" s="236">
        <f>'MOH DATA KALOLENI'!AD7</f>
        <v>15078</v>
      </c>
      <c r="BA8" s="388">
        <f>'MOH DATA GANZE'!X7</f>
        <v>0</v>
      </c>
      <c r="BB8" s="389">
        <f>'MOH DATA GANZE'!Y7</f>
        <v>0</v>
      </c>
      <c r="BC8" s="217" t="str">
        <f>'MOH DATA GANZE'!Z7</f>
        <v>705 Suspected</v>
      </c>
      <c r="BD8" s="236">
        <f>'MOH DATA GANZE'!AA7</f>
        <v>10126</v>
      </c>
      <c r="BE8" s="236">
        <f>'MOH DATA GANZE'!AB7</f>
        <v>3939</v>
      </c>
      <c r="BF8" s="236">
        <f>'MOH DATA GANZE'!AC7</f>
        <v>8287</v>
      </c>
      <c r="BG8" s="236">
        <f>'MOH DATA GANZE'!AD7</f>
        <v>5117</v>
      </c>
      <c r="BH8" s="236">
        <f>'MOH DATA GANZE'!AE7</f>
        <v>5117</v>
      </c>
    </row>
    <row r="9" spans="2:60" x14ac:dyDescent="0.2">
      <c r="B9" s="400"/>
      <c r="C9" s="410"/>
      <c r="D9" s="387" t="s">
        <v>228</v>
      </c>
      <c r="E9" s="217" t="s">
        <v>188</v>
      </c>
      <c r="F9" s="267">
        <f>(F10/F11)*1000</f>
        <v>258.27380886868667</v>
      </c>
      <c r="G9" s="267">
        <f t="shared" ref="G9" si="8">(G10/G11)*1000</f>
        <v>262.4789123747147</v>
      </c>
      <c r="H9" s="267">
        <f t="shared" ref="H9" si="9">(H10/H11)*1000</f>
        <v>201.85832409854231</v>
      </c>
      <c r="I9" s="267">
        <f>(I10/I11)*1000</f>
        <v>247.89768849589032</v>
      </c>
      <c r="J9" s="267">
        <f t="shared" ref="J9" si="10">(J10/J11)*1000</f>
        <v>247.89768849589032</v>
      </c>
      <c r="K9" s="432"/>
      <c r="L9" s="426"/>
      <c r="Q9" s="388"/>
      <c r="R9" s="387" t="str">
        <f>'MOH DATA KF NORTH'!X8</f>
        <v>OVER 5</v>
      </c>
      <c r="S9" s="217" t="str">
        <f>'MOH DATA KF NORTH'!Y8</f>
        <v>(705 Confirmed/705 suspect)*1000</v>
      </c>
      <c r="T9" s="247">
        <f>'MOH DATA KF NORTH'!Z8</f>
        <v>279.49367088607596</v>
      </c>
      <c r="U9" s="247">
        <f>'MOH DATA KF NORTH'!AA8</f>
        <v>303.12137149101835</v>
      </c>
      <c r="V9" s="247">
        <f>'MOH DATA KF NORTH'!AB8</f>
        <v>200.74600971547537</v>
      </c>
      <c r="W9" s="247">
        <f>'MOH DATA KF NORTH'!AC8</f>
        <v>288.5851150835378</v>
      </c>
      <c r="X9" s="247">
        <f>'MOH DATA KF NORTH'!AD8</f>
        <v>288.5851150835378</v>
      </c>
      <c r="Z9" s="388">
        <f>'MOH DATA KF SUD'!W8</f>
        <v>0</v>
      </c>
      <c r="AA9" s="387" t="str">
        <f>'MOH DATA KF SUD'!X8</f>
        <v>OVER 5</v>
      </c>
      <c r="AB9" s="217" t="str">
        <f>'MOH DATA KF SUD'!Y8</f>
        <v>(705 Confirmed/705 suspect)*1000</v>
      </c>
      <c r="AC9" s="247">
        <f>'MOH DATA KF SUD'!Z8</f>
        <v>249.78949078929875</v>
      </c>
      <c r="AD9" s="247">
        <f>'MOH DATA KF SUD'!AA8</f>
        <v>229.97371333702267</v>
      </c>
      <c r="AE9" s="247">
        <f>'MOH DATA KF SUD'!AB8</f>
        <v>170.51027438900823</v>
      </c>
      <c r="AF9" s="247">
        <f>'MOH DATA KF SUD'!AC8</f>
        <v>221.86329588014979</v>
      </c>
      <c r="AG9" s="247">
        <f>'MOH DATA KF SUD'!AD8</f>
        <v>221.86329588014979</v>
      </c>
      <c r="AI9" s="388">
        <f>'MOH DATA RABAI'!W8</f>
        <v>0</v>
      </c>
      <c r="AJ9" s="387" t="str">
        <f>'MOH DATA RABAI'!X8</f>
        <v>OVER 5</v>
      </c>
      <c r="AK9" s="217" t="str">
        <f>'MOH DATA RABAI'!Y8</f>
        <v>(705 Confirmed/705 suspect)*1000</v>
      </c>
      <c r="AL9" s="247">
        <f>'MOH DATA RABAI'!Z8</f>
        <v>164.08028139871718</v>
      </c>
      <c r="AM9" s="247">
        <f>'MOH DATA RABAI'!AA8</f>
        <v>563.06990881458967</v>
      </c>
      <c r="AN9" s="247">
        <f>'MOH DATA RABAI'!AB8</f>
        <v>219.58186459219641</v>
      </c>
      <c r="AO9" s="247">
        <f>'MOH DATA RABAI'!AC8</f>
        <v>351.47875009503537</v>
      </c>
      <c r="AP9" s="247">
        <f>'MOH DATA RABAI'!AD8</f>
        <v>351.47875009503537</v>
      </c>
      <c r="AR9" s="388">
        <f>'MOH DATA KALOLENI'!W8</f>
        <v>0</v>
      </c>
      <c r="AS9" s="387" t="str">
        <f>'MOH DATA KALOLENI'!X8</f>
        <v>OVER 5</v>
      </c>
      <c r="AT9" s="217" t="str">
        <f>'MOH DATA KALOLENI'!Y8</f>
        <v>(705 Confirmed/705 suspect)*1000</v>
      </c>
      <c r="AU9" s="247">
        <f>'MOH DATA KALOLENI'!Z8</f>
        <v>294.13380539616651</v>
      </c>
      <c r="AV9" s="247">
        <f>'MOH DATA KALOLENI'!AA8</f>
        <v>260.77150412194743</v>
      </c>
      <c r="AW9" s="247">
        <f>'MOH DATA KALOLENI'!AB8</f>
        <v>225.30635960278894</v>
      </c>
      <c r="AX9" s="247">
        <f>'MOH DATA KALOLENI'!AC8</f>
        <v>202.37783480856859</v>
      </c>
      <c r="AY9" s="247">
        <f>'MOH DATA KALOLENI'!AD8</f>
        <v>202.37783480856859</v>
      </c>
      <c r="BA9" s="388">
        <f>'MOH DATA GANZE'!X8</f>
        <v>0</v>
      </c>
      <c r="BB9" s="387" t="str">
        <f>'MOH DATA GANZE'!Y8</f>
        <v>OVER 5</v>
      </c>
      <c r="BC9" s="217" t="str">
        <f>'MOH DATA GANZE'!Z8</f>
        <v>(705 Confirmed/705 suspect)*1000</v>
      </c>
      <c r="BD9" s="247">
        <f>'MOH DATA GANZE'!AA8</f>
        <v>243.99765189316113</v>
      </c>
      <c r="BE9" s="247">
        <f>'MOH DATA GANZE'!AB8</f>
        <v>260.22478926006869</v>
      </c>
      <c r="BF9" s="247">
        <f>'MOH DATA GANZE'!AC8</f>
        <v>257.27570656284138</v>
      </c>
      <c r="BG9" s="247">
        <f>'MOH DATA GANZE'!AD8</f>
        <v>282.44031830238725</v>
      </c>
      <c r="BH9" s="247">
        <f>'MOH DATA GANZE'!AE8</f>
        <v>282.44031830238725</v>
      </c>
    </row>
    <row r="10" spans="2:60" x14ac:dyDescent="0.2">
      <c r="B10" s="400"/>
      <c r="C10" s="410"/>
      <c r="D10" s="388"/>
      <c r="E10" s="217" t="s">
        <v>229</v>
      </c>
      <c r="F10" s="236">
        <f>T10+AC10+AL10+AU10+BD10</f>
        <v>46933</v>
      </c>
      <c r="G10" s="236">
        <f>U10+AD10+AM10+AV10+BE10</f>
        <v>18515</v>
      </c>
      <c r="H10" s="236">
        <f t="shared" ref="H10:H11" si="11">V10+AE10+AN10+AW10+BF10</f>
        <v>49728</v>
      </c>
      <c r="I10" s="236">
        <f t="shared" ref="I10:I11" si="12">W10+AF10+AO10+AX10+BG10</f>
        <v>41772</v>
      </c>
      <c r="J10" s="236">
        <f t="shared" ref="J10" si="13">X10+AG10+AP10+AY10+BH10</f>
        <v>41772</v>
      </c>
      <c r="K10" s="432"/>
      <c r="L10" s="426"/>
      <c r="Q10" s="388"/>
      <c r="R10" s="388">
        <f>'MOH DATA KF NORTH'!X9</f>
        <v>0</v>
      </c>
      <c r="S10" s="217" t="str">
        <f>'MOH DATA KF NORTH'!Y9</f>
        <v>705 Confirmed</v>
      </c>
      <c r="T10" s="236">
        <f>'MOH DATA KF NORTH'!Z9</f>
        <v>10488</v>
      </c>
      <c r="U10" s="236">
        <f>'MOH DATA KF NORTH'!AA9</f>
        <v>4438</v>
      </c>
      <c r="V10" s="236">
        <f>'MOH DATA KF NORTH'!AB9</f>
        <v>11571</v>
      </c>
      <c r="W10" s="236">
        <f>'MOH DATA KF NORTH'!AC9</f>
        <v>9880</v>
      </c>
      <c r="X10" s="236">
        <f>'MOH DATA KF NORTH'!AD9</f>
        <v>9880</v>
      </c>
      <c r="Z10" s="388">
        <f>'MOH DATA KF SUD'!W9</f>
        <v>0</v>
      </c>
      <c r="AA10" s="388">
        <f>'MOH DATA KF SUD'!X9</f>
        <v>0</v>
      </c>
      <c r="AB10" s="217" t="str">
        <f>'MOH DATA KF SUD'!Y9</f>
        <v>705 Confirmed</v>
      </c>
      <c r="AC10" s="236">
        <f>'MOH DATA KF SUD'!Z9</f>
        <v>16909</v>
      </c>
      <c r="AD10" s="236">
        <f>'MOH DATA KF SUD'!AA9</f>
        <v>6649</v>
      </c>
      <c r="AE10" s="236">
        <f>'MOH DATA KF SUD'!AB9</f>
        <v>16828</v>
      </c>
      <c r="AF10" s="236">
        <f>'MOH DATA KF SUD'!AC9</f>
        <v>14217</v>
      </c>
      <c r="AG10" s="236">
        <f>'MOH DATA KF SUD'!AD9</f>
        <v>14217</v>
      </c>
      <c r="AI10" s="388">
        <f>'MOH DATA RABAI'!W9</f>
        <v>0</v>
      </c>
      <c r="AJ10" s="388">
        <f>'MOH DATA RABAI'!X9</f>
        <v>0</v>
      </c>
      <c r="AK10" s="217" t="str">
        <f>'MOH DATA RABAI'!Y9</f>
        <v>705 Confirmed</v>
      </c>
      <c r="AL10" s="236">
        <f>'MOH DATA RABAI'!Z9</f>
        <v>1586</v>
      </c>
      <c r="AM10" s="236">
        <f>'MOH DATA RABAI'!AA9</f>
        <v>741</v>
      </c>
      <c r="AN10" s="236">
        <f>'MOH DATA RABAI'!AB9</f>
        <v>3613</v>
      </c>
      <c r="AO10" s="236">
        <f>'MOH DATA RABAI'!AC9</f>
        <v>4623</v>
      </c>
      <c r="AP10" s="236">
        <f>'MOH DATA RABAI'!AD9</f>
        <v>4623</v>
      </c>
      <c r="AR10" s="388">
        <f>'MOH DATA KALOLENI'!W9</f>
        <v>0</v>
      </c>
      <c r="AS10" s="388">
        <f>'MOH DATA KALOLENI'!X9</f>
        <v>0</v>
      </c>
      <c r="AT10" s="217" t="str">
        <f>'MOH DATA KALOLENI'!Y9</f>
        <v>705 Confirmed</v>
      </c>
      <c r="AU10" s="236">
        <f>'MOH DATA KALOLENI'!Z9</f>
        <v>9637</v>
      </c>
      <c r="AV10" s="236">
        <f>'MOH DATA KALOLENI'!AA9</f>
        <v>3353</v>
      </c>
      <c r="AW10" s="236">
        <f>'MOH DATA KALOLENI'!AB9</f>
        <v>8531</v>
      </c>
      <c r="AX10" s="236">
        <f>'MOH DATA KALOLENI'!AC9</f>
        <v>7728</v>
      </c>
      <c r="AY10" s="236">
        <f>'MOH DATA KALOLENI'!AD9</f>
        <v>7728</v>
      </c>
      <c r="BA10" s="388">
        <f>'MOH DATA GANZE'!X9</f>
        <v>0</v>
      </c>
      <c r="BB10" s="388">
        <f>'MOH DATA GANZE'!Y9</f>
        <v>0</v>
      </c>
      <c r="BC10" s="217" t="str">
        <f>'MOH DATA GANZE'!Z9</f>
        <v>705 Confirmed</v>
      </c>
      <c r="BD10" s="236">
        <f>'MOH DATA GANZE'!AA9</f>
        <v>8313</v>
      </c>
      <c r="BE10" s="236">
        <f>'MOH DATA GANZE'!AB9</f>
        <v>3334</v>
      </c>
      <c r="BF10" s="236">
        <f>'MOH DATA GANZE'!AC9</f>
        <v>9185</v>
      </c>
      <c r="BG10" s="236">
        <f>'MOH DATA GANZE'!AD9</f>
        <v>5324</v>
      </c>
      <c r="BH10" s="236">
        <f>'MOH DATA GANZE'!AE9</f>
        <v>5324</v>
      </c>
    </row>
    <row r="11" spans="2:60" ht="16" thickBot="1" x14ac:dyDescent="0.25">
      <c r="B11" s="401"/>
      <c r="C11" s="411"/>
      <c r="D11" s="403"/>
      <c r="E11" s="278" t="s">
        <v>216</v>
      </c>
      <c r="F11" s="279">
        <f>T11+AC11+AL11+AU11+BD11</f>
        <v>181718</v>
      </c>
      <c r="G11" s="279">
        <f>U11+AD11+AM11+AV11+BE11</f>
        <v>70539</v>
      </c>
      <c r="H11" s="279">
        <f t="shared" si="11"/>
        <v>246351</v>
      </c>
      <c r="I11" s="279">
        <f t="shared" si="12"/>
        <v>168505</v>
      </c>
      <c r="J11" s="279">
        <f>X11+AG11+AP11+AY11+BH11</f>
        <v>168505</v>
      </c>
      <c r="K11" s="433"/>
      <c r="L11" s="427"/>
      <c r="Q11" s="389"/>
      <c r="R11" s="389">
        <f>'MOH DATA KF NORTH'!X10</f>
        <v>0</v>
      </c>
      <c r="S11" s="217" t="str">
        <f>'MOH DATA KF NORTH'!Y10</f>
        <v>705 Suspected</v>
      </c>
      <c r="T11" s="236">
        <f>'MOH DATA KF NORTH'!Z10</f>
        <v>37525</v>
      </c>
      <c r="U11" s="236">
        <f>'MOH DATA KF NORTH'!AA10</f>
        <v>14641</v>
      </c>
      <c r="V11" s="236">
        <f>'MOH DATA KF NORTH'!AB10</f>
        <v>57640</v>
      </c>
      <c r="W11" s="236">
        <f>'MOH DATA KF NORTH'!AC10</f>
        <v>34236</v>
      </c>
      <c r="X11" s="236">
        <f>'MOH DATA KF NORTH'!AD10</f>
        <v>34236</v>
      </c>
      <c r="Z11" s="389">
        <f>'MOH DATA KF SUD'!W10</f>
        <v>0</v>
      </c>
      <c r="AA11" s="389">
        <f>'MOH DATA KF SUD'!X10</f>
        <v>0</v>
      </c>
      <c r="AB11" s="217" t="str">
        <f>'MOH DATA KF SUD'!Y10</f>
        <v>705 Suspected</v>
      </c>
      <c r="AC11" s="236">
        <f>'MOH DATA KF SUD'!Z10</f>
        <v>67693</v>
      </c>
      <c r="AD11" s="236">
        <f>'MOH DATA KF SUD'!AA10</f>
        <v>28912</v>
      </c>
      <c r="AE11" s="236">
        <f>'MOH DATA KF SUD'!AB10</f>
        <v>98692</v>
      </c>
      <c r="AF11" s="236">
        <f>'MOH DATA KF SUD'!AC10</f>
        <v>64080</v>
      </c>
      <c r="AG11" s="236">
        <f>'MOH DATA KF SUD'!AD10</f>
        <v>64080</v>
      </c>
      <c r="AI11" s="389">
        <f>'MOH DATA RABAI'!W10</f>
        <v>0</v>
      </c>
      <c r="AJ11" s="389">
        <f>'MOH DATA RABAI'!X10</f>
        <v>0</v>
      </c>
      <c r="AK11" s="217" t="str">
        <f>'MOH DATA RABAI'!Y10</f>
        <v>705 Suspected</v>
      </c>
      <c r="AL11" s="236">
        <f>'MOH DATA RABAI'!Z10</f>
        <v>9666</v>
      </c>
      <c r="AM11" s="236">
        <f>'MOH DATA RABAI'!AA10</f>
        <v>1316</v>
      </c>
      <c r="AN11" s="236">
        <f>'MOH DATA RABAI'!AB10</f>
        <v>16454</v>
      </c>
      <c r="AO11" s="236">
        <f>'MOH DATA RABAI'!AC10</f>
        <v>13153</v>
      </c>
      <c r="AP11" s="236">
        <f>'MOH DATA RABAI'!AD10</f>
        <v>13153</v>
      </c>
      <c r="AR11" s="389">
        <f>'MOH DATA KALOLENI'!W10</f>
        <v>0</v>
      </c>
      <c r="AS11" s="389">
        <f>'MOH DATA KALOLENI'!X10</f>
        <v>0</v>
      </c>
      <c r="AT11" s="217" t="str">
        <f>'MOH DATA KALOLENI'!Y10</f>
        <v>705 Suspected</v>
      </c>
      <c r="AU11" s="236">
        <f>'MOH DATA KALOLENI'!Z10</f>
        <v>32764</v>
      </c>
      <c r="AV11" s="236">
        <f>'MOH DATA KALOLENI'!AA10</f>
        <v>12858</v>
      </c>
      <c r="AW11" s="236">
        <f>'MOH DATA KALOLENI'!AB10</f>
        <v>37864</v>
      </c>
      <c r="AX11" s="236">
        <f>'MOH DATA KALOLENI'!AC10</f>
        <v>38186</v>
      </c>
      <c r="AY11" s="236">
        <f>'MOH DATA KALOLENI'!AD10</f>
        <v>38186</v>
      </c>
      <c r="BA11" s="389">
        <f>'MOH DATA GANZE'!X10</f>
        <v>0</v>
      </c>
      <c r="BB11" s="389">
        <f>'MOH DATA GANZE'!Y10</f>
        <v>0</v>
      </c>
      <c r="BC11" s="217" t="str">
        <f>'MOH DATA GANZE'!Z10</f>
        <v>705 Suspected</v>
      </c>
      <c r="BD11" s="236">
        <f>'MOH DATA GANZE'!AA10</f>
        <v>34070</v>
      </c>
      <c r="BE11" s="236">
        <f>'MOH DATA GANZE'!AB10</f>
        <v>12812</v>
      </c>
      <c r="BF11" s="236">
        <f>'MOH DATA GANZE'!AC10</f>
        <v>35701</v>
      </c>
      <c r="BG11" s="236">
        <f>'MOH DATA GANZE'!AD10</f>
        <v>18850</v>
      </c>
      <c r="BH11" s="236">
        <f>'MOH DATA GANZE'!AE10</f>
        <v>18850</v>
      </c>
    </row>
    <row r="12" spans="2:60" ht="16" thickTop="1" x14ac:dyDescent="0.2">
      <c r="B12" s="404" t="s">
        <v>46</v>
      </c>
      <c r="C12" s="412" t="s">
        <v>292</v>
      </c>
      <c r="D12" s="407" t="s">
        <v>226</v>
      </c>
      <c r="E12" s="280" t="s">
        <v>191</v>
      </c>
      <c r="F12" s="281">
        <f>F13/F14</f>
        <v>0.12312888141128733</v>
      </c>
      <c r="G12" s="281">
        <f t="shared" ref="G12:J12" si="14">G13/G14</f>
        <v>0.12122068380898558</v>
      </c>
      <c r="H12" s="281">
        <f t="shared" si="14"/>
        <v>0.10208928747413029</v>
      </c>
      <c r="I12" s="281">
        <f t="shared" si="14"/>
        <v>0.14798090937669686</v>
      </c>
      <c r="J12" s="281">
        <f t="shared" si="14"/>
        <v>0.14798090937669686</v>
      </c>
      <c r="K12" s="307" t="s">
        <v>192</v>
      </c>
      <c r="L12" s="435" t="s">
        <v>258</v>
      </c>
      <c r="Q12" s="390" t="str">
        <f>'MOH DATA KF NORTH'!W11</f>
        <v>I.O.G.2</v>
      </c>
      <c r="R12" s="390" t="str">
        <f>'MOH DATA KF NORTH'!X11</f>
        <v>TOTAL</v>
      </c>
      <c r="S12" s="244" t="str">
        <f>'MOH DATA KF NORTH'!Y11</f>
        <v>706 Confirmed/706 tested *100</v>
      </c>
      <c r="T12" s="245">
        <f>'MOH DATA KF NORTH'!Z11</f>
        <v>8.233185747417246E-2</v>
      </c>
      <c r="U12" s="245">
        <f>'MOH DATA KF NORTH'!AA11</f>
        <v>9.3745149774949563E-2</v>
      </c>
      <c r="V12" s="245">
        <f>'MOH DATA KF NORTH'!AB11</f>
        <v>9.3080540419496899E-2</v>
      </c>
      <c r="W12" s="245">
        <f>'MOH DATA KF NORTH'!AC11</f>
        <v>0.11509073543457497</v>
      </c>
      <c r="X12" s="245">
        <f>'MOH DATA KF NORTH'!AD11</f>
        <v>0.11509073543457497</v>
      </c>
      <c r="Z12" s="390" t="str">
        <f>'MOH DATA KF SUD'!W11</f>
        <v>I.O.G.2</v>
      </c>
      <c r="AA12" s="390" t="str">
        <f>'MOH DATA KF SUD'!X11</f>
        <v>TOTAL</v>
      </c>
      <c r="AB12" s="244" t="str">
        <f>'MOH DATA KF SUD'!Y11</f>
        <v>706 Confirmed/706 tested *100</v>
      </c>
      <c r="AC12" s="245">
        <f>'MOH DATA KF SUD'!Z11</f>
        <v>0.14793955499147265</v>
      </c>
      <c r="AD12" s="245">
        <f>'MOH DATA KF SUD'!AA11</f>
        <v>0.14313638382940916</v>
      </c>
      <c r="AE12" s="245">
        <f>'MOH DATA KF SUD'!AB11</f>
        <v>0.1019227608874281</v>
      </c>
      <c r="AF12" s="245">
        <f>'MOH DATA KF SUD'!AC11</f>
        <v>0.17660102423314503</v>
      </c>
      <c r="AG12" s="245">
        <f>'MOH DATA KF SUD'!AD11</f>
        <v>0.17660102423314503</v>
      </c>
      <c r="AI12" s="390" t="str">
        <f>'MOH DATA RABAI'!W11</f>
        <v>I.O.G.2</v>
      </c>
      <c r="AJ12" s="390" t="str">
        <f>'MOH DATA RABAI'!X11</f>
        <v>TOTAL</v>
      </c>
      <c r="AK12" s="244" t="str">
        <f>'MOH DATA RABAI'!Y11</f>
        <v>706 Confirmed/706 tested *100</v>
      </c>
      <c r="AL12" s="245">
        <f>'MOH DATA RABAI'!Z11</f>
        <v>8.4589138470287178E-2</v>
      </c>
      <c r="AM12" s="245">
        <f>'MOH DATA RABAI'!AA11</f>
        <v>8.4872044055717522E-2</v>
      </c>
      <c r="AN12" s="245">
        <f>'MOH DATA RABAI'!AB11</f>
        <v>6.8425716254799651E-2</v>
      </c>
      <c r="AO12" s="245">
        <f>'MOH DATA RABAI'!AC11</f>
        <v>0.15699019499834746</v>
      </c>
      <c r="AP12" s="245">
        <f>'MOH DATA RABAI'!AD11</f>
        <v>0.15699019499834746</v>
      </c>
      <c r="AR12" s="390" t="str">
        <f>'MOH DATA KALOLENI'!W11</f>
        <v>I.O.G.2</v>
      </c>
      <c r="AS12" s="390" t="str">
        <f>'MOH DATA KALOLENI'!X11</f>
        <v>TOTAL</v>
      </c>
      <c r="AT12" s="244" t="str">
        <f>'MOH DATA KALOLENI'!Y11</f>
        <v>706 Confirmed/706 tested *100</v>
      </c>
      <c r="AU12" s="245">
        <f>'MOH DATA KALOLENI'!Z11</f>
        <v>0.14466979718253573</v>
      </c>
      <c r="AV12" s="245">
        <f>'MOH DATA KALOLENI'!AA11</f>
        <v>0.10702389572773352</v>
      </c>
      <c r="AW12" s="245">
        <f>'MOH DATA KALOLENI'!AB11</f>
        <v>0.10144462279293739</v>
      </c>
      <c r="AX12" s="245">
        <f>'MOH DATA KALOLENI'!AC11</f>
        <v>0.15924744897959184</v>
      </c>
      <c r="AY12" s="245">
        <f>'MOH DATA KALOLENI'!AD11</f>
        <v>0.15924744897959184</v>
      </c>
      <c r="BA12" s="390" t="str">
        <f>'MOH DATA GANZE'!X11</f>
        <v>I.O.G.2</v>
      </c>
      <c r="BB12" s="390" t="str">
        <f>'MOH DATA GANZE'!Y11</f>
        <v>TOTAL</v>
      </c>
      <c r="BC12" s="244" t="str">
        <f>'MOH DATA GANZE'!Z11</f>
        <v>706 Confirmed/706 tested *100</v>
      </c>
      <c r="BD12" s="245">
        <f>'MOH DATA GANZE'!AA11</f>
        <v>0.12191309784307595</v>
      </c>
      <c r="BE12" s="245">
        <f>'MOH DATA GANZE'!AB11</f>
        <v>0.15501081470800288</v>
      </c>
      <c r="BF12" s="245">
        <f>'MOH DATA GANZE'!AC11</f>
        <v>0.1511107494507283</v>
      </c>
      <c r="BG12" s="245">
        <f>'MOH DATA GANZE'!AD11</f>
        <v>0.12368916375369723</v>
      </c>
      <c r="BH12" s="245">
        <f>'MOH DATA GANZE'!AE11</f>
        <v>0.12368916375369723</v>
      </c>
    </row>
    <row r="13" spans="2:60" x14ac:dyDescent="0.2">
      <c r="B13" s="405"/>
      <c r="C13" s="413"/>
      <c r="D13" s="391"/>
      <c r="E13" s="218" t="s">
        <v>231</v>
      </c>
      <c r="F13" s="246">
        <f>T13+AC13+AL13+AU13+BD13</f>
        <v>9953</v>
      </c>
      <c r="G13" s="246">
        <f>U13+AD13+AM13+AV13+BE13</f>
        <v>3861</v>
      </c>
      <c r="H13" s="246">
        <f t="shared" ref="H13:H14" si="15">V13+AE13+AN13+AW13+BF13</f>
        <v>10359</v>
      </c>
      <c r="I13" s="246">
        <f t="shared" ref="I13:I14" si="16">W13+AF13+AO13+AX13+BG13</f>
        <v>10356</v>
      </c>
      <c r="J13" s="246">
        <f t="shared" ref="J13" si="17">X13+AG13+AP13+AY13+BH13</f>
        <v>10356</v>
      </c>
      <c r="K13" s="394">
        <v>0.09</v>
      </c>
      <c r="L13" s="426"/>
      <c r="Q13" s="391"/>
      <c r="R13" s="391">
        <f>'MOH DATA KF NORTH'!X12</f>
        <v>0</v>
      </c>
      <c r="S13" s="218" t="str">
        <f>'MOH DATA KF NORTH'!Y12</f>
        <v>706 Confirmed</v>
      </c>
      <c r="T13" s="246">
        <f>'MOH DATA KF NORTH'!Z12</f>
        <v>1562</v>
      </c>
      <c r="U13" s="246">
        <f>'MOH DATA KF NORTH'!AA12</f>
        <v>604</v>
      </c>
      <c r="V13" s="246">
        <f>'MOH DATA KF NORTH'!AB12</f>
        <v>2494</v>
      </c>
      <c r="W13" s="246">
        <f>'MOH DATA KF NORTH'!AC12</f>
        <v>2169</v>
      </c>
      <c r="X13" s="246">
        <f>'MOH DATA KF NORTH'!AD12</f>
        <v>2169</v>
      </c>
      <c r="Z13" s="391">
        <f>'MOH DATA KF SUD'!W12</f>
        <v>0</v>
      </c>
      <c r="AA13" s="391">
        <f>'MOH DATA KF SUD'!X12</f>
        <v>0</v>
      </c>
      <c r="AB13" s="218" t="str">
        <f>'MOH DATA KF SUD'!Y12</f>
        <v>706 Confirmed</v>
      </c>
      <c r="AC13" s="246">
        <f>'MOH DATA KF SUD'!Z12</f>
        <v>3730</v>
      </c>
      <c r="AD13" s="246">
        <f>'MOH DATA KF SUD'!AA12</f>
        <v>1611</v>
      </c>
      <c r="AE13" s="246">
        <f>'MOH DATA KF SUD'!AB12</f>
        <v>3101</v>
      </c>
      <c r="AF13" s="246">
        <f>'MOH DATA KF SUD'!AC12</f>
        <v>3345</v>
      </c>
      <c r="AG13" s="246">
        <f>'MOH DATA KF SUD'!AD12</f>
        <v>3345</v>
      </c>
      <c r="AI13" s="391">
        <f>'MOH DATA RABAI'!W12</f>
        <v>0</v>
      </c>
      <c r="AJ13" s="391">
        <f>'MOH DATA RABAI'!X12</f>
        <v>0</v>
      </c>
      <c r="AK13" s="218" t="str">
        <f>'MOH DATA RABAI'!Y12</f>
        <v>706 Confirmed</v>
      </c>
      <c r="AL13" s="246">
        <f>'MOH DATA RABAI'!Z12</f>
        <v>595</v>
      </c>
      <c r="AM13" s="246">
        <f>'MOH DATA RABAI'!AA12</f>
        <v>262</v>
      </c>
      <c r="AN13" s="246">
        <f>'MOH DATA RABAI'!AB12</f>
        <v>695</v>
      </c>
      <c r="AO13" s="246">
        <f>'MOH DATA RABAI'!AC12</f>
        <v>1425</v>
      </c>
      <c r="AP13" s="246">
        <f>'MOH DATA RABAI'!AD12</f>
        <v>1425</v>
      </c>
      <c r="AR13" s="391">
        <f>'MOH DATA KALOLENI'!W12</f>
        <v>0</v>
      </c>
      <c r="AS13" s="391">
        <f>'MOH DATA KALOLENI'!X12</f>
        <v>0</v>
      </c>
      <c r="AT13" s="218" t="str">
        <f>'MOH DATA KALOLENI'!Y12</f>
        <v>706 Confirmed</v>
      </c>
      <c r="AU13" s="246">
        <f>'MOH DATA KALOLENI'!Z12</f>
        <v>2896</v>
      </c>
      <c r="AV13" s="246">
        <f>'MOH DATA KALOLENI'!AA12</f>
        <v>739</v>
      </c>
      <c r="AW13" s="246">
        <f>'MOH DATA KALOLENI'!AB12</f>
        <v>2212</v>
      </c>
      <c r="AX13" s="246">
        <f>'MOH DATA KALOLENI'!AC12</f>
        <v>2497</v>
      </c>
      <c r="AY13" s="246">
        <f>'MOH DATA KALOLENI'!AD12</f>
        <v>2497</v>
      </c>
      <c r="BA13" s="391">
        <f>'MOH DATA GANZE'!X12</f>
        <v>0</v>
      </c>
      <c r="BB13" s="391">
        <f>'MOH DATA GANZE'!Y12</f>
        <v>0</v>
      </c>
      <c r="BC13" s="218" t="str">
        <f>'MOH DATA GANZE'!Z12</f>
        <v>706 Confirmed</v>
      </c>
      <c r="BD13" s="246">
        <f>'MOH DATA GANZE'!AA12</f>
        <v>1170</v>
      </c>
      <c r="BE13" s="246">
        <f>'MOH DATA GANZE'!AB12</f>
        <v>645</v>
      </c>
      <c r="BF13" s="246">
        <f>'MOH DATA GANZE'!AC12</f>
        <v>1857</v>
      </c>
      <c r="BG13" s="246">
        <f>'MOH DATA GANZE'!AD12</f>
        <v>920</v>
      </c>
      <c r="BH13" s="246">
        <f>'MOH DATA GANZE'!AE12</f>
        <v>920</v>
      </c>
    </row>
    <row r="14" spans="2:60" x14ac:dyDescent="0.2">
      <c r="B14" s="405"/>
      <c r="C14" s="413"/>
      <c r="D14" s="392"/>
      <c r="E14" s="218" t="s">
        <v>232</v>
      </c>
      <c r="F14" s="246">
        <f>T14+AC14+AL14+AU14+BD14</f>
        <v>80834</v>
      </c>
      <c r="G14" s="246">
        <f>U14+AD14+AM14+AV14+BE14</f>
        <v>31851</v>
      </c>
      <c r="H14" s="246">
        <f t="shared" si="15"/>
        <v>101470</v>
      </c>
      <c r="I14" s="246">
        <f t="shared" si="16"/>
        <v>69982</v>
      </c>
      <c r="J14" s="246">
        <f>X14+AG14+AP14+AY14+BH14</f>
        <v>69982</v>
      </c>
      <c r="K14" s="395"/>
      <c r="L14" s="426"/>
      <c r="Q14" s="391"/>
      <c r="R14" s="392">
        <f>'MOH DATA KF NORTH'!X13</f>
        <v>0</v>
      </c>
      <c r="S14" s="218" t="str">
        <f>'MOH DATA KF NORTH'!Y13</f>
        <v>706 Tested</v>
      </c>
      <c r="T14" s="246">
        <f>'MOH DATA KF NORTH'!Z13</f>
        <v>18972</v>
      </c>
      <c r="U14" s="246">
        <f>'MOH DATA KF NORTH'!AA13</f>
        <v>6443</v>
      </c>
      <c r="V14" s="246">
        <f>'MOH DATA KF NORTH'!AB13</f>
        <v>26794</v>
      </c>
      <c r="W14" s="246">
        <f>'MOH DATA KF NORTH'!AC13</f>
        <v>18846</v>
      </c>
      <c r="X14" s="246">
        <f>'MOH DATA KF NORTH'!AD13</f>
        <v>18846</v>
      </c>
      <c r="Z14" s="391">
        <f>'MOH DATA KF SUD'!W13</f>
        <v>0</v>
      </c>
      <c r="AA14" s="392">
        <f>'MOH DATA KF SUD'!X13</f>
        <v>0</v>
      </c>
      <c r="AB14" s="218" t="str">
        <f>'MOH DATA KF SUD'!Y13</f>
        <v>706 Tested</v>
      </c>
      <c r="AC14" s="246">
        <f>'MOH DATA KF SUD'!Z13</f>
        <v>25213</v>
      </c>
      <c r="AD14" s="246">
        <f>'MOH DATA KF SUD'!AA13</f>
        <v>11255</v>
      </c>
      <c r="AE14" s="246">
        <f>'MOH DATA KF SUD'!AB13</f>
        <v>30425</v>
      </c>
      <c r="AF14" s="246">
        <f>'MOH DATA KF SUD'!AC13</f>
        <v>18941</v>
      </c>
      <c r="AG14" s="246">
        <f>'MOH DATA KF SUD'!AD13</f>
        <v>18941</v>
      </c>
      <c r="AI14" s="391">
        <f>'MOH DATA RABAI'!W13</f>
        <v>0</v>
      </c>
      <c r="AJ14" s="392">
        <f>'MOH DATA RABAI'!X13</f>
        <v>0</v>
      </c>
      <c r="AK14" s="218" t="str">
        <f>'MOH DATA RABAI'!Y13</f>
        <v>706 Tested</v>
      </c>
      <c r="AL14" s="246">
        <f>'MOH DATA RABAI'!Z13</f>
        <v>7034</v>
      </c>
      <c r="AM14" s="246">
        <f>'MOH DATA RABAI'!AA13</f>
        <v>3087</v>
      </c>
      <c r="AN14" s="246">
        <f>'MOH DATA RABAI'!AB13</f>
        <v>10157</v>
      </c>
      <c r="AO14" s="246">
        <f>'MOH DATA RABAI'!AC13</f>
        <v>9077</v>
      </c>
      <c r="AP14" s="246">
        <f>'MOH DATA RABAI'!AD13</f>
        <v>9077</v>
      </c>
      <c r="AR14" s="391">
        <f>'MOH DATA KALOLENI'!W13</f>
        <v>0</v>
      </c>
      <c r="AS14" s="392">
        <f>'MOH DATA KALOLENI'!X13</f>
        <v>0</v>
      </c>
      <c r="AT14" s="218" t="str">
        <f>'MOH DATA KALOLENI'!Y13</f>
        <v>706 Tested</v>
      </c>
      <c r="AU14" s="246">
        <f>'MOH DATA KALOLENI'!Z13</f>
        <v>20018</v>
      </c>
      <c r="AV14" s="246">
        <f>'MOH DATA KALOLENI'!AA13</f>
        <v>6905</v>
      </c>
      <c r="AW14" s="246">
        <f>'MOH DATA KALOLENI'!AB13</f>
        <v>21805</v>
      </c>
      <c r="AX14" s="246">
        <f>'MOH DATA KALOLENI'!AC13</f>
        <v>15680</v>
      </c>
      <c r="AY14" s="246">
        <f>'MOH DATA KALOLENI'!AD13</f>
        <v>15680</v>
      </c>
      <c r="BA14" s="391">
        <f>'MOH DATA GANZE'!X13</f>
        <v>0</v>
      </c>
      <c r="BB14" s="392">
        <f>'MOH DATA GANZE'!Y13</f>
        <v>0</v>
      </c>
      <c r="BC14" s="218" t="str">
        <f>'MOH DATA GANZE'!Z13</f>
        <v>706 Tested</v>
      </c>
      <c r="BD14" s="246">
        <f>'MOH DATA GANZE'!AA13</f>
        <v>9597</v>
      </c>
      <c r="BE14" s="246">
        <f>'MOH DATA GANZE'!AB13</f>
        <v>4161</v>
      </c>
      <c r="BF14" s="246">
        <f>'MOH DATA GANZE'!AC13</f>
        <v>12289</v>
      </c>
      <c r="BG14" s="246">
        <f>'MOH DATA GANZE'!AD13</f>
        <v>7438</v>
      </c>
      <c r="BH14" s="246">
        <f>'MOH DATA GANZE'!AE13</f>
        <v>7438</v>
      </c>
    </row>
    <row r="15" spans="2:60" ht="19" x14ac:dyDescent="0.2">
      <c r="B15" s="405"/>
      <c r="C15" s="413"/>
      <c r="D15" s="390" t="s">
        <v>192</v>
      </c>
      <c r="E15" s="244" t="s">
        <v>193</v>
      </c>
      <c r="F15" s="268">
        <f>F16/F17</f>
        <v>0.1032051282051282</v>
      </c>
      <c r="G15" s="268">
        <f t="shared" ref="G15" si="18">G16/G17</f>
        <v>0.11933132808884775</v>
      </c>
      <c r="H15" s="268">
        <f t="shared" ref="H15" si="19">H16/H17</f>
        <v>7.5534940411700974E-2</v>
      </c>
      <c r="I15" s="268">
        <f t="shared" ref="I15" si="20">I16/I17</f>
        <v>6.9507742330961325E-2</v>
      </c>
      <c r="J15" s="268">
        <f t="shared" ref="J15" si="21">J16/J17</f>
        <v>6.9507742330961325E-2</v>
      </c>
      <c r="K15" s="395"/>
      <c r="L15" s="426"/>
      <c r="Q15" s="391"/>
      <c r="R15" s="390" t="str">
        <f>'MOH DATA KF NORTH'!X14</f>
        <v>BS</v>
      </c>
      <c r="S15" s="244" t="str">
        <f>'MOH DATA KF NORTH'!Y14</f>
        <v>BS 706 Confirmed/706 tested *100</v>
      </c>
      <c r="T15" s="245">
        <f>'MOH DATA KF NORTH'!Z14</f>
        <v>7.4751661545058246E-2</v>
      </c>
      <c r="U15" s="245">
        <f>'MOH DATA KF NORTH'!AA14</f>
        <v>9.850590687977763E-2</v>
      </c>
      <c r="V15" s="245">
        <f>'MOH DATA KF NORTH'!AB14</f>
        <v>6.2820512820512819E-2</v>
      </c>
      <c r="W15" s="245">
        <f>'MOH DATA KF NORTH'!AC14</f>
        <v>5.2125546285260234E-2</v>
      </c>
      <c r="X15" s="245">
        <f>'MOH DATA KF NORTH'!AD14</f>
        <v>5.2125546285260234E-2</v>
      </c>
      <c r="Z15" s="391">
        <f>'MOH DATA KF SUD'!W14</f>
        <v>0</v>
      </c>
      <c r="AA15" s="390" t="str">
        <f>'MOH DATA KF SUD'!X14</f>
        <v>BS</v>
      </c>
      <c r="AB15" s="244" t="str">
        <f>'MOH DATA KF SUD'!Y14</f>
        <v>BS 706 Confirmed/706 tested *100</v>
      </c>
      <c r="AC15" s="245">
        <f>'MOH DATA KF SUD'!Z14</f>
        <v>0.11399000713775874</v>
      </c>
      <c r="AD15" s="245">
        <f>'MOH DATA KF SUD'!AA14</f>
        <v>0.12735493594574226</v>
      </c>
      <c r="AE15" s="245">
        <f>'MOH DATA KF SUD'!AB14</f>
        <v>5.9036843632143891E-2</v>
      </c>
      <c r="AF15" s="245">
        <f>'MOH DATA KF SUD'!AC14</f>
        <v>4.4622991347342399E-2</v>
      </c>
      <c r="AG15" s="245">
        <f>'MOH DATA KF SUD'!AD14</f>
        <v>4.4622991347342399E-2</v>
      </c>
      <c r="AI15" s="391">
        <f>'MOH DATA RABAI'!W14</f>
        <v>0</v>
      </c>
      <c r="AJ15" s="390" t="str">
        <f>'MOH DATA RABAI'!X14</f>
        <v>BS</v>
      </c>
      <c r="AK15" s="244" t="str">
        <f>'MOH DATA RABAI'!Y14</f>
        <v>BS 706 Confirmed/706 tested *100</v>
      </c>
      <c r="AL15" s="245">
        <f>'MOH DATA RABAI'!Z14</f>
        <v>4.8467792370231397E-2</v>
      </c>
      <c r="AM15" s="245">
        <f>'MOH DATA RABAI'!AA14</f>
        <v>7.252559726962457E-2</v>
      </c>
      <c r="AN15" s="245">
        <f>'MOH DATA RABAI'!AB14</f>
        <v>5.5214723926380369E-2</v>
      </c>
      <c r="AO15" s="245">
        <f>'MOH DATA RABAI'!AC14</f>
        <v>6.5726290516206487E-2</v>
      </c>
      <c r="AP15" s="245">
        <f>'MOH DATA RABAI'!AD14</f>
        <v>6.5726290516206487E-2</v>
      </c>
      <c r="AR15" s="391">
        <f>'MOH DATA KALOLENI'!W14</f>
        <v>0</v>
      </c>
      <c r="AS15" s="390" t="str">
        <f>'MOH DATA KALOLENI'!X14</f>
        <v>BS</v>
      </c>
      <c r="AT15" s="244" t="str">
        <f>'MOH DATA KALOLENI'!Y14</f>
        <v>BS 706 Confirmed/706 tested *100</v>
      </c>
      <c r="AU15" s="245">
        <f>'MOH DATA KALOLENI'!Z14</f>
        <v>0.13607058025110283</v>
      </c>
      <c r="AV15" s="245">
        <f>'MOH DATA KALOLENI'!AA14</f>
        <v>0.12271762208067941</v>
      </c>
      <c r="AW15" s="245">
        <f>'MOH DATA KALOLENI'!AB14</f>
        <v>0.10395046155610344</v>
      </c>
      <c r="AX15" s="245">
        <f>'MOH DATA KALOLENI'!AC14</f>
        <v>0.11201066768263644</v>
      </c>
      <c r="AY15" s="245">
        <f>'MOH DATA KALOLENI'!AD14</f>
        <v>0.11201066768263644</v>
      </c>
      <c r="BA15" s="391">
        <f>'MOH DATA GANZE'!X14</f>
        <v>0</v>
      </c>
      <c r="BB15" s="390" t="str">
        <f>'MOH DATA GANZE'!Y14</f>
        <v>BS</v>
      </c>
      <c r="BC15" s="244" t="str">
        <f>'MOH DATA GANZE'!Z14</f>
        <v>BS 706 Confirmed/706 tested *100</v>
      </c>
      <c r="BD15" s="245">
        <f>'MOH DATA GANZE'!AA14</f>
        <v>0.11230648123852008</v>
      </c>
      <c r="BE15" s="245">
        <f>'MOH DATA GANZE'!AB14</f>
        <v>0.19532654284002396</v>
      </c>
      <c r="BF15" s="245">
        <f>'MOH DATA GANZE'!AC14</f>
        <v>9.4734056628737767E-2</v>
      </c>
      <c r="BG15" s="245">
        <f>'MOH DATA GANZE'!AD14</f>
        <v>6.5008291873963522E-2</v>
      </c>
      <c r="BH15" s="245">
        <f>'MOH DATA GANZE'!AE14</f>
        <v>6.5008291873963522E-2</v>
      </c>
    </row>
    <row r="16" spans="2:60" x14ac:dyDescent="0.2">
      <c r="B16" s="405"/>
      <c r="C16" s="413"/>
      <c r="D16" s="391"/>
      <c r="E16" s="218" t="s">
        <v>233</v>
      </c>
      <c r="F16" s="246">
        <f>T16+AC16+AL16+AU16+BD16</f>
        <v>4830</v>
      </c>
      <c r="G16" s="246">
        <f>U16+AD16+AM16+AV16+BE16</f>
        <v>2063</v>
      </c>
      <c r="H16" s="246">
        <f t="shared" ref="H16:H17" si="22">V16+AE16+AN16+AW16+BF16</f>
        <v>4462</v>
      </c>
      <c r="I16" s="246">
        <f t="shared" ref="I16:I17" si="23">W16+AF16+AO16+AX16+BG16</f>
        <v>2608</v>
      </c>
      <c r="J16" s="246">
        <f t="shared" ref="J16" si="24">X16+AG16+AP16+AY16+BH16</f>
        <v>2608</v>
      </c>
      <c r="K16" s="308" t="s">
        <v>230</v>
      </c>
      <c r="L16" s="426"/>
      <c r="Q16" s="391"/>
      <c r="R16" s="391">
        <f>'MOH DATA KF NORTH'!X15</f>
        <v>0</v>
      </c>
      <c r="S16" s="218" t="str">
        <f>'MOH DATA KF NORTH'!Y15</f>
        <v>BS 706 Confirmed</v>
      </c>
      <c r="T16" s="246">
        <f>'MOH DATA KF NORTH'!Z15</f>
        <v>1046</v>
      </c>
      <c r="U16" s="246">
        <f>'MOH DATA KF NORTH'!AA15</f>
        <v>567</v>
      </c>
      <c r="V16" s="246">
        <f>'MOH DATA KF NORTH'!AB15</f>
        <v>1225</v>
      </c>
      <c r="W16" s="246">
        <f>'MOH DATA KF NORTH'!AC15</f>
        <v>656</v>
      </c>
      <c r="X16" s="246">
        <f>'MOH DATA KF NORTH'!AD15</f>
        <v>656</v>
      </c>
      <c r="Z16" s="391">
        <f>'MOH DATA KF SUD'!W15</f>
        <v>0</v>
      </c>
      <c r="AA16" s="391">
        <f>'MOH DATA KF SUD'!X15</f>
        <v>0</v>
      </c>
      <c r="AB16" s="218" t="str">
        <f>'MOH DATA KF SUD'!Y15</f>
        <v>BS 706 Confirmed</v>
      </c>
      <c r="AC16" s="246">
        <f>'MOH DATA KF SUD'!Z15</f>
        <v>1597</v>
      </c>
      <c r="AD16" s="246">
        <f>'MOH DATA KF SUD'!AA15</f>
        <v>507</v>
      </c>
      <c r="AE16" s="246">
        <f>'MOH DATA KF SUD'!AB15</f>
        <v>814</v>
      </c>
      <c r="AF16" s="246">
        <f>'MOH DATA KF SUD'!AC15</f>
        <v>361</v>
      </c>
      <c r="AG16" s="246">
        <f>'MOH DATA KF SUD'!AD15</f>
        <v>361</v>
      </c>
      <c r="AI16" s="391">
        <f>'MOH DATA RABAI'!W15</f>
        <v>0</v>
      </c>
      <c r="AJ16" s="391">
        <f>'MOH DATA RABAI'!X15</f>
        <v>0</v>
      </c>
      <c r="AK16" s="218" t="str">
        <f>'MOH DATA RABAI'!Y15</f>
        <v>BS 706 Confirmed</v>
      </c>
      <c r="AL16" s="246">
        <f>'MOH DATA RABAI'!Z15</f>
        <v>155</v>
      </c>
      <c r="AM16" s="246">
        <f>'MOH DATA RABAI'!AA15</f>
        <v>85</v>
      </c>
      <c r="AN16" s="246">
        <f>'MOH DATA RABAI'!AB15</f>
        <v>252</v>
      </c>
      <c r="AO16" s="246">
        <f>'MOH DATA RABAI'!AC15</f>
        <v>219</v>
      </c>
      <c r="AP16" s="246">
        <f>'MOH DATA RABAI'!AD15</f>
        <v>219</v>
      </c>
      <c r="AR16" s="391">
        <f>'MOH DATA KALOLENI'!W15</f>
        <v>0</v>
      </c>
      <c r="AS16" s="391">
        <f>'MOH DATA KALOLENI'!X15</f>
        <v>0</v>
      </c>
      <c r="AT16" s="218" t="str">
        <f>'MOH DATA KALOLENI'!Y15</f>
        <v>BS 706 Confirmed</v>
      </c>
      <c r="AU16" s="246">
        <f>'MOH DATA KALOLENI'!Z15</f>
        <v>1604</v>
      </c>
      <c r="AV16" s="246">
        <f>'MOH DATA KALOLENI'!AA15</f>
        <v>578</v>
      </c>
      <c r="AW16" s="246">
        <f>'MOH DATA KALOLENI'!AB15</f>
        <v>1813</v>
      </c>
      <c r="AX16" s="246">
        <f>'MOH DATA KALOLENI'!AC15</f>
        <v>1176</v>
      </c>
      <c r="AY16" s="246">
        <f>'MOH DATA KALOLENI'!AD15</f>
        <v>1176</v>
      </c>
      <c r="BA16" s="391">
        <f>'MOH DATA GANZE'!X15</f>
        <v>0</v>
      </c>
      <c r="BB16" s="391">
        <f>'MOH DATA GANZE'!Y15</f>
        <v>0</v>
      </c>
      <c r="BC16" s="218" t="str">
        <f>'MOH DATA GANZE'!Z15</f>
        <v>BS 706 Confirmed</v>
      </c>
      <c r="BD16" s="246">
        <f>'MOH DATA GANZE'!AA15</f>
        <v>428</v>
      </c>
      <c r="BE16" s="246">
        <f>'MOH DATA GANZE'!AB15</f>
        <v>326</v>
      </c>
      <c r="BF16" s="246">
        <f>'MOH DATA GANZE'!AC15</f>
        <v>358</v>
      </c>
      <c r="BG16" s="246">
        <f>'MOH DATA GANZE'!AD15</f>
        <v>196</v>
      </c>
      <c r="BH16" s="246">
        <f>'MOH DATA GANZE'!AE15</f>
        <v>196</v>
      </c>
    </row>
    <row r="17" spans="2:60" x14ac:dyDescent="0.2">
      <c r="B17" s="405"/>
      <c r="C17" s="413"/>
      <c r="D17" s="392"/>
      <c r="E17" s="218" t="s">
        <v>234</v>
      </c>
      <c r="F17" s="246">
        <f>T17+AC17+AL17+AU17+BD17</f>
        <v>46800</v>
      </c>
      <c r="G17" s="246">
        <f>U17+AD17+AM17+AV17+BE17</f>
        <v>17288</v>
      </c>
      <c r="H17" s="246">
        <f t="shared" si="22"/>
        <v>59072</v>
      </c>
      <c r="I17" s="246">
        <f t="shared" si="23"/>
        <v>37521</v>
      </c>
      <c r="J17" s="246">
        <f>X17+AG17+AP17+AY17+BH17</f>
        <v>37521</v>
      </c>
      <c r="K17" s="396">
        <v>0.13500000000000001</v>
      </c>
      <c r="L17" s="426"/>
      <c r="Q17" s="391"/>
      <c r="R17" s="392">
        <f>'MOH DATA KF NORTH'!X16</f>
        <v>0</v>
      </c>
      <c r="S17" s="218" t="str">
        <f>'MOH DATA KF NORTH'!Y16</f>
        <v>BS 706 Tested</v>
      </c>
      <c r="T17" s="246">
        <f>'MOH DATA KF NORTH'!Z16</f>
        <v>13993</v>
      </c>
      <c r="U17" s="246">
        <f>'MOH DATA KF NORTH'!AA16</f>
        <v>5756</v>
      </c>
      <c r="V17" s="246">
        <f>'MOH DATA KF NORTH'!AB16</f>
        <v>19500</v>
      </c>
      <c r="W17" s="246">
        <f>'MOH DATA KF NORTH'!AC16</f>
        <v>12585</v>
      </c>
      <c r="X17" s="246">
        <f>'MOH DATA KF NORTH'!AD16</f>
        <v>12585</v>
      </c>
      <c r="Z17" s="391">
        <f>'MOH DATA KF SUD'!W16</f>
        <v>0</v>
      </c>
      <c r="AA17" s="392">
        <f>'MOH DATA KF SUD'!X16</f>
        <v>0</v>
      </c>
      <c r="AB17" s="218" t="str">
        <f>'MOH DATA KF SUD'!Y16</f>
        <v>BS 706 Tested</v>
      </c>
      <c r="AC17" s="246">
        <f>'MOH DATA KF SUD'!Z16</f>
        <v>14010</v>
      </c>
      <c r="AD17" s="246">
        <f>'MOH DATA KF SUD'!AA16</f>
        <v>3981</v>
      </c>
      <c r="AE17" s="246">
        <f>'MOH DATA KF SUD'!AB16</f>
        <v>13788</v>
      </c>
      <c r="AF17" s="246">
        <f>'MOH DATA KF SUD'!AC16</f>
        <v>8090</v>
      </c>
      <c r="AG17" s="246">
        <f>'MOH DATA KF SUD'!AD16</f>
        <v>8090</v>
      </c>
      <c r="AI17" s="391">
        <f>'MOH DATA RABAI'!W16</f>
        <v>0</v>
      </c>
      <c r="AJ17" s="392">
        <f>'MOH DATA RABAI'!X16</f>
        <v>0</v>
      </c>
      <c r="AK17" s="218" t="str">
        <f>'MOH DATA RABAI'!Y16</f>
        <v>BS 706 Tested</v>
      </c>
      <c r="AL17" s="246">
        <f>'MOH DATA RABAI'!Z16</f>
        <v>3198</v>
      </c>
      <c r="AM17" s="246">
        <f>'MOH DATA RABAI'!AA16</f>
        <v>1172</v>
      </c>
      <c r="AN17" s="246">
        <f>'MOH DATA RABAI'!AB16</f>
        <v>4564</v>
      </c>
      <c r="AO17" s="246">
        <f>'MOH DATA RABAI'!AC16</f>
        <v>3332</v>
      </c>
      <c r="AP17" s="246">
        <f>'MOH DATA RABAI'!AD16</f>
        <v>3332</v>
      </c>
      <c r="AR17" s="391">
        <f>'MOH DATA KALOLENI'!W16</f>
        <v>0</v>
      </c>
      <c r="AS17" s="392">
        <f>'MOH DATA KALOLENI'!X16</f>
        <v>0</v>
      </c>
      <c r="AT17" s="218" t="str">
        <f>'MOH DATA KALOLENI'!Y16</f>
        <v>BS 706 Tested</v>
      </c>
      <c r="AU17" s="246">
        <f>'MOH DATA KALOLENI'!Z16</f>
        <v>11788</v>
      </c>
      <c r="AV17" s="246">
        <f>'MOH DATA KALOLENI'!AA16</f>
        <v>4710</v>
      </c>
      <c r="AW17" s="246">
        <f>'MOH DATA KALOLENI'!AB16</f>
        <v>17441</v>
      </c>
      <c r="AX17" s="246">
        <f>'MOH DATA KALOLENI'!AC16</f>
        <v>10499</v>
      </c>
      <c r="AY17" s="246">
        <f>'MOH DATA KALOLENI'!AD16</f>
        <v>10499</v>
      </c>
      <c r="BA17" s="391">
        <f>'MOH DATA GANZE'!X16</f>
        <v>0</v>
      </c>
      <c r="BB17" s="392">
        <f>'MOH DATA GANZE'!Y16</f>
        <v>0</v>
      </c>
      <c r="BC17" s="218" t="str">
        <f>'MOH DATA GANZE'!Z16</f>
        <v>BS 706 Tested</v>
      </c>
      <c r="BD17" s="246">
        <f>'MOH DATA GANZE'!AA16</f>
        <v>3811</v>
      </c>
      <c r="BE17" s="246">
        <f>'MOH DATA GANZE'!AB16</f>
        <v>1669</v>
      </c>
      <c r="BF17" s="246">
        <f>'MOH DATA GANZE'!AC16</f>
        <v>3779</v>
      </c>
      <c r="BG17" s="246">
        <f>'MOH DATA GANZE'!AD16</f>
        <v>3015</v>
      </c>
      <c r="BH17" s="246">
        <f>'MOH DATA GANZE'!AE16</f>
        <v>3015</v>
      </c>
    </row>
    <row r="18" spans="2:60" ht="19" x14ac:dyDescent="0.2">
      <c r="B18" s="405"/>
      <c r="C18" s="413"/>
      <c r="D18" s="390" t="s">
        <v>230</v>
      </c>
      <c r="E18" s="244" t="s">
        <v>194</v>
      </c>
      <c r="F18" s="268">
        <f>F19/F20</f>
        <v>0.1505259446435917</v>
      </c>
      <c r="G18" s="268">
        <f t="shared" ref="G18" si="25">G19/G20</f>
        <v>0.12346357206619515</v>
      </c>
      <c r="H18" s="268">
        <f t="shared" ref="H18" si="26">H19/H20</f>
        <v>0.13908674937497051</v>
      </c>
      <c r="I18" s="268">
        <f t="shared" ref="I18" si="27">I19/I20</f>
        <v>0.23868642370845014</v>
      </c>
      <c r="J18" s="268">
        <f t="shared" ref="J18" si="28">J19/J20</f>
        <v>0.23868642370845014</v>
      </c>
      <c r="K18" s="396"/>
      <c r="L18" s="426"/>
      <c r="Q18" s="391"/>
      <c r="R18" s="390" t="str">
        <f>'MOH DATA KF NORTH'!X17</f>
        <v>RDT</v>
      </c>
      <c r="S18" s="244" t="str">
        <f>'MOH DATA KF NORTH'!Y17</f>
        <v>RDT 706 Confirmed/706 tested *100</v>
      </c>
      <c r="T18" s="245">
        <f>'MOH DATA KF NORTH'!Z17</f>
        <v>0.10363526812612975</v>
      </c>
      <c r="U18" s="245">
        <f>'MOH DATA KF NORTH'!AA17</f>
        <v>5.3857350800582245E-2</v>
      </c>
      <c r="V18" s="245">
        <f>'MOH DATA KF NORTH'!AB17</f>
        <v>0.17397861255826708</v>
      </c>
      <c r="W18" s="245">
        <f>'MOH DATA KF NORTH'!AC17</f>
        <v>0.24165468774956078</v>
      </c>
      <c r="X18" s="245">
        <f>'MOH DATA KF NORTH'!AD17</f>
        <v>0.24165468774956078</v>
      </c>
      <c r="Z18" s="391">
        <f>'MOH DATA KF SUD'!W17</f>
        <v>0</v>
      </c>
      <c r="AA18" s="390" t="str">
        <f>'MOH DATA KF SUD'!X17</f>
        <v>RDT</v>
      </c>
      <c r="AB18" s="244" t="str">
        <f>'MOH DATA KF SUD'!Y17</f>
        <v>RDT 706 Confirmed/706 tested *100</v>
      </c>
      <c r="AC18" s="245">
        <f>'MOH DATA KF SUD'!Z17</f>
        <v>0.19039542979559046</v>
      </c>
      <c r="AD18" s="245">
        <f>'MOH DATA KF SUD'!AA17</f>
        <v>0.15177343964806159</v>
      </c>
      <c r="AE18" s="245">
        <f>'MOH DATA KF SUD'!AB17</f>
        <v>0.13746468714311474</v>
      </c>
      <c r="AF18" s="245">
        <f>'MOH DATA KF SUD'!AC17</f>
        <v>0.27499769606487884</v>
      </c>
      <c r="AG18" s="245">
        <f>'MOH DATA KF SUD'!AD17</f>
        <v>0.27499769606487884</v>
      </c>
      <c r="AI18" s="391">
        <f>'MOH DATA RABAI'!W17</f>
        <v>0</v>
      </c>
      <c r="AJ18" s="390" t="str">
        <f>'MOH DATA RABAI'!X17</f>
        <v>RDT</v>
      </c>
      <c r="AK18" s="244" t="str">
        <f>'MOH DATA RABAI'!Y17</f>
        <v>RDT 706 Confirmed/706 tested *100</v>
      </c>
      <c r="AL18" s="245">
        <f>'MOH DATA RABAI'!Z17</f>
        <v>0.11470281543274244</v>
      </c>
      <c r="AM18" s="245">
        <f>'MOH DATA RABAI'!AA17</f>
        <v>9.2428198433420372E-2</v>
      </c>
      <c r="AN18" s="245">
        <f>'MOH DATA RABAI'!AB17</f>
        <v>7.9206150545324511E-2</v>
      </c>
      <c r="AO18" s="245">
        <f>'MOH DATA RABAI'!AC17</f>
        <v>0.20992167101827677</v>
      </c>
      <c r="AP18" s="245">
        <f>'MOH DATA RABAI'!AD17</f>
        <v>0.20992167101827677</v>
      </c>
      <c r="AR18" s="391">
        <f>'MOH DATA KALOLENI'!W17</f>
        <v>0</v>
      </c>
      <c r="AS18" s="390" t="str">
        <f>'MOH DATA KALOLENI'!X17</f>
        <v>RDT</v>
      </c>
      <c r="AT18" s="244" t="str">
        <f>'MOH DATA KALOLENI'!Y17</f>
        <v>RDT 706 Confirmed/706 tested *100</v>
      </c>
      <c r="AU18" s="245">
        <f>'MOH DATA KALOLENI'!Z17</f>
        <v>0.15698663426488457</v>
      </c>
      <c r="AV18" s="245">
        <f>'MOH DATA KALOLENI'!AA17</f>
        <v>7.3348519362186781E-2</v>
      </c>
      <c r="AW18" s="245">
        <f>'MOH DATA KALOLENI'!AB17</f>
        <v>9.1429880843263062E-2</v>
      </c>
      <c r="AX18" s="245">
        <f>'MOH DATA KALOLENI'!AC17</f>
        <v>0.25497008299556068</v>
      </c>
      <c r="AY18" s="245">
        <f>'MOH DATA KALOLENI'!AD17</f>
        <v>0.25497008299556068</v>
      </c>
      <c r="BA18" s="391">
        <f>'MOH DATA GANZE'!X17</f>
        <v>0</v>
      </c>
      <c r="BB18" s="390" t="str">
        <f>'MOH DATA GANZE'!Y17</f>
        <v>RDT</v>
      </c>
      <c r="BC18" s="244" t="str">
        <f>'MOH DATA GANZE'!Z17</f>
        <v>RDT 706 Confirmed/706 tested *100</v>
      </c>
      <c r="BD18" s="245">
        <f>'MOH DATA GANZE'!AA17</f>
        <v>0.1282405807120636</v>
      </c>
      <c r="BE18" s="245">
        <f>'MOH DATA GANZE'!AB17</f>
        <v>0.12800963081861957</v>
      </c>
      <c r="BF18" s="245">
        <f>'MOH DATA GANZE'!AC17</f>
        <v>0.17614571092831963</v>
      </c>
      <c r="BG18" s="245">
        <f>'MOH DATA GANZE'!AD17</f>
        <v>0.16368980330092697</v>
      </c>
      <c r="BH18" s="245">
        <f>'MOH DATA GANZE'!AE17</f>
        <v>0.16368980330092697</v>
      </c>
    </row>
    <row r="19" spans="2:60" x14ac:dyDescent="0.2">
      <c r="B19" s="405"/>
      <c r="C19" s="413"/>
      <c r="D19" s="391"/>
      <c r="E19" s="218" t="s">
        <v>235</v>
      </c>
      <c r="F19" s="246">
        <f t="shared" ref="F19:G21" si="29">T19+AC19+AL19+AU19+BD19</f>
        <v>5123</v>
      </c>
      <c r="G19" s="246">
        <f t="shared" si="29"/>
        <v>1798</v>
      </c>
      <c r="H19" s="246">
        <f t="shared" ref="H19:H20" si="30">V19+AE19+AN19+AW19+BF19</f>
        <v>5897</v>
      </c>
      <c r="I19" s="246">
        <f t="shared" ref="I19:I20" si="31">W19+AF19+AO19+AX19+BG19</f>
        <v>7748</v>
      </c>
      <c r="J19" s="246">
        <f t="shared" ref="J19" si="32">X19+AG19+AP19+AY19+BH19</f>
        <v>7748</v>
      </c>
      <c r="K19" s="396"/>
      <c r="L19" s="426"/>
      <c r="Q19" s="391"/>
      <c r="R19" s="391">
        <f>'MOH DATA KF NORTH'!X18</f>
        <v>0</v>
      </c>
      <c r="S19" s="218" t="str">
        <f>'MOH DATA KF NORTH'!Y18</f>
        <v>RDT 706 Confirmed</v>
      </c>
      <c r="T19" s="221">
        <f>'MOH DATA KF NORTH'!Z18</f>
        <v>516</v>
      </c>
      <c r="U19" s="221">
        <f>'MOH DATA KF NORTH'!AA18</f>
        <v>37</v>
      </c>
      <c r="V19" s="221">
        <f>'MOH DATA KF NORTH'!AB18</f>
        <v>1269</v>
      </c>
      <c r="W19" s="221">
        <f>'MOH DATA KF NORTH'!AC18</f>
        <v>1513</v>
      </c>
      <c r="X19" s="221">
        <f>'MOH DATA KF NORTH'!AD18</f>
        <v>1513</v>
      </c>
      <c r="Z19" s="391">
        <f>'MOH DATA KF SUD'!W18</f>
        <v>0</v>
      </c>
      <c r="AA19" s="391">
        <f>'MOH DATA KF SUD'!X18</f>
        <v>0</v>
      </c>
      <c r="AB19" s="218" t="str">
        <f>'MOH DATA KF SUD'!Y18</f>
        <v>RDT 706 Confirmed</v>
      </c>
      <c r="AC19" s="221">
        <f>'MOH DATA KF SUD'!Z18</f>
        <v>2133</v>
      </c>
      <c r="AD19" s="221">
        <f>'MOH DATA KF SUD'!AA18</f>
        <v>1104</v>
      </c>
      <c r="AE19" s="221">
        <f>'MOH DATA KF SUD'!AB18</f>
        <v>2287</v>
      </c>
      <c r="AF19" s="221">
        <f>'MOH DATA KF SUD'!AC18</f>
        <v>2984</v>
      </c>
      <c r="AG19" s="221">
        <f>'MOH DATA KF SUD'!AD18</f>
        <v>2984</v>
      </c>
      <c r="AI19" s="391">
        <f>'MOH DATA RABAI'!W18</f>
        <v>0</v>
      </c>
      <c r="AJ19" s="391">
        <f>'MOH DATA RABAI'!X18</f>
        <v>0</v>
      </c>
      <c r="AK19" s="218" t="str">
        <f>'MOH DATA RABAI'!Y18</f>
        <v>RDT 706 Confirmed</v>
      </c>
      <c r="AL19" s="221">
        <f>'MOH DATA RABAI'!Z18</f>
        <v>440</v>
      </c>
      <c r="AM19" s="221">
        <f>'MOH DATA RABAI'!AA18</f>
        <v>177</v>
      </c>
      <c r="AN19" s="221">
        <f>'MOH DATA RABAI'!AB18</f>
        <v>443</v>
      </c>
      <c r="AO19" s="221">
        <f>'MOH DATA RABAI'!AC18</f>
        <v>1206</v>
      </c>
      <c r="AP19" s="221">
        <f>'MOH DATA RABAI'!AD18</f>
        <v>1206</v>
      </c>
      <c r="AR19" s="391">
        <f>'MOH DATA KALOLENI'!W18</f>
        <v>0</v>
      </c>
      <c r="AS19" s="391">
        <f>'MOH DATA KALOLENI'!X18</f>
        <v>0</v>
      </c>
      <c r="AT19" s="218" t="str">
        <f>'MOH DATA KALOLENI'!Y18</f>
        <v>RDT 706 Confirmed</v>
      </c>
      <c r="AU19" s="221">
        <f>'MOH DATA KALOLENI'!Z18</f>
        <v>1292</v>
      </c>
      <c r="AV19" s="221">
        <f>'MOH DATA KALOLENI'!AA18</f>
        <v>161</v>
      </c>
      <c r="AW19" s="221">
        <f>'MOH DATA KALOLENI'!AB18</f>
        <v>399</v>
      </c>
      <c r="AX19" s="221">
        <f>'MOH DATA KALOLENI'!AC18</f>
        <v>1321</v>
      </c>
      <c r="AY19" s="221">
        <f>'MOH DATA KALOLENI'!AD18</f>
        <v>1321</v>
      </c>
      <c r="BA19" s="391">
        <f>'MOH DATA GANZE'!X18</f>
        <v>0</v>
      </c>
      <c r="BB19" s="391">
        <f>'MOH DATA GANZE'!Y18</f>
        <v>0</v>
      </c>
      <c r="BC19" s="218" t="str">
        <f>'MOH DATA GANZE'!Z18</f>
        <v>RDT 706 Confirmed</v>
      </c>
      <c r="BD19" s="221">
        <f>'MOH DATA GANZE'!AA18</f>
        <v>742</v>
      </c>
      <c r="BE19" s="221">
        <f>'MOH DATA GANZE'!AB18</f>
        <v>319</v>
      </c>
      <c r="BF19" s="221">
        <f>'MOH DATA GANZE'!AC18</f>
        <v>1499</v>
      </c>
      <c r="BG19" s="221">
        <f>'MOH DATA GANZE'!AD18</f>
        <v>724</v>
      </c>
      <c r="BH19" s="221">
        <f>'MOH DATA GANZE'!AE18</f>
        <v>724</v>
      </c>
    </row>
    <row r="20" spans="2:60" ht="16" thickBot="1" x14ac:dyDescent="0.25">
      <c r="B20" s="406"/>
      <c r="C20" s="414"/>
      <c r="D20" s="408"/>
      <c r="E20" s="282" t="s">
        <v>236</v>
      </c>
      <c r="F20" s="283">
        <f t="shared" si="29"/>
        <v>34034</v>
      </c>
      <c r="G20" s="283">
        <f t="shared" si="29"/>
        <v>14563</v>
      </c>
      <c r="H20" s="283">
        <f t="shared" si="30"/>
        <v>42398</v>
      </c>
      <c r="I20" s="283">
        <f t="shared" si="31"/>
        <v>32461</v>
      </c>
      <c r="J20" s="283">
        <f>X20+AG20+AP20+AY20+BH20</f>
        <v>32461</v>
      </c>
      <c r="K20" s="397"/>
      <c r="L20" s="427"/>
      <c r="Q20" s="392"/>
      <c r="R20" s="392">
        <f>'MOH DATA KF NORTH'!X19</f>
        <v>0</v>
      </c>
      <c r="S20" s="218" t="str">
        <f>'MOH DATA KF NORTH'!Y19</f>
        <v>RDT 706 Tested</v>
      </c>
      <c r="T20" s="221">
        <f>'MOH DATA KF NORTH'!Z19</f>
        <v>4979</v>
      </c>
      <c r="U20" s="221">
        <f>'MOH DATA KF NORTH'!AA19</f>
        <v>687</v>
      </c>
      <c r="V20" s="221">
        <f>'MOH DATA KF NORTH'!AB19</f>
        <v>7294</v>
      </c>
      <c r="W20" s="221">
        <f>'MOH DATA KF NORTH'!AC19</f>
        <v>6261</v>
      </c>
      <c r="X20" s="221">
        <f>'MOH DATA KF NORTH'!AD19</f>
        <v>6261</v>
      </c>
      <c r="Z20" s="392">
        <f>'MOH DATA KF SUD'!W19</f>
        <v>0</v>
      </c>
      <c r="AA20" s="392">
        <f>'MOH DATA KF SUD'!X19</f>
        <v>0</v>
      </c>
      <c r="AB20" s="218" t="str">
        <f>'MOH DATA KF SUD'!Y19</f>
        <v>RDT 706 Tested</v>
      </c>
      <c r="AC20" s="221">
        <f>'MOH DATA KF SUD'!Z19</f>
        <v>11203</v>
      </c>
      <c r="AD20" s="221">
        <f>'MOH DATA KF SUD'!AA19</f>
        <v>7274</v>
      </c>
      <c r="AE20" s="221">
        <f>'MOH DATA KF SUD'!AB19</f>
        <v>16637</v>
      </c>
      <c r="AF20" s="221">
        <f>'MOH DATA KF SUD'!AC19</f>
        <v>10851</v>
      </c>
      <c r="AG20" s="221">
        <f>'MOH DATA KF SUD'!AD19</f>
        <v>10851</v>
      </c>
      <c r="AI20" s="392">
        <f>'MOH DATA RABAI'!W19</f>
        <v>0</v>
      </c>
      <c r="AJ20" s="392">
        <f>'MOH DATA RABAI'!X19</f>
        <v>0</v>
      </c>
      <c r="AK20" s="218" t="str">
        <f>'MOH DATA RABAI'!Y19</f>
        <v>RDT 706 Tested</v>
      </c>
      <c r="AL20" s="221">
        <f>'MOH DATA RABAI'!Z19</f>
        <v>3836</v>
      </c>
      <c r="AM20" s="221">
        <f>'MOH DATA RABAI'!AA19</f>
        <v>1915</v>
      </c>
      <c r="AN20" s="221">
        <f>'MOH DATA RABAI'!AB19</f>
        <v>5593</v>
      </c>
      <c r="AO20" s="221">
        <f>'MOH DATA RABAI'!AC19</f>
        <v>5745</v>
      </c>
      <c r="AP20" s="221">
        <f>'MOH DATA RABAI'!AD19</f>
        <v>5745</v>
      </c>
      <c r="AR20" s="392">
        <f>'MOH DATA KALOLENI'!W19</f>
        <v>0</v>
      </c>
      <c r="AS20" s="392">
        <f>'MOH DATA KALOLENI'!X19</f>
        <v>0</v>
      </c>
      <c r="AT20" s="218" t="str">
        <f>'MOH DATA KALOLENI'!Y19</f>
        <v>RDT 706 Tested</v>
      </c>
      <c r="AU20" s="221">
        <f>'MOH DATA KALOLENI'!Z19</f>
        <v>8230</v>
      </c>
      <c r="AV20" s="221">
        <f>'MOH DATA KALOLENI'!AA19</f>
        <v>2195</v>
      </c>
      <c r="AW20" s="221">
        <f>'MOH DATA KALOLENI'!AB19</f>
        <v>4364</v>
      </c>
      <c r="AX20" s="221">
        <f>'MOH DATA KALOLENI'!AC19</f>
        <v>5181</v>
      </c>
      <c r="AY20" s="221">
        <f>'MOH DATA KALOLENI'!AD19</f>
        <v>5181</v>
      </c>
      <c r="BA20" s="392">
        <f>'MOH DATA GANZE'!X19</f>
        <v>0</v>
      </c>
      <c r="BB20" s="392">
        <f>'MOH DATA GANZE'!Y19</f>
        <v>0</v>
      </c>
      <c r="BC20" s="218" t="str">
        <f>'MOH DATA GANZE'!Z19</f>
        <v>RDT 706 Tested</v>
      </c>
      <c r="BD20" s="221">
        <f>'MOH DATA GANZE'!AA19</f>
        <v>5786</v>
      </c>
      <c r="BE20" s="221">
        <f>'MOH DATA GANZE'!AB19</f>
        <v>2492</v>
      </c>
      <c r="BF20" s="221">
        <f>'MOH DATA GANZE'!AC19</f>
        <v>8510</v>
      </c>
      <c r="BG20" s="221">
        <f>'MOH DATA GANZE'!AD19</f>
        <v>4423</v>
      </c>
      <c r="BH20" s="221">
        <f>'MOH DATA GANZE'!AE19</f>
        <v>4423</v>
      </c>
    </row>
    <row r="21" spans="2:60" ht="20" thickTop="1" x14ac:dyDescent="0.2">
      <c r="B21" s="415" t="s">
        <v>170</v>
      </c>
      <c r="C21" s="380" t="s">
        <v>293</v>
      </c>
      <c r="D21" s="418" t="s">
        <v>226</v>
      </c>
      <c r="E21" s="284" t="s">
        <v>195</v>
      </c>
      <c r="F21" s="285">
        <f t="shared" si="29"/>
        <v>250538</v>
      </c>
      <c r="G21" s="285">
        <f t="shared" si="29"/>
        <v>100147</v>
      </c>
      <c r="H21" s="285">
        <f t="shared" ref="H21" si="33">V21+AE21+AN21+AW21+BF21</f>
        <v>326045</v>
      </c>
      <c r="I21" s="286">
        <f t="shared" ref="I21" si="34">W21+AF21+AO21+AX21+BG21</f>
        <v>227229</v>
      </c>
      <c r="J21" s="286">
        <f t="shared" ref="J21" si="35">X21+AG21+AP21+AY21+BH21</f>
        <v>227229</v>
      </c>
      <c r="K21" s="309" t="s">
        <v>259</v>
      </c>
      <c r="L21" s="472" t="s">
        <v>261</v>
      </c>
      <c r="Q21" s="421" t="str">
        <f>'MOH DATA KF NORTH'!W20</f>
        <v>I.O.S.1</v>
      </c>
      <c r="R21" s="421" t="str">
        <f>'MOH DATA KF NORTH'!X20</f>
        <v>TOTAL</v>
      </c>
      <c r="S21" s="219" t="str">
        <f>'MOH DATA KF NORTH'!Y20</f>
        <v>TOTAL Suspected 705</v>
      </c>
      <c r="T21" s="222">
        <f>'MOH DATA KF NORTH'!Z20</f>
        <v>50148</v>
      </c>
      <c r="U21" s="222">
        <f>'MOH DATA KF NORTH'!AA20</f>
        <v>19923</v>
      </c>
      <c r="V21" s="222">
        <f>'MOH DATA KF NORTH'!AB20</f>
        <v>76290</v>
      </c>
      <c r="W21" s="223">
        <f>'MOH DATA KF NORTH'!AC20</f>
        <v>45908</v>
      </c>
      <c r="X21" s="223">
        <f>'MOH DATA KF NORTH'!AD20</f>
        <v>45908</v>
      </c>
      <c r="Z21" s="421" t="str">
        <f>'MOH DATA KF SUD'!W20</f>
        <v>I.O.S.1</v>
      </c>
      <c r="AA21" s="421" t="str">
        <f>'MOH DATA KF SUD'!X20</f>
        <v>TOTAL</v>
      </c>
      <c r="AB21" s="219" t="str">
        <f>'MOH DATA KF SUD'!Y20</f>
        <v>TOTAL Suspected 705</v>
      </c>
      <c r="AC21" s="222">
        <f>'MOH DATA KF SUD'!Z20</f>
        <v>95086</v>
      </c>
      <c r="AD21" s="222">
        <f>'MOH DATA KF SUD'!AA20</f>
        <v>40801</v>
      </c>
      <c r="AE21" s="222">
        <f>'MOH DATA KF SUD'!AB20</f>
        <v>130924</v>
      </c>
      <c r="AF21" s="223">
        <f>'MOH DATA KF SUD'!AC20</f>
        <v>86750</v>
      </c>
      <c r="AG21" s="223">
        <f>'MOH DATA KF SUD'!AD20</f>
        <v>86750</v>
      </c>
      <c r="AI21" s="421" t="str">
        <f>'MOH DATA RABAI'!W20</f>
        <v>I.O.S.1</v>
      </c>
      <c r="AJ21" s="421" t="str">
        <f>'MOH DATA RABAI'!X20</f>
        <v>TOTAL</v>
      </c>
      <c r="AK21" s="219" t="str">
        <f>'MOH DATA RABAI'!Y20</f>
        <v>TOTAL Suspected 705</v>
      </c>
      <c r="AL21" s="222">
        <f>'MOH DATA RABAI'!Z20</f>
        <v>12489</v>
      </c>
      <c r="AM21" s="222">
        <f>'MOH DATA RABAI'!AA20</f>
        <v>1941</v>
      </c>
      <c r="AN21" s="222">
        <f>'MOH DATA RABAI'!AB20</f>
        <v>20463</v>
      </c>
      <c r="AO21" s="223">
        <f>'MOH DATA RABAI'!AC20</f>
        <v>17340</v>
      </c>
      <c r="AP21" s="223">
        <f>'MOH DATA RABAI'!AD20</f>
        <v>17340</v>
      </c>
      <c r="AR21" s="421" t="str">
        <f>'MOH DATA KALOLENI'!W20</f>
        <v>I.O.S.1</v>
      </c>
      <c r="AS21" s="421" t="str">
        <f>'MOH DATA KALOLENI'!X20</f>
        <v>TOTAL</v>
      </c>
      <c r="AT21" s="219" t="str">
        <f>'MOH DATA KALOLENI'!Y20</f>
        <v>TOTAL Suspected 705</v>
      </c>
      <c r="AU21" s="222">
        <f>'MOH DATA KALOLENI'!Z20</f>
        <v>48619</v>
      </c>
      <c r="AV21" s="222">
        <f>'MOH DATA KALOLENI'!AA20</f>
        <v>20731</v>
      </c>
      <c r="AW21" s="222">
        <f>'MOH DATA KALOLENI'!AB20</f>
        <v>54380</v>
      </c>
      <c r="AX21" s="223">
        <f>'MOH DATA KALOLENI'!AC20</f>
        <v>53264</v>
      </c>
      <c r="AY21" s="223">
        <f>'MOH DATA KALOLENI'!AD20</f>
        <v>53264</v>
      </c>
      <c r="BA21" s="421" t="str">
        <f>'MOH DATA GANZE'!X20</f>
        <v>I.O.S.1</v>
      </c>
      <c r="BB21" s="421" t="str">
        <f>'MOH DATA GANZE'!Y20</f>
        <v>TOTAL</v>
      </c>
      <c r="BC21" s="219" t="str">
        <f>'MOH DATA GANZE'!Z20</f>
        <v>TOTAL Suspected 705</v>
      </c>
      <c r="BD21" s="222">
        <f>'MOH DATA GANZE'!AA20</f>
        <v>44196</v>
      </c>
      <c r="BE21" s="222">
        <f>'MOH DATA GANZE'!AB20</f>
        <v>16751</v>
      </c>
      <c r="BF21" s="222">
        <f>'MOH DATA GANZE'!AC20</f>
        <v>43988</v>
      </c>
      <c r="BG21" s="223">
        <f>'MOH DATA GANZE'!AD20</f>
        <v>23967</v>
      </c>
      <c r="BH21" s="223">
        <f>'MOH DATA GANZE'!AE20</f>
        <v>23967</v>
      </c>
    </row>
    <row r="22" spans="2:60" ht="19" x14ac:dyDescent="0.2">
      <c r="B22" s="416"/>
      <c r="C22" s="381"/>
      <c r="D22" s="419"/>
      <c r="E22" s="219" t="s">
        <v>205</v>
      </c>
      <c r="F22" s="269">
        <f>F21/12</f>
        <v>20878.166666666668</v>
      </c>
      <c r="G22" s="269">
        <f>G21/5</f>
        <v>20029.400000000001</v>
      </c>
      <c r="H22" s="269">
        <f>H21/15</f>
        <v>21736.333333333332</v>
      </c>
      <c r="I22" s="270">
        <f>I21/9</f>
        <v>25247.666666666668</v>
      </c>
      <c r="J22" s="270">
        <f>J21/11</f>
        <v>20657.18181818182</v>
      </c>
      <c r="K22" s="395">
        <v>214135</v>
      </c>
      <c r="L22" s="426"/>
      <c r="Q22" s="419"/>
      <c r="R22" s="419">
        <f>'MOH DATA KF NORTH'!X21</f>
        <v>0</v>
      </c>
      <c r="S22" s="219" t="str">
        <f>'MOH DATA KF NORTH'!Y21</f>
        <v>TOTAL SUSPECTED 705 MONTHLY AVG</v>
      </c>
      <c r="T22" s="222">
        <f>'MOH DATA KF NORTH'!Z21</f>
        <v>4179</v>
      </c>
      <c r="U22" s="222">
        <f>'MOH DATA KF NORTH'!AA21</f>
        <v>3984.6</v>
      </c>
      <c r="V22" s="222">
        <f>'MOH DATA KF NORTH'!AB21</f>
        <v>5086</v>
      </c>
      <c r="W22" s="223">
        <f>'MOH DATA KF NORTH'!AC21</f>
        <v>5100.8888888888887</v>
      </c>
      <c r="X22" s="223">
        <f>'MOH DATA KF NORTH'!AD21</f>
        <v>0</v>
      </c>
      <c r="Z22" s="419">
        <f>'MOH DATA KF SUD'!W21</f>
        <v>0</v>
      </c>
      <c r="AA22" s="419">
        <f>'MOH DATA KF SUD'!X21</f>
        <v>0</v>
      </c>
      <c r="AB22" s="219" t="str">
        <f>'MOH DATA KF SUD'!Y21</f>
        <v>TOTAL SUSPECTED 705 MONTHLY AVG</v>
      </c>
      <c r="AC22" s="222">
        <f>'MOH DATA KF SUD'!Z21</f>
        <v>7923.833333333333</v>
      </c>
      <c r="AD22" s="222">
        <f>'MOH DATA KF SUD'!AA21</f>
        <v>8160.2</v>
      </c>
      <c r="AE22" s="222">
        <f>'MOH DATA KF SUD'!AB21</f>
        <v>8728.2666666666664</v>
      </c>
      <c r="AF22" s="223">
        <f>'MOH DATA KF SUD'!AC21</f>
        <v>9638.8888888888887</v>
      </c>
      <c r="AG22" s="223">
        <f>'MOH DATA KF SUD'!AD21</f>
        <v>0</v>
      </c>
      <c r="AI22" s="419">
        <f>'MOH DATA RABAI'!W21</f>
        <v>0</v>
      </c>
      <c r="AJ22" s="419">
        <f>'MOH DATA RABAI'!X21</f>
        <v>0</v>
      </c>
      <c r="AK22" s="219" t="str">
        <f>'MOH DATA RABAI'!Y21</f>
        <v>TOTAL SUSPECTED 705 MONTHLY AVG</v>
      </c>
      <c r="AL22" s="222">
        <f>'MOH DATA RABAI'!Z21</f>
        <v>1040.75</v>
      </c>
      <c r="AM22" s="222">
        <f>'MOH DATA RABAI'!AA21</f>
        <v>388.2</v>
      </c>
      <c r="AN22" s="222">
        <f>'MOH DATA RABAI'!AB21</f>
        <v>1364.2</v>
      </c>
      <c r="AO22" s="223">
        <f>'MOH DATA RABAI'!AC21</f>
        <v>1926.6666666666667</v>
      </c>
      <c r="AP22" s="223">
        <f>'MOH DATA RABAI'!AD21</f>
        <v>0</v>
      </c>
      <c r="AR22" s="419">
        <f>'MOH DATA KALOLENI'!W21</f>
        <v>0</v>
      </c>
      <c r="AS22" s="419">
        <f>'MOH DATA KALOLENI'!X21</f>
        <v>0</v>
      </c>
      <c r="AT22" s="219" t="str">
        <f>'MOH DATA KALOLENI'!Y21</f>
        <v>TOTAL SUSPECTED 705 MONTHLY AVG</v>
      </c>
      <c r="AU22" s="222">
        <f>'MOH DATA KALOLENI'!Z21</f>
        <v>4051.5833333333335</v>
      </c>
      <c r="AV22" s="222">
        <f>'MOH DATA KALOLENI'!AA21</f>
        <v>4146.2</v>
      </c>
      <c r="AW22" s="222">
        <f>'MOH DATA KALOLENI'!AB21</f>
        <v>3625.3333333333335</v>
      </c>
      <c r="AX22" s="223">
        <f>'MOH DATA KALOLENI'!AC21</f>
        <v>5918.2222222222226</v>
      </c>
      <c r="AY22" s="223">
        <f>'MOH DATA KALOLENI'!AD21</f>
        <v>0</v>
      </c>
      <c r="BA22" s="419">
        <f>'MOH DATA GANZE'!X21</f>
        <v>0</v>
      </c>
      <c r="BB22" s="419">
        <f>'MOH DATA GANZE'!Y21</f>
        <v>0</v>
      </c>
      <c r="BC22" s="219" t="str">
        <f>'MOH DATA GANZE'!Z21</f>
        <v>TOTAL SUSPECTED 705 MONTHLY AVG</v>
      </c>
      <c r="BD22" s="222">
        <f>'MOH DATA GANZE'!AA21</f>
        <v>3683</v>
      </c>
      <c r="BE22" s="222">
        <f>'MOH DATA GANZE'!AB21</f>
        <v>3350.2</v>
      </c>
      <c r="BF22" s="222">
        <f>'MOH DATA GANZE'!AC21</f>
        <v>2932.5333333333333</v>
      </c>
      <c r="BG22" s="223">
        <f>'MOH DATA GANZE'!AD21</f>
        <v>2663</v>
      </c>
      <c r="BH22" s="223">
        <f>'MOH DATA GANZE'!AE21</f>
        <v>0</v>
      </c>
    </row>
    <row r="23" spans="2:60" ht="19" x14ac:dyDescent="0.2">
      <c r="B23" s="416"/>
      <c r="C23" s="381"/>
      <c r="D23" s="419"/>
      <c r="E23" s="219" t="s">
        <v>196</v>
      </c>
      <c r="F23" s="270">
        <f>T23+AC23+AL23+AU23+BD23</f>
        <v>57596</v>
      </c>
      <c r="G23" s="270">
        <f>U23+AD23+AM23+AV23+BE23</f>
        <v>23478</v>
      </c>
      <c r="H23" s="270">
        <f t="shared" ref="H23" si="36">V23+AE23+AN23+AW23+BF23</f>
        <v>60820</v>
      </c>
      <c r="I23" s="270">
        <f t="shared" ref="I23" si="37">W23+AF23+AO23+AX23+BG23</f>
        <v>51244</v>
      </c>
      <c r="J23" s="270">
        <f t="shared" ref="J23" si="38">X23+AG23+AP23+AY23+BH23</f>
        <v>51244</v>
      </c>
      <c r="K23" s="395"/>
      <c r="L23" s="426"/>
      <c r="Q23" s="419"/>
      <c r="R23" s="419">
        <f>'MOH DATA KF NORTH'!X22</f>
        <v>0</v>
      </c>
      <c r="S23" s="219" t="str">
        <f>'MOH DATA KF NORTH'!Y22</f>
        <v>TOTAL Confirmed 705</v>
      </c>
      <c r="T23" s="223">
        <f>'MOH DATA KF NORTH'!Z22</f>
        <v>12645</v>
      </c>
      <c r="U23" s="223">
        <f>'MOH DATA KF NORTH'!AA22</f>
        <v>5524</v>
      </c>
      <c r="V23" s="223">
        <f>'MOH DATA KF NORTH'!AB22</f>
        <v>13900</v>
      </c>
      <c r="W23" s="223">
        <f>'MOH DATA KF NORTH'!AC22</f>
        <v>11758</v>
      </c>
      <c r="X23" s="223">
        <f>'MOH DATA KF NORTH'!AD22</f>
        <v>11758</v>
      </c>
      <c r="Z23" s="419">
        <f>'MOH DATA KF SUD'!W22</f>
        <v>0</v>
      </c>
      <c r="AA23" s="419">
        <f>'MOH DATA KF SUD'!X22</f>
        <v>0</v>
      </c>
      <c r="AB23" s="219" t="str">
        <f>'MOH DATA KF SUD'!Y22</f>
        <v>TOTAL Confirmed 705</v>
      </c>
      <c r="AC23" s="223">
        <f>'MOH DATA KF SUD'!Z22</f>
        <v>21178</v>
      </c>
      <c r="AD23" s="223">
        <f>'MOH DATA KF SUD'!AA22</f>
        <v>8638</v>
      </c>
      <c r="AE23" s="223">
        <f>'MOH DATA KF SUD'!AB22</f>
        <v>20655</v>
      </c>
      <c r="AF23" s="223">
        <f>'MOH DATA KF SUD'!AC22</f>
        <v>17584</v>
      </c>
      <c r="AG23" s="223">
        <f>'MOH DATA KF SUD'!AD22</f>
        <v>17584</v>
      </c>
      <c r="AI23" s="419">
        <f>'MOH DATA RABAI'!W22</f>
        <v>0</v>
      </c>
      <c r="AJ23" s="419">
        <f>'MOH DATA RABAI'!X22</f>
        <v>0</v>
      </c>
      <c r="AK23" s="219" t="str">
        <f>'MOH DATA RABAI'!Y22</f>
        <v>TOTAL Confirmed 705</v>
      </c>
      <c r="AL23" s="223">
        <f>'MOH DATA RABAI'!Z22</f>
        <v>1863</v>
      </c>
      <c r="AM23" s="223">
        <f>'MOH DATA RABAI'!AA22</f>
        <v>947</v>
      </c>
      <c r="AN23" s="223">
        <f>'MOH DATA RABAI'!AB22</f>
        <v>4282</v>
      </c>
      <c r="AO23" s="223">
        <f>'MOH DATA RABAI'!AC22</f>
        <v>5389</v>
      </c>
      <c r="AP23" s="223">
        <f>'MOH DATA RABAI'!AD22</f>
        <v>5389</v>
      </c>
      <c r="AR23" s="419">
        <f>'MOH DATA KALOLENI'!W22</f>
        <v>0</v>
      </c>
      <c r="AS23" s="419">
        <f>'MOH DATA KALOLENI'!X22</f>
        <v>0</v>
      </c>
      <c r="AT23" s="219" t="str">
        <f>'MOH DATA KALOLENI'!Y22</f>
        <v>TOTAL Confirmed 705</v>
      </c>
      <c r="AU23" s="223">
        <f>'MOH DATA KALOLENI'!Z22</f>
        <v>11757</v>
      </c>
      <c r="AV23" s="223">
        <f>'MOH DATA KALOLENI'!AA22</f>
        <v>4256</v>
      </c>
      <c r="AW23" s="223">
        <f>'MOH DATA KALOLENI'!AB22</f>
        <v>10999</v>
      </c>
      <c r="AX23" s="223">
        <f>'MOH DATA KALOLENI'!AC22</f>
        <v>10329</v>
      </c>
      <c r="AY23" s="223">
        <f>'MOH DATA KALOLENI'!AD22</f>
        <v>10329</v>
      </c>
      <c r="BA23" s="419">
        <f>'MOH DATA GANZE'!X22</f>
        <v>0</v>
      </c>
      <c r="BB23" s="419">
        <f>'MOH DATA GANZE'!Y22</f>
        <v>0</v>
      </c>
      <c r="BC23" s="219" t="str">
        <f>'MOH DATA GANZE'!Z22</f>
        <v>TOTAL Confirmed 705</v>
      </c>
      <c r="BD23" s="223">
        <f>'MOH DATA GANZE'!AA22</f>
        <v>10153</v>
      </c>
      <c r="BE23" s="223">
        <f>'MOH DATA GANZE'!AB22</f>
        <v>4113</v>
      </c>
      <c r="BF23" s="223">
        <f>'MOH DATA GANZE'!AC22</f>
        <v>10984</v>
      </c>
      <c r="BG23" s="223">
        <f>'MOH DATA GANZE'!AD22</f>
        <v>6184</v>
      </c>
      <c r="BH23" s="223">
        <f>'MOH DATA GANZE'!AE22</f>
        <v>6184</v>
      </c>
    </row>
    <row r="24" spans="2:60" ht="19" x14ac:dyDescent="0.2">
      <c r="B24" s="416"/>
      <c r="C24" s="381"/>
      <c r="D24" s="420"/>
      <c r="E24" s="219" t="s">
        <v>206</v>
      </c>
      <c r="F24" s="269">
        <f>F23/12</f>
        <v>4799.666666666667</v>
      </c>
      <c r="G24" s="269">
        <f>G23/5</f>
        <v>4695.6000000000004</v>
      </c>
      <c r="H24" s="269">
        <f>H23/15</f>
        <v>4054.6666666666665</v>
      </c>
      <c r="I24" s="270">
        <f>I23/9</f>
        <v>5693.7777777777774</v>
      </c>
      <c r="J24" s="270">
        <f>J23/11</f>
        <v>4658.545454545455</v>
      </c>
      <c r="K24" s="81" t="s">
        <v>262</v>
      </c>
      <c r="L24" s="426"/>
      <c r="Q24" s="419"/>
      <c r="R24" s="420">
        <f>'MOH DATA KF NORTH'!X23</f>
        <v>0</v>
      </c>
      <c r="S24" s="219" t="str">
        <f>'MOH DATA KF NORTH'!Y23</f>
        <v>TOTAL CONFIRMED  705 MONTHLY AVG</v>
      </c>
      <c r="T24" s="222">
        <f>'MOH DATA KF NORTH'!Z23</f>
        <v>1053.75</v>
      </c>
      <c r="U24" s="222">
        <f>'MOH DATA KF NORTH'!AA23</f>
        <v>1104.8</v>
      </c>
      <c r="V24" s="222">
        <f>'MOH DATA KF NORTH'!AB23</f>
        <v>926.66666666666663</v>
      </c>
      <c r="W24" s="223">
        <f>'MOH DATA KF NORTH'!AC23</f>
        <v>1306.4444444444443</v>
      </c>
      <c r="X24" s="223">
        <f>'MOH DATA KF NORTH'!AD23</f>
        <v>0</v>
      </c>
      <c r="Z24" s="419">
        <f>'MOH DATA KF SUD'!W23</f>
        <v>0</v>
      </c>
      <c r="AA24" s="420">
        <f>'MOH DATA KF SUD'!X23</f>
        <v>0</v>
      </c>
      <c r="AB24" s="219" t="str">
        <f>'MOH DATA KF SUD'!Y23</f>
        <v>TOTAL CONFIRMED  705 MONTHLY AVG</v>
      </c>
      <c r="AC24" s="222">
        <f>'MOH DATA KF SUD'!Z23</f>
        <v>1764.8333333333333</v>
      </c>
      <c r="AD24" s="222">
        <f>'MOH DATA KF SUD'!AA23</f>
        <v>1727.6</v>
      </c>
      <c r="AE24" s="222">
        <f>'MOH DATA KF SUD'!AB23</f>
        <v>1377</v>
      </c>
      <c r="AF24" s="223">
        <f>'MOH DATA KF SUD'!AC23</f>
        <v>1953.7777777777778</v>
      </c>
      <c r="AG24" s="223">
        <f>'MOH DATA KF SUD'!AD23</f>
        <v>0</v>
      </c>
      <c r="AI24" s="419">
        <f>'MOH DATA RABAI'!W23</f>
        <v>0</v>
      </c>
      <c r="AJ24" s="420">
        <f>'MOH DATA RABAI'!X23</f>
        <v>0</v>
      </c>
      <c r="AK24" s="219" t="str">
        <f>'MOH DATA RABAI'!Y23</f>
        <v>TOTAL CONFIRMED  705 MONTHLY AVG</v>
      </c>
      <c r="AL24" s="222">
        <f>'MOH DATA RABAI'!Z23</f>
        <v>155.25</v>
      </c>
      <c r="AM24" s="222">
        <f>'MOH DATA RABAI'!AA23</f>
        <v>189.4</v>
      </c>
      <c r="AN24" s="222">
        <f>'MOH DATA RABAI'!AB23</f>
        <v>285.46666666666664</v>
      </c>
      <c r="AO24" s="223">
        <f>'MOH DATA RABAI'!AC23</f>
        <v>598.77777777777783</v>
      </c>
      <c r="AP24" s="223">
        <f>'MOH DATA RABAI'!AD23</f>
        <v>0</v>
      </c>
      <c r="AR24" s="419">
        <f>'MOH DATA KALOLENI'!W23</f>
        <v>0</v>
      </c>
      <c r="AS24" s="420">
        <f>'MOH DATA KALOLENI'!X23</f>
        <v>0</v>
      </c>
      <c r="AT24" s="219" t="str">
        <f>'MOH DATA KALOLENI'!Y23</f>
        <v>TOTAL CONFIRMED  705 MONTHLY AVG</v>
      </c>
      <c r="AU24" s="222">
        <f>'MOH DATA KALOLENI'!Z23</f>
        <v>979.75</v>
      </c>
      <c r="AV24" s="222">
        <f>'MOH DATA KALOLENI'!AA23</f>
        <v>851.2</v>
      </c>
      <c r="AW24" s="222">
        <f>'MOH DATA KALOLENI'!AB23</f>
        <v>733.26666666666665</v>
      </c>
      <c r="AX24" s="223">
        <f>'MOH DATA KALOLENI'!AC23</f>
        <v>1147.6666666666667</v>
      </c>
      <c r="AY24" s="223">
        <f>'MOH DATA KALOLENI'!AD23</f>
        <v>0</v>
      </c>
      <c r="BA24" s="419">
        <f>'MOH DATA GANZE'!X23</f>
        <v>0</v>
      </c>
      <c r="BB24" s="420">
        <f>'MOH DATA GANZE'!Y23</f>
        <v>0</v>
      </c>
      <c r="BC24" s="219" t="str">
        <f>'MOH DATA GANZE'!Z23</f>
        <v>TOTAL CONFIRMED  705 MONTHLY AVG</v>
      </c>
      <c r="BD24" s="222">
        <f>'MOH DATA GANZE'!AA23</f>
        <v>846.08333333333337</v>
      </c>
      <c r="BE24" s="222">
        <f>'MOH DATA GANZE'!AB23</f>
        <v>822.6</v>
      </c>
      <c r="BF24" s="222">
        <f>'MOH DATA GANZE'!AC23</f>
        <v>732.26666666666665</v>
      </c>
      <c r="BG24" s="223">
        <f>'MOH DATA GANZE'!AD23</f>
        <v>687.11111111111109</v>
      </c>
      <c r="BH24" s="223">
        <f>'MOH DATA GANZE'!AE23</f>
        <v>0</v>
      </c>
    </row>
    <row r="25" spans="2:60" x14ac:dyDescent="0.2">
      <c r="B25" s="416"/>
      <c r="C25" s="381"/>
      <c r="D25" s="421" t="s">
        <v>189</v>
      </c>
      <c r="E25" s="219" t="s">
        <v>197</v>
      </c>
      <c r="F25" s="223">
        <f>T25+AC25+AL25+AU25+BD25</f>
        <v>68820</v>
      </c>
      <c r="G25" s="223">
        <f>U25+AD25+AM25+AV25+BE25</f>
        <v>29608</v>
      </c>
      <c r="H25" s="223">
        <f t="shared" ref="H25" si="39">V25+AE25+AN25+AW25+BF25</f>
        <v>79694</v>
      </c>
      <c r="I25" s="223">
        <f t="shared" ref="I25" si="40">W25+AF25+AO25+AX25+BG25</f>
        <v>58724</v>
      </c>
      <c r="J25" s="223">
        <f t="shared" ref="J25" si="41">X25+AG25+AP25+AY25+BH25</f>
        <v>58724</v>
      </c>
      <c r="K25" s="395">
        <v>17844</v>
      </c>
      <c r="L25" s="426"/>
      <c r="Q25" s="419"/>
      <c r="R25" s="421" t="str">
        <f>'MOH DATA KF NORTH'!X24</f>
        <v>Under 5</v>
      </c>
      <c r="S25" s="219" t="str">
        <f>'MOH DATA KF NORTH'!Y24</f>
        <v>Under 5 Suspected 705</v>
      </c>
      <c r="T25" s="223">
        <f>'MOH DATA KF NORTH'!Z24</f>
        <v>12623</v>
      </c>
      <c r="U25" s="223">
        <f>'MOH DATA KF NORTH'!AA24</f>
        <v>5282</v>
      </c>
      <c r="V25" s="223">
        <f>'MOH DATA KF NORTH'!AB24</f>
        <v>18650</v>
      </c>
      <c r="W25" s="223">
        <f>'MOH DATA KF NORTH'!AC24</f>
        <v>11672</v>
      </c>
      <c r="X25" s="223">
        <f>'MOH DATA KF NORTH'!AD24</f>
        <v>11672</v>
      </c>
      <c r="Z25" s="419">
        <f>'MOH DATA KF SUD'!W24</f>
        <v>0</v>
      </c>
      <c r="AA25" s="421" t="str">
        <f>'MOH DATA KF SUD'!X24</f>
        <v>Under 5</v>
      </c>
      <c r="AB25" s="219" t="str">
        <f>'MOH DATA KF SUD'!Y24</f>
        <v>Under 5 Suspected 705</v>
      </c>
      <c r="AC25" s="223">
        <f>'MOH DATA KF SUD'!Z24</f>
        <v>27393</v>
      </c>
      <c r="AD25" s="223">
        <f>'MOH DATA KF SUD'!AA24</f>
        <v>11889</v>
      </c>
      <c r="AE25" s="223">
        <f>'MOH DATA KF SUD'!AB24</f>
        <v>32232</v>
      </c>
      <c r="AF25" s="223">
        <f>'MOH DATA KF SUD'!AC24</f>
        <v>22670</v>
      </c>
      <c r="AG25" s="223">
        <f>'MOH DATA KF SUD'!AD24</f>
        <v>22670</v>
      </c>
      <c r="AI25" s="419">
        <f>'MOH DATA RABAI'!W24</f>
        <v>0</v>
      </c>
      <c r="AJ25" s="421" t="str">
        <f>'MOH DATA RABAI'!X24</f>
        <v>Under 5</v>
      </c>
      <c r="AK25" s="219" t="str">
        <f>'MOH DATA RABAI'!Y24</f>
        <v>Under 5 Suspected 705</v>
      </c>
      <c r="AL25" s="223">
        <f>'MOH DATA RABAI'!Z24</f>
        <v>2823</v>
      </c>
      <c r="AM25" s="223">
        <f>'MOH DATA RABAI'!AA24</f>
        <v>625</v>
      </c>
      <c r="AN25" s="223">
        <f>'MOH DATA RABAI'!AB24</f>
        <v>4009</v>
      </c>
      <c r="AO25" s="223">
        <f>'MOH DATA RABAI'!AC24</f>
        <v>4187</v>
      </c>
      <c r="AP25" s="223">
        <f>'MOH DATA RABAI'!AD24</f>
        <v>4187</v>
      </c>
      <c r="AR25" s="419">
        <f>'MOH DATA KALOLENI'!W24</f>
        <v>0</v>
      </c>
      <c r="AS25" s="421" t="str">
        <f>'MOH DATA KALOLENI'!X24</f>
        <v>Under 5</v>
      </c>
      <c r="AT25" s="219" t="str">
        <f>'MOH DATA KALOLENI'!Y24</f>
        <v>Under 5 Suspected 705</v>
      </c>
      <c r="AU25" s="223">
        <f>'MOH DATA KALOLENI'!Z24</f>
        <v>15855</v>
      </c>
      <c r="AV25" s="223">
        <f>'MOH DATA KALOLENI'!AA24</f>
        <v>7873</v>
      </c>
      <c r="AW25" s="223">
        <f>'MOH DATA KALOLENI'!AB24</f>
        <v>16516</v>
      </c>
      <c r="AX25" s="223">
        <f>'MOH DATA KALOLENI'!AC24</f>
        <v>15078</v>
      </c>
      <c r="AY25" s="223">
        <f>'MOH DATA KALOLENI'!AD24</f>
        <v>15078</v>
      </c>
      <c r="BA25" s="419">
        <f>'MOH DATA GANZE'!X24</f>
        <v>0</v>
      </c>
      <c r="BB25" s="421" t="str">
        <f>'MOH DATA GANZE'!Y24</f>
        <v>Under 5</v>
      </c>
      <c r="BC25" s="219" t="str">
        <f>'MOH DATA GANZE'!Z24</f>
        <v>Under 5 Suspected 705</v>
      </c>
      <c r="BD25" s="223">
        <f>'MOH DATA GANZE'!AA24</f>
        <v>10126</v>
      </c>
      <c r="BE25" s="223">
        <f>'MOH DATA GANZE'!AB24</f>
        <v>3939</v>
      </c>
      <c r="BF25" s="223">
        <f>'MOH DATA GANZE'!AC24</f>
        <v>8287</v>
      </c>
      <c r="BG25" s="223">
        <f>'MOH DATA GANZE'!AD24</f>
        <v>5117</v>
      </c>
      <c r="BH25" s="223">
        <f>'MOH DATA GANZE'!AE24</f>
        <v>5117</v>
      </c>
    </row>
    <row r="26" spans="2:60" x14ac:dyDescent="0.2">
      <c r="B26" s="416"/>
      <c r="C26" s="381"/>
      <c r="D26" s="419"/>
      <c r="E26" s="219" t="s">
        <v>207</v>
      </c>
      <c r="F26" s="222">
        <f>F25/12</f>
        <v>5735</v>
      </c>
      <c r="G26" s="222">
        <f>G25/5</f>
        <v>5921.6</v>
      </c>
      <c r="H26" s="222">
        <f>H25/15</f>
        <v>5312.9333333333334</v>
      </c>
      <c r="I26" s="223">
        <f>I25/9</f>
        <v>6524.8888888888887</v>
      </c>
      <c r="J26" s="223">
        <f>J25/11</f>
        <v>5338.545454545455</v>
      </c>
      <c r="K26" s="395"/>
      <c r="L26" s="426"/>
      <c r="Q26" s="419"/>
      <c r="R26" s="419">
        <f>'MOH DATA KF NORTH'!X25</f>
        <v>0</v>
      </c>
      <c r="S26" s="219" t="str">
        <f>'MOH DATA KF NORTH'!Y25</f>
        <v>Under 5 SUSPECTED  705 MONTHLY AVG</v>
      </c>
      <c r="T26" s="222">
        <f>'MOH DATA KF NORTH'!Z25</f>
        <v>1051.9166666666667</v>
      </c>
      <c r="U26" s="222">
        <f>'MOH DATA KF NORTH'!AA25</f>
        <v>1056.4000000000001</v>
      </c>
      <c r="V26" s="222">
        <f>'MOH DATA KF NORTH'!AB25</f>
        <v>1243.3333333333333</v>
      </c>
      <c r="W26" s="223">
        <f>'MOH DATA KF NORTH'!AC25</f>
        <v>1296.8888888888889</v>
      </c>
      <c r="X26" s="223">
        <f>'MOH DATA KF NORTH'!AD25</f>
        <v>0</v>
      </c>
      <c r="Z26" s="419">
        <f>'MOH DATA KF SUD'!W25</f>
        <v>0</v>
      </c>
      <c r="AA26" s="419">
        <f>'MOH DATA KF SUD'!X25</f>
        <v>0</v>
      </c>
      <c r="AB26" s="219" t="str">
        <f>'MOH DATA KF SUD'!Y25</f>
        <v>Under 5 SUSPECTED  705 MONTHLY AVG</v>
      </c>
      <c r="AC26" s="222">
        <f>'MOH DATA KF SUD'!Z25</f>
        <v>2282.75</v>
      </c>
      <c r="AD26" s="222">
        <f>'MOH DATA KF SUD'!AA25</f>
        <v>2377.8000000000002</v>
      </c>
      <c r="AE26" s="222">
        <f>'MOH DATA KF SUD'!AB25</f>
        <v>2148.8000000000002</v>
      </c>
      <c r="AF26" s="223">
        <f>'MOH DATA KF SUD'!AC25</f>
        <v>2518.8888888888887</v>
      </c>
      <c r="AG26" s="223">
        <f>'MOH DATA KF SUD'!AD25</f>
        <v>0</v>
      </c>
      <c r="AI26" s="419">
        <f>'MOH DATA RABAI'!W25</f>
        <v>0</v>
      </c>
      <c r="AJ26" s="419">
        <f>'MOH DATA RABAI'!X25</f>
        <v>0</v>
      </c>
      <c r="AK26" s="219" t="str">
        <f>'MOH DATA RABAI'!Y25</f>
        <v>Under 5 SUSPECTED  705 MONTHLY AVG</v>
      </c>
      <c r="AL26" s="222">
        <f>'MOH DATA RABAI'!Z25</f>
        <v>235.25</v>
      </c>
      <c r="AM26" s="222">
        <f>'MOH DATA RABAI'!AA25</f>
        <v>125</v>
      </c>
      <c r="AN26" s="222">
        <f>'MOH DATA RABAI'!AB25</f>
        <v>267.26666666666665</v>
      </c>
      <c r="AO26" s="223">
        <f>'MOH DATA RABAI'!AC25</f>
        <v>465.22222222222223</v>
      </c>
      <c r="AP26" s="223">
        <f>'MOH DATA RABAI'!AD25</f>
        <v>0</v>
      </c>
      <c r="AR26" s="419">
        <f>'MOH DATA KALOLENI'!W25</f>
        <v>0</v>
      </c>
      <c r="AS26" s="419">
        <f>'MOH DATA KALOLENI'!X25</f>
        <v>0</v>
      </c>
      <c r="AT26" s="219" t="str">
        <f>'MOH DATA KALOLENI'!Y25</f>
        <v>Under 5 SUSPECTED  705 MONTHLY AVG</v>
      </c>
      <c r="AU26" s="222">
        <f>'MOH DATA KALOLENI'!Z25</f>
        <v>1321.25</v>
      </c>
      <c r="AV26" s="222">
        <f>'MOH DATA KALOLENI'!AA25</f>
        <v>1574.6</v>
      </c>
      <c r="AW26" s="222">
        <f>'MOH DATA KALOLENI'!AB25</f>
        <v>1101.0666666666666</v>
      </c>
      <c r="AX26" s="223">
        <f>'MOH DATA KALOLENI'!AC25</f>
        <v>1675.3333333333333</v>
      </c>
      <c r="AY26" s="223">
        <f>'MOH DATA KALOLENI'!AD25</f>
        <v>0</v>
      </c>
      <c r="BA26" s="419">
        <f>'MOH DATA GANZE'!X25</f>
        <v>0</v>
      </c>
      <c r="BB26" s="419">
        <f>'MOH DATA GANZE'!Y25</f>
        <v>0</v>
      </c>
      <c r="BC26" s="219" t="str">
        <f>'MOH DATA GANZE'!Z25</f>
        <v>Under 5 SUSPECTED  705 MONTHLY AVG</v>
      </c>
      <c r="BD26" s="222">
        <f>'MOH DATA GANZE'!AA25</f>
        <v>843.83333333333337</v>
      </c>
      <c r="BE26" s="222">
        <f>'MOH DATA GANZE'!AB25</f>
        <v>787.8</v>
      </c>
      <c r="BF26" s="222">
        <f>'MOH DATA GANZE'!AC25</f>
        <v>552.4666666666667</v>
      </c>
      <c r="BG26" s="223">
        <f>'MOH DATA GANZE'!AD25</f>
        <v>568.55555555555554</v>
      </c>
      <c r="BH26" s="223">
        <f>'MOH DATA GANZE'!AE25</f>
        <v>0</v>
      </c>
    </row>
    <row r="27" spans="2:60" x14ac:dyDescent="0.2">
      <c r="B27" s="416"/>
      <c r="C27" s="381"/>
      <c r="D27" s="419"/>
      <c r="E27" s="219" t="s">
        <v>199</v>
      </c>
      <c r="F27" s="223">
        <f>T27+AC27+AL27+AU27+BD27</f>
        <v>10663</v>
      </c>
      <c r="G27" s="223">
        <f>U27+AD27+AM27+AV27+BE27</f>
        <v>4963</v>
      </c>
      <c r="H27" s="223">
        <f t="shared" ref="H27" si="42">V27+AE27+AN27+AW27+BF27</f>
        <v>11092</v>
      </c>
      <c r="I27" s="223">
        <f t="shared" ref="I27" si="43">W27+AF27+AO27+AX27+BG27</f>
        <v>9472</v>
      </c>
      <c r="J27" s="223">
        <f t="shared" ref="J27" si="44">X27+AG27+AP27+AY27+BH27</f>
        <v>9472</v>
      </c>
      <c r="K27" s="81" t="s">
        <v>260</v>
      </c>
      <c r="L27" s="426"/>
      <c r="Q27" s="419"/>
      <c r="R27" s="419">
        <f>'MOH DATA KF NORTH'!X26</f>
        <v>0</v>
      </c>
      <c r="S27" s="219" t="str">
        <f>'MOH DATA KF NORTH'!Y26</f>
        <v>Under 5 Confirmed 705</v>
      </c>
      <c r="T27" s="223">
        <f>'MOH DATA KF NORTH'!Z26</f>
        <v>2157</v>
      </c>
      <c r="U27" s="223">
        <f>'MOH DATA KF NORTH'!AA26</f>
        <v>1086</v>
      </c>
      <c r="V27" s="223">
        <f>'MOH DATA KF NORTH'!AB26</f>
        <v>2329</v>
      </c>
      <c r="W27" s="223">
        <f>'MOH DATA KF NORTH'!AC26</f>
        <v>1878</v>
      </c>
      <c r="X27" s="223">
        <f>'MOH DATA KF NORTH'!AD26</f>
        <v>1878</v>
      </c>
      <c r="Z27" s="419">
        <f>'MOH DATA KF SUD'!W26</f>
        <v>0</v>
      </c>
      <c r="AA27" s="419">
        <f>'MOH DATA KF SUD'!X26</f>
        <v>0</v>
      </c>
      <c r="AB27" s="219" t="str">
        <f>'MOH DATA KF SUD'!Y26</f>
        <v>Under 5 Confirmed 705</v>
      </c>
      <c r="AC27" s="223">
        <f>'MOH DATA KF SUD'!Z26</f>
        <v>4269</v>
      </c>
      <c r="AD27" s="223">
        <f>'MOH DATA KF SUD'!AA26</f>
        <v>1989</v>
      </c>
      <c r="AE27" s="223">
        <f>'MOH DATA KF SUD'!AB26</f>
        <v>3827</v>
      </c>
      <c r="AF27" s="223">
        <f>'MOH DATA KF SUD'!AC26</f>
        <v>3367</v>
      </c>
      <c r="AG27" s="223">
        <f>'MOH DATA KF SUD'!AD26</f>
        <v>3367</v>
      </c>
      <c r="AI27" s="419">
        <f>'MOH DATA RABAI'!W26</f>
        <v>0</v>
      </c>
      <c r="AJ27" s="419">
        <f>'MOH DATA RABAI'!X26</f>
        <v>0</v>
      </c>
      <c r="AK27" s="219" t="str">
        <f>'MOH DATA RABAI'!Y26</f>
        <v>Under 5 Confirmed 705</v>
      </c>
      <c r="AL27" s="223">
        <f>'MOH DATA RABAI'!Z26</f>
        <v>277</v>
      </c>
      <c r="AM27" s="223">
        <f>'MOH DATA RABAI'!AA26</f>
        <v>206</v>
      </c>
      <c r="AN27" s="223">
        <f>'MOH DATA RABAI'!AB26</f>
        <v>669</v>
      </c>
      <c r="AO27" s="223">
        <f>'MOH DATA RABAI'!AC26</f>
        <v>766</v>
      </c>
      <c r="AP27" s="223">
        <f>'MOH DATA RABAI'!AD26</f>
        <v>766</v>
      </c>
      <c r="AR27" s="419">
        <f>'MOH DATA KALOLENI'!W26</f>
        <v>0</v>
      </c>
      <c r="AS27" s="419">
        <f>'MOH DATA KALOLENI'!X26</f>
        <v>0</v>
      </c>
      <c r="AT27" s="219" t="str">
        <f>'MOH DATA KALOLENI'!Y26</f>
        <v>Under 5 Confirmed 705</v>
      </c>
      <c r="AU27" s="223">
        <f>'MOH DATA KALOLENI'!Z26</f>
        <v>2120</v>
      </c>
      <c r="AV27" s="223">
        <f>'MOH DATA KALOLENI'!AA26</f>
        <v>903</v>
      </c>
      <c r="AW27" s="223">
        <f>'MOH DATA KALOLENI'!AB26</f>
        <v>2468</v>
      </c>
      <c r="AX27" s="223">
        <f>'MOH DATA KALOLENI'!AC26</f>
        <v>2601</v>
      </c>
      <c r="AY27" s="223">
        <f>'MOH DATA KALOLENI'!AD26</f>
        <v>2601</v>
      </c>
      <c r="BA27" s="419">
        <f>'MOH DATA GANZE'!X26</f>
        <v>0</v>
      </c>
      <c r="BB27" s="419">
        <f>'MOH DATA GANZE'!Y26</f>
        <v>0</v>
      </c>
      <c r="BC27" s="219" t="str">
        <f>'MOH DATA GANZE'!Z26</f>
        <v>Under 5 Confirmed 705</v>
      </c>
      <c r="BD27" s="223">
        <f>'MOH DATA GANZE'!AA26</f>
        <v>1840</v>
      </c>
      <c r="BE27" s="223">
        <f>'MOH DATA GANZE'!AB26</f>
        <v>779</v>
      </c>
      <c r="BF27" s="223">
        <f>'MOH DATA GANZE'!AC26</f>
        <v>1799</v>
      </c>
      <c r="BG27" s="223">
        <f>'MOH DATA GANZE'!AD26</f>
        <v>860</v>
      </c>
      <c r="BH27" s="223">
        <f>'MOH DATA GANZE'!AE26</f>
        <v>860</v>
      </c>
    </row>
    <row r="28" spans="2:60" x14ac:dyDescent="0.2">
      <c r="B28" s="416"/>
      <c r="C28" s="381"/>
      <c r="D28" s="420"/>
      <c r="E28" s="219" t="s">
        <v>208</v>
      </c>
      <c r="F28" s="222">
        <f>F27/12</f>
        <v>888.58333333333337</v>
      </c>
      <c r="G28" s="222">
        <f>G27/5</f>
        <v>992.6</v>
      </c>
      <c r="H28" s="222">
        <f>H27/15</f>
        <v>739.4666666666667</v>
      </c>
      <c r="I28" s="223">
        <f>I27/9</f>
        <v>1052.4444444444443</v>
      </c>
      <c r="J28" s="223">
        <f>J27/11</f>
        <v>861.09090909090912</v>
      </c>
      <c r="K28" s="395">
        <v>52360</v>
      </c>
      <c r="L28" s="426"/>
      <c r="Q28" s="419"/>
      <c r="R28" s="420">
        <f>'MOH DATA KF NORTH'!X27</f>
        <v>0</v>
      </c>
      <c r="S28" s="219" t="str">
        <f>'MOH DATA KF NORTH'!Y27</f>
        <v>Under 5 CONFIRMED  705 MONTHLY AVG</v>
      </c>
      <c r="T28" s="222">
        <f>'MOH DATA KF NORTH'!Z27</f>
        <v>179.75</v>
      </c>
      <c r="U28" s="222">
        <f>'MOH DATA KF NORTH'!AA27</f>
        <v>217.2</v>
      </c>
      <c r="V28" s="222">
        <f>'MOH DATA KF NORTH'!AB27</f>
        <v>155.26666666666668</v>
      </c>
      <c r="W28" s="223">
        <f>'MOH DATA KF NORTH'!AC27</f>
        <v>208.66666666666666</v>
      </c>
      <c r="X28" s="223">
        <f>'MOH DATA KF NORTH'!AD27</f>
        <v>0</v>
      </c>
      <c r="Z28" s="419">
        <f>'MOH DATA KF SUD'!W27</f>
        <v>0</v>
      </c>
      <c r="AA28" s="420">
        <f>'MOH DATA KF SUD'!X27</f>
        <v>0</v>
      </c>
      <c r="AB28" s="219" t="str">
        <f>'MOH DATA KF SUD'!Y27</f>
        <v>Under 5 CONFIRMED  705 MONTHLY AVG</v>
      </c>
      <c r="AC28" s="222">
        <f>'MOH DATA KF SUD'!Z27</f>
        <v>355.75</v>
      </c>
      <c r="AD28" s="222">
        <f>'MOH DATA KF SUD'!AA27</f>
        <v>397.8</v>
      </c>
      <c r="AE28" s="222">
        <f>'MOH DATA KF SUD'!AB27</f>
        <v>255.13333333333333</v>
      </c>
      <c r="AF28" s="223">
        <f>'MOH DATA KF SUD'!AC27</f>
        <v>374.11111111111109</v>
      </c>
      <c r="AG28" s="223">
        <f>'MOH DATA KF SUD'!AD27</f>
        <v>0</v>
      </c>
      <c r="AI28" s="419">
        <f>'MOH DATA RABAI'!W27</f>
        <v>0</v>
      </c>
      <c r="AJ28" s="420">
        <f>'MOH DATA RABAI'!X27</f>
        <v>0</v>
      </c>
      <c r="AK28" s="219" t="str">
        <f>'MOH DATA RABAI'!Y27</f>
        <v>Under 5 CONFIRMED  705 MONTHLY AVG</v>
      </c>
      <c r="AL28" s="222">
        <f>'MOH DATA RABAI'!Z27</f>
        <v>23.083333333333332</v>
      </c>
      <c r="AM28" s="222">
        <f>'MOH DATA RABAI'!AA27</f>
        <v>41.2</v>
      </c>
      <c r="AN28" s="222">
        <f>'MOH DATA RABAI'!AB27</f>
        <v>44.6</v>
      </c>
      <c r="AO28" s="223">
        <f>'MOH DATA RABAI'!AC27</f>
        <v>85.111111111111114</v>
      </c>
      <c r="AP28" s="223">
        <f>'MOH DATA RABAI'!AD27</f>
        <v>0</v>
      </c>
      <c r="AR28" s="419">
        <f>'MOH DATA KALOLENI'!W27</f>
        <v>0</v>
      </c>
      <c r="AS28" s="420">
        <f>'MOH DATA KALOLENI'!X27</f>
        <v>0</v>
      </c>
      <c r="AT28" s="219" t="str">
        <f>'MOH DATA KALOLENI'!Y27</f>
        <v>Under 5 CONFIRMED  705 MONTHLY AVG</v>
      </c>
      <c r="AU28" s="222">
        <f>'MOH DATA KALOLENI'!Z27</f>
        <v>176.66666666666666</v>
      </c>
      <c r="AV28" s="222">
        <f>'MOH DATA KALOLENI'!AA27</f>
        <v>180.6</v>
      </c>
      <c r="AW28" s="222">
        <f>'MOH DATA KALOLENI'!AB27</f>
        <v>164.53333333333333</v>
      </c>
      <c r="AX28" s="223">
        <f>'MOH DATA KALOLENI'!AC27</f>
        <v>289</v>
      </c>
      <c r="AY28" s="223">
        <f>'MOH DATA KALOLENI'!AD27</f>
        <v>0</v>
      </c>
      <c r="BA28" s="419">
        <f>'MOH DATA GANZE'!X27</f>
        <v>0</v>
      </c>
      <c r="BB28" s="420">
        <f>'MOH DATA GANZE'!Y27</f>
        <v>0</v>
      </c>
      <c r="BC28" s="219" t="str">
        <f>'MOH DATA GANZE'!Z27</f>
        <v>Under 5 CONFIRMED  705 MONTHLY AVG</v>
      </c>
      <c r="BD28" s="222">
        <f>'MOH DATA GANZE'!AA27</f>
        <v>153.33333333333334</v>
      </c>
      <c r="BE28" s="222">
        <f>'MOH DATA GANZE'!AB27</f>
        <v>155.80000000000001</v>
      </c>
      <c r="BF28" s="222">
        <f>'MOH DATA GANZE'!AC27</f>
        <v>119.93333333333334</v>
      </c>
      <c r="BG28" s="223">
        <f>'MOH DATA GANZE'!AD27</f>
        <v>95.555555555555557</v>
      </c>
      <c r="BH28" s="223">
        <f>'MOH DATA GANZE'!AE27</f>
        <v>0</v>
      </c>
    </row>
    <row r="29" spans="2:60" x14ac:dyDescent="0.2">
      <c r="B29" s="416"/>
      <c r="C29" s="381"/>
      <c r="D29" s="421" t="s">
        <v>190</v>
      </c>
      <c r="E29" s="219" t="s">
        <v>198</v>
      </c>
      <c r="F29" s="223">
        <f>T29+AC29+AL29+AU29+BD29</f>
        <v>181718</v>
      </c>
      <c r="G29" s="223">
        <f>U29+AD29+AM29+AV29+BE29</f>
        <v>70539</v>
      </c>
      <c r="H29" s="223">
        <f t="shared" ref="H29" si="45">V29+AE29+AN29+AW29+BF29</f>
        <v>246351</v>
      </c>
      <c r="I29" s="223">
        <f t="shared" ref="I29" si="46">W29+AF29+AO29+AX29+BG29</f>
        <v>168505</v>
      </c>
      <c r="J29" s="223">
        <f t="shared" ref="J29" si="47">X29+AG29+AP29+AY29+BH29</f>
        <v>168505</v>
      </c>
      <c r="K29" s="395"/>
      <c r="L29" s="426"/>
      <c r="Q29" s="419"/>
      <c r="R29" s="421" t="str">
        <f>'MOH DATA KF NORTH'!X28</f>
        <v>Over 5</v>
      </c>
      <c r="S29" s="219" t="str">
        <f>'MOH DATA KF NORTH'!Y28</f>
        <v>Over 5 Suspected 705</v>
      </c>
      <c r="T29" s="223">
        <f>'MOH DATA KF NORTH'!Z28</f>
        <v>37525</v>
      </c>
      <c r="U29" s="223">
        <f>'MOH DATA KF NORTH'!AA28</f>
        <v>14641</v>
      </c>
      <c r="V29" s="223">
        <f>'MOH DATA KF NORTH'!AB28</f>
        <v>57640</v>
      </c>
      <c r="W29" s="223">
        <f>'MOH DATA KF NORTH'!AC28</f>
        <v>34236</v>
      </c>
      <c r="X29" s="223">
        <f>'MOH DATA KF NORTH'!AD28</f>
        <v>34236</v>
      </c>
      <c r="Z29" s="419">
        <f>'MOH DATA KF SUD'!W28</f>
        <v>0</v>
      </c>
      <c r="AA29" s="421" t="str">
        <f>'MOH DATA KF SUD'!X28</f>
        <v>Over 5</v>
      </c>
      <c r="AB29" s="219" t="str">
        <f>'MOH DATA KF SUD'!Y28</f>
        <v>Over 5 Suspected 705</v>
      </c>
      <c r="AC29" s="223">
        <f>'MOH DATA KF SUD'!Z28</f>
        <v>67693</v>
      </c>
      <c r="AD29" s="223">
        <f>'MOH DATA KF SUD'!AA28</f>
        <v>28912</v>
      </c>
      <c r="AE29" s="223">
        <f>'MOH DATA KF SUD'!AB28</f>
        <v>98692</v>
      </c>
      <c r="AF29" s="223">
        <f>'MOH DATA KF SUD'!AC28</f>
        <v>64080</v>
      </c>
      <c r="AG29" s="223">
        <f>'MOH DATA KF SUD'!AD28</f>
        <v>64080</v>
      </c>
      <c r="AI29" s="419">
        <f>'MOH DATA RABAI'!W28</f>
        <v>0</v>
      </c>
      <c r="AJ29" s="421" t="str">
        <f>'MOH DATA RABAI'!X28</f>
        <v>Over 5</v>
      </c>
      <c r="AK29" s="219" t="str">
        <f>'MOH DATA RABAI'!Y28</f>
        <v>Over 5 Suspected 705</v>
      </c>
      <c r="AL29" s="223">
        <f>'MOH DATA RABAI'!Z28</f>
        <v>9666</v>
      </c>
      <c r="AM29" s="223">
        <f>'MOH DATA RABAI'!AA28</f>
        <v>1316</v>
      </c>
      <c r="AN29" s="223">
        <f>'MOH DATA RABAI'!AB28</f>
        <v>16454</v>
      </c>
      <c r="AO29" s="223">
        <f>'MOH DATA RABAI'!AC28</f>
        <v>13153</v>
      </c>
      <c r="AP29" s="223">
        <f>'MOH DATA RABAI'!AD28</f>
        <v>13153</v>
      </c>
      <c r="AR29" s="419">
        <f>'MOH DATA KALOLENI'!W28</f>
        <v>0</v>
      </c>
      <c r="AS29" s="421" t="str">
        <f>'MOH DATA KALOLENI'!X28</f>
        <v>Over 5</v>
      </c>
      <c r="AT29" s="219" t="str">
        <f>'MOH DATA KALOLENI'!Y28</f>
        <v>Over 5 Suspected 705</v>
      </c>
      <c r="AU29" s="223">
        <f>'MOH DATA KALOLENI'!Z28</f>
        <v>32764</v>
      </c>
      <c r="AV29" s="223">
        <f>'MOH DATA KALOLENI'!AA28</f>
        <v>12858</v>
      </c>
      <c r="AW29" s="223">
        <f>'MOH DATA KALOLENI'!AB28</f>
        <v>37864</v>
      </c>
      <c r="AX29" s="223">
        <f>'MOH DATA KALOLENI'!AC28</f>
        <v>38186</v>
      </c>
      <c r="AY29" s="223">
        <f>'MOH DATA KALOLENI'!AD28</f>
        <v>38186</v>
      </c>
      <c r="BA29" s="419">
        <f>'MOH DATA GANZE'!X28</f>
        <v>0</v>
      </c>
      <c r="BB29" s="421" t="str">
        <f>'MOH DATA GANZE'!Y28</f>
        <v>Over 5</v>
      </c>
      <c r="BC29" s="219" t="str">
        <f>'MOH DATA GANZE'!Z28</f>
        <v>Over 5 Suspected 705</v>
      </c>
      <c r="BD29" s="223">
        <f>'MOH DATA GANZE'!AA28</f>
        <v>34070</v>
      </c>
      <c r="BE29" s="223">
        <f>'MOH DATA GANZE'!AB28</f>
        <v>12812</v>
      </c>
      <c r="BF29" s="223">
        <f>'MOH DATA GANZE'!AC28</f>
        <v>35701</v>
      </c>
      <c r="BG29" s="223">
        <f>'MOH DATA GANZE'!AD28</f>
        <v>18850</v>
      </c>
      <c r="BH29" s="223">
        <f>'MOH DATA GANZE'!AE28</f>
        <v>18850</v>
      </c>
    </row>
    <row r="30" spans="2:60" x14ac:dyDescent="0.2">
      <c r="B30" s="416"/>
      <c r="C30" s="381"/>
      <c r="D30" s="419"/>
      <c r="E30" s="219" t="s">
        <v>209</v>
      </c>
      <c r="F30" s="222">
        <f>F29/12</f>
        <v>15143.166666666666</v>
      </c>
      <c r="G30" s="222">
        <f>G29/5</f>
        <v>14107.8</v>
      </c>
      <c r="H30" s="222">
        <f>H29/15</f>
        <v>16423.400000000001</v>
      </c>
      <c r="I30" s="223">
        <f>I29/9</f>
        <v>18722.777777777777</v>
      </c>
      <c r="J30" s="223">
        <f>J29/11</f>
        <v>15318.636363636364</v>
      </c>
      <c r="K30" s="81" t="s">
        <v>263</v>
      </c>
      <c r="L30" s="426"/>
      <c r="Q30" s="419"/>
      <c r="R30" s="419">
        <f>'MOH DATA KF NORTH'!X29</f>
        <v>0</v>
      </c>
      <c r="S30" s="219" t="str">
        <f>'MOH DATA KF NORTH'!Y29</f>
        <v>Over 5 SUSPECTED  705 MONTHLY AVG</v>
      </c>
      <c r="T30" s="222">
        <f>'MOH DATA KF NORTH'!Z29</f>
        <v>3127.0833333333335</v>
      </c>
      <c r="U30" s="222">
        <f>'MOH DATA KF NORTH'!AA29</f>
        <v>2928.2</v>
      </c>
      <c r="V30" s="222">
        <f>'MOH DATA KF NORTH'!AB29</f>
        <v>3842.6666666666665</v>
      </c>
      <c r="W30" s="223">
        <f>'MOH DATA KF NORTH'!AC29</f>
        <v>3804</v>
      </c>
      <c r="X30" s="223">
        <f>'MOH DATA KF NORTH'!AD29</f>
        <v>0</v>
      </c>
      <c r="Z30" s="419">
        <f>'MOH DATA KF SUD'!W29</f>
        <v>0</v>
      </c>
      <c r="AA30" s="419">
        <f>'MOH DATA KF SUD'!X29</f>
        <v>0</v>
      </c>
      <c r="AB30" s="219" t="str">
        <f>'MOH DATA KF SUD'!Y29</f>
        <v>Over 5 SUSPECTED  705 MONTHLY AVG</v>
      </c>
      <c r="AC30" s="222">
        <f>'MOH DATA KF SUD'!Z29</f>
        <v>5641.083333333333</v>
      </c>
      <c r="AD30" s="222">
        <f>'MOH DATA KF SUD'!AA29</f>
        <v>5782.4</v>
      </c>
      <c r="AE30" s="222">
        <f>'MOH DATA KF SUD'!AB29</f>
        <v>6579.4666666666662</v>
      </c>
      <c r="AF30" s="223">
        <f>'MOH DATA KF SUD'!AC29</f>
        <v>7120</v>
      </c>
      <c r="AG30" s="223">
        <f>'MOH DATA KF SUD'!AD29</f>
        <v>0</v>
      </c>
      <c r="AI30" s="419">
        <f>'MOH DATA RABAI'!W29</f>
        <v>0</v>
      </c>
      <c r="AJ30" s="419">
        <f>'MOH DATA RABAI'!X29</f>
        <v>0</v>
      </c>
      <c r="AK30" s="219" t="str">
        <f>'MOH DATA RABAI'!Y29</f>
        <v>Over 5 SUSPECTED  705 MONTHLY AVG</v>
      </c>
      <c r="AL30" s="222">
        <f>'MOH DATA RABAI'!Z29</f>
        <v>805.5</v>
      </c>
      <c r="AM30" s="222">
        <f>'MOH DATA RABAI'!AA29</f>
        <v>263.2</v>
      </c>
      <c r="AN30" s="222">
        <f>'MOH DATA RABAI'!AB29</f>
        <v>1096.9333333333334</v>
      </c>
      <c r="AO30" s="223">
        <f>'MOH DATA RABAI'!AC29</f>
        <v>1461.4444444444443</v>
      </c>
      <c r="AP30" s="223">
        <f>'MOH DATA RABAI'!AD29</f>
        <v>0</v>
      </c>
      <c r="AR30" s="419">
        <f>'MOH DATA KALOLENI'!W29</f>
        <v>0</v>
      </c>
      <c r="AS30" s="419">
        <f>'MOH DATA KALOLENI'!X29</f>
        <v>0</v>
      </c>
      <c r="AT30" s="219" t="str">
        <f>'MOH DATA KALOLENI'!Y29</f>
        <v>Over 5 SUSPECTED  705 MONTHLY AVG</v>
      </c>
      <c r="AU30" s="222">
        <f>'MOH DATA KALOLENI'!Z29</f>
        <v>2730.3333333333335</v>
      </c>
      <c r="AV30" s="222">
        <f>'MOH DATA KALOLENI'!AA29</f>
        <v>2571.6</v>
      </c>
      <c r="AW30" s="222">
        <f>'MOH DATA KALOLENI'!AB29</f>
        <v>2524.2666666666669</v>
      </c>
      <c r="AX30" s="223">
        <f>'MOH DATA KALOLENI'!AC29</f>
        <v>4242.8888888888887</v>
      </c>
      <c r="AY30" s="223">
        <f>'MOH DATA KALOLENI'!AD29</f>
        <v>0</v>
      </c>
      <c r="BA30" s="419">
        <f>'MOH DATA GANZE'!X29</f>
        <v>0</v>
      </c>
      <c r="BB30" s="419">
        <f>'MOH DATA GANZE'!Y29</f>
        <v>0</v>
      </c>
      <c r="BC30" s="219" t="str">
        <f>'MOH DATA GANZE'!Z29</f>
        <v>Over 5 SUSPECTED  705 MONTHLY AVG</v>
      </c>
      <c r="BD30" s="222">
        <f>'MOH DATA GANZE'!AA29</f>
        <v>2839.1666666666665</v>
      </c>
      <c r="BE30" s="222">
        <f>'MOH DATA GANZE'!AB29</f>
        <v>2562.4</v>
      </c>
      <c r="BF30" s="222">
        <f>'MOH DATA GANZE'!AC29</f>
        <v>2380.0666666666666</v>
      </c>
      <c r="BG30" s="223">
        <f>'MOH DATA GANZE'!AD29</f>
        <v>2094.4444444444443</v>
      </c>
      <c r="BH30" s="223">
        <f>'MOH DATA GANZE'!AE29</f>
        <v>0</v>
      </c>
    </row>
    <row r="31" spans="2:60" x14ac:dyDescent="0.2">
      <c r="B31" s="416"/>
      <c r="C31" s="381"/>
      <c r="D31" s="419"/>
      <c r="E31" s="219" t="s">
        <v>200</v>
      </c>
      <c r="F31" s="223">
        <f>T31+AC31+AL31+AU31+BD31</f>
        <v>46933</v>
      </c>
      <c r="G31" s="223">
        <f>U31+AD31+AM31+AV31+BE31</f>
        <v>18515</v>
      </c>
      <c r="H31" s="223">
        <f t="shared" ref="H31" si="48">V31+AE31+AN31+AW31+BF31</f>
        <v>49728</v>
      </c>
      <c r="I31" s="223">
        <f t="shared" ref="I31" si="49">W31+AF31+AO31+AX31+BG31</f>
        <v>41772</v>
      </c>
      <c r="J31" s="223">
        <f t="shared" ref="J31" si="50">X31+AG31+AP31+AY31+BH31</f>
        <v>41772</v>
      </c>
      <c r="K31" s="395">
        <v>4363</v>
      </c>
      <c r="L31" s="426"/>
      <c r="Q31" s="419"/>
      <c r="R31" s="419">
        <f>'MOH DATA KF NORTH'!X30</f>
        <v>0</v>
      </c>
      <c r="S31" s="219" t="str">
        <f>'MOH DATA KF NORTH'!Y30</f>
        <v>Over 5 Confirmed 705</v>
      </c>
      <c r="T31" s="223">
        <f>'MOH DATA KF NORTH'!Z30</f>
        <v>10488</v>
      </c>
      <c r="U31" s="223">
        <f>'MOH DATA KF NORTH'!AA30</f>
        <v>4438</v>
      </c>
      <c r="V31" s="223">
        <f>'MOH DATA KF NORTH'!AB30</f>
        <v>11571</v>
      </c>
      <c r="W31" s="223">
        <f>'MOH DATA KF NORTH'!AC30</f>
        <v>9880</v>
      </c>
      <c r="X31" s="223">
        <f>'MOH DATA KF NORTH'!AD30</f>
        <v>9880</v>
      </c>
      <c r="Z31" s="419">
        <f>'MOH DATA KF SUD'!W30</f>
        <v>0</v>
      </c>
      <c r="AA31" s="419">
        <f>'MOH DATA KF SUD'!X30</f>
        <v>0</v>
      </c>
      <c r="AB31" s="219" t="str">
        <f>'MOH DATA KF SUD'!Y30</f>
        <v>Over 5 Confirmed 705</v>
      </c>
      <c r="AC31" s="223">
        <f>'MOH DATA KF SUD'!Z30</f>
        <v>16909</v>
      </c>
      <c r="AD31" s="223">
        <f>'MOH DATA KF SUD'!AA30</f>
        <v>6649</v>
      </c>
      <c r="AE31" s="223">
        <f>'MOH DATA KF SUD'!AB30</f>
        <v>16828</v>
      </c>
      <c r="AF31" s="223">
        <f>'MOH DATA KF SUD'!AC30</f>
        <v>14217</v>
      </c>
      <c r="AG31" s="223">
        <f>'MOH DATA KF SUD'!AD30</f>
        <v>14217</v>
      </c>
      <c r="AI31" s="419">
        <f>'MOH DATA RABAI'!W30</f>
        <v>0</v>
      </c>
      <c r="AJ31" s="419">
        <f>'MOH DATA RABAI'!X30</f>
        <v>0</v>
      </c>
      <c r="AK31" s="219" t="str">
        <f>'MOH DATA RABAI'!Y30</f>
        <v>Over 5 Confirmed 705</v>
      </c>
      <c r="AL31" s="223">
        <f>'MOH DATA RABAI'!Z30</f>
        <v>1586</v>
      </c>
      <c r="AM31" s="223">
        <f>'MOH DATA RABAI'!AA30</f>
        <v>741</v>
      </c>
      <c r="AN31" s="223">
        <f>'MOH DATA RABAI'!AB30</f>
        <v>3613</v>
      </c>
      <c r="AO31" s="223">
        <f>'MOH DATA RABAI'!AC30</f>
        <v>4623</v>
      </c>
      <c r="AP31" s="223">
        <f>'MOH DATA RABAI'!AD30</f>
        <v>4623</v>
      </c>
      <c r="AR31" s="419">
        <f>'MOH DATA KALOLENI'!W30</f>
        <v>0</v>
      </c>
      <c r="AS31" s="419">
        <f>'MOH DATA KALOLENI'!X30</f>
        <v>0</v>
      </c>
      <c r="AT31" s="219" t="str">
        <f>'MOH DATA KALOLENI'!Y30</f>
        <v>Over 5 Confirmed 705</v>
      </c>
      <c r="AU31" s="223">
        <f>'MOH DATA KALOLENI'!Z30</f>
        <v>9637</v>
      </c>
      <c r="AV31" s="223">
        <f>'MOH DATA KALOLENI'!AA30</f>
        <v>3353</v>
      </c>
      <c r="AW31" s="223">
        <f>'MOH DATA KALOLENI'!AB30</f>
        <v>8531</v>
      </c>
      <c r="AX31" s="223">
        <f>'MOH DATA KALOLENI'!AC30</f>
        <v>7728</v>
      </c>
      <c r="AY31" s="223">
        <f>'MOH DATA KALOLENI'!AD30</f>
        <v>7728</v>
      </c>
      <c r="BA31" s="419">
        <f>'MOH DATA GANZE'!X30</f>
        <v>0</v>
      </c>
      <c r="BB31" s="419">
        <f>'MOH DATA GANZE'!Y30</f>
        <v>0</v>
      </c>
      <c r="BC31" s="219" t="str">
        <f>'MOH DATA GANZE'!Z30</f>
        <v>Over 5 Confirmed 705</v>
      </c>
      <c r="BD31" s="223">
        <f>'MOH DATA GANZE'!AA30</f>
        <v>8313</v>
      </c>
      <c r="BE31" s="223">
        <f>'MOH DATA GANZE'!AB30</f>
        <v>3334</v>
      </c>
      <c r="BF31" s="223">
        <f>'MOH DATA GANZE'!AC30</f>
        <v>9185</v>
      </c>
      <c r="BG31" s="223">
        <f>'MOH DATA GANZE'!AD30</f>
        <v>5324</v>
      </c>
      <c r="BH31" s="223">
        <f>'MOH DATA GANZE'!AE30</f>
        <v>5324</v>
      </c>
    </row>
    <row r="32" spans="2:60" ht="16" thickBot="1" x14ac:dyDescent="0.25">
      <c r="B32" s="417"/>
      <c r="C32" s="382"/>
      <c r="D32" s="422"/>
      <c r="E32" s="287" t="s">
        <v>210</v>
      </c>
      <c r="F32" s="288">
        <f>F31/12</f>
        <v>3911.0833333333335</v>
      </c>
      <c r="G32" s="288">
        <f>G31/5</f>
        <v>3703</v>
      </c>
      <c r="H32" s="288">
        <f>H31/15</f>
        <v>3315.2</v>
      </c>
      <c r="I32" s="289">
        <f>I31/9</f>
        <v>4641.333333333333</v>
      </c>
      <c r="J32" s="289">
        <f>J31/11</f>
        <v>3797.4545454545455</v>
      </c>
      <c r="K32" s="424"/>
      <c r="L32" s="427"/>
      <c r="Q32" s="420"/>
      <c r="R32" s="420">
        <f>'MOH DATA KF NORTH'!X31</f>
        <v>0</v>
      </c>
      <c r="S32" s="219" t="str">
        <f>'MOH DATA KF NORTH'!Y31</f>
        <v>Over 5 CONFIRMED  705 MONTHLY AVG</v>
      </c>
      <c r="T32" s="222">
        <f>'MOH DATA KF NORTH'!Z31</f>
        <v>874</v>
      </c>
      <c r="U32" s="222">
        <f>'MOH DATA KF NORTH'!AA31</f>
        <v>887.6</v>
      </c>
      <c r="V32" s="222">
        <f>'MOH DATA KF NORTH'!AB31</f>
        <v>771.4</v>
      </c>
      <c r="W32" s="223">
        <f>'MOH DATA KF NORTH'!AC31</f>
        <v>1097.7777777777778</v>
      </c>
      <c r="X32" s="223">
        <f>'MOH DATA KF NORTH'!AD31</f>
        <v>0</v>
      </c>
      <c r="Z32" s="420">
        <f>'MOH DATA KF SUD'!W31</f>
        <v>0</v>
      </c>
      <c r="AA32" s="420">
        <f>'MOH DATA KF SUD'!X31</f>
        <v>0</v>
      </c>
      <c r="AB32" s="219" t="str">
        <f>'MOH DATA KF SUD'!Y31</f>
        <v>Over 5 CONFIRMED  705 MONTHLY AVG</v>
      </c>
      <c r="AC32" s="222">
        <f>'MOH DATA KF SUD'!Z31</f>
        <v>1409.0833333333333</v>
      </c>
      <c r="AD32" s="222">
        <f>'MOH DATA KF SUD'!AA31</f>
        <v>1329.8</v>
      </c>
      <c r="AE32" s="222">
        <f>'MOH DATA KF SUD'!AB31</f>
        <v>1121.8666666666666</v>
      </c>
      <c r="AF32" s="223">
        <f>'MOH DATA KF SUD'!AC31</f>
        <v>1579.6666666666667</v>
      </c>
      <c r="AG32" s="223">
        <f>'MOH DATA KF SUD'!AD31</f>
        <v>0</v>
      </c>
      <c r="AI32" s="420">
        <f>'MOH DATA RABAI'!W31</f>
        <v>0</v>
      </c>
      <c r="AJ32" s="420">
        <f>'MOH DATA RABAI'!X31</f>
        <v>0</v>
      </c>
      <c r="AK32" s="219" t="str">
        <f>'MOH DATA RABAI'!Y31</f>
        <v>Over 5 CONFIRMED  705 MONTHLY AVG</v>
      </c>
      <c r="AL32" s="222">
        <f>'MOH DATA RABAI'!Z31</f>
        <v>132.16666666666666</v>
      </c>
      <c r="AM32" s="222">
        <f>'MOH DATA RABAI'!AA31</f>
        <v>148.19999999999999</v>
      </c>
      <c r="AN32" s="222">
        <f>'MOH DATA RABAI'!AB31</f>
        <v>240.86666666666667</v>
      </c>
      <c r="AO32" s="223">
        <f>'MOH DATA RABAI'!AC31</f>
        <v>513.66666666666663</v>
      </c>
      <c r="AP32" s="223">
        <f>'MOH DATA RABAI'!AD31</f>
        <v>0</v>
      </c>
      <c r="AR32" s="420">
        <f>'MOH DATA KALOLENI'!W31</f>
        <v>0</v>
      </c>
      <c r="AS32" s="420">
        <f>'MOH DATA KALOLENI'!X31</f>
        <v>0</v>
      </c>
      <c r="AT32" s="219" t="str">
        <f>'MOH DATA KALOLENI'!Y31</f>
        <v>Over 5 CONFIRMED  705 MONTHLY AVG</v>
      </c>
      <c r="AU32" s="222">
        <f>'MOH DATA KALOLENI'!Z31</f>
        <v>803.08333333333337</v>
      </c>
      <c r="AV32" s="222">
        <f>'MOH DATA KALOLENI'!AA31</f>
        <v>670.6</v>
      </c>
      <c r="AW32" s="222">
        <f>'MOH DATA KALOLENI'!AB31</f>
        <v>568.73333333333335</v>
      </c>
      <c r="AX32" s="223">
        <f>'MOH DATA KALOLENI'!AC31</f>
        <v>858.66666666666663</v>
      </c>
      <c r="AY32" s="223">
        <f>'MOH DATA KALOLENI'!AD31</f>
        <v>0</v>
      </c>
      <c r="BA32" s="420">
        <f>'MOH DATA GANZE'!X31</f>
        <v>0</v>
      </c>
      <c r="BB32" s="420">
        <f>'MOH DATA GANZE'!Y31</f>
        <v>0</v>
      </c>
      <c r="BC32" s="219" t="str">
        <f>'MOH DATA GANZE'!Z31</f>
        <v>Over 5 CONFIRMED  705 MONTHLY AVG</v>
      </c>
      <c r="BD32" s="222">
        <f>'MOH DATA GANZE'!AA31</f>
        <v>692.75</v>
      </c>
      <c r="BE32" s="222">
        <f>'MOH DATA GANZE'!AB31</f>
        <v>666.8</v>
      </c>
      <c r="BF32" s="222">
        <f>'MOH DATA GANZE'!AC31</f>
        <v>612.33333333333337</v>
      </c>
      <c r="BG32" s="223">
        <f>'MOH DATA GANZE'!AD31</f>
        <v>591.55555555555554</v>
      </c>
      <c r="BH32" s="223">
        <f>'MOH DATA GANZE'!AE31</f>
        <v>0</v>
      </c>
    </row>
    <row r="33" spans="2:60" ht="20" thickTop="1" x14ac:dyDescent="0.2">
      <c r="B33" s="372" t="s">
        <v>58</v>
      </c>
      <c r="C33" s="383" t="s">
        <v>294</v>
      </c>
      <c r="D33" s="375" t="s">
        <v>226</v>
      </c>
      <c r="E33" s="290" t="s">
        <v>201</v>
      </c>
      <c r="F33" s="291">
        <f>F34/F35</f>
        <v>0.47164218215168935</v>
      </c>
      <c r="G33" s="291">
        <f t="shared" ref="G33:J33" si="51">G34/G35</f>
        <v>0.43187462060592685</v>
      </c>
      <c r="H33" s="291">
        <f t="shared" si="51"/>
        <v>0.23762267925235983</v>
      </c>
      <c r="I33" s="291">
        <f t="shared" si="51"/>
        <v>0.25387546012573881</v>
      </c>
      <c r="J33" s="291">
        <f t="shared" si="51"/>
        <v>0.25387546012573881</v>
      </c>
      <c r="K33" s="428" t="s">
        <v>264</v>
      </c>
      <c r="L33" s="425" t="s">
        <v>265</v>
      </c>
      <c r="Q33" s="423" t="str">
        <f>'MOH DATA KF NORTH'!W32</f>
        <v>I.O.S.2</v>
      </c>
      <c r="R33" s="378" t="str">
        <f>'MOH DATA KF NORTH'!X32</f>
        <v>TOTAL</v>
      </c>
      <c r="S33" s="248" t="str">
        <f>'MOH DATA KF NORTH'!Y32</f>
        <v>705 Confirmed/705 Tested *100</v>
      </c>
      <c r="T33" s="249">
        <f>'MOH DATA KF NORTH'!Z32</f>
        <v>0.45681153137531161</v>
      </c>
      <c r="U33" s="249">
        <f>'MOH DATA KF NORTH'!AA32</f>
        <v>0.46793731469716221</v>
      </c>
      <c r="V33" s="249">
        <f>'MOH DATA KF NORTH'!AB32</f>
        <v>0.15687317202871576</v>
      </c>
      <c r="W33" s="249">
        <f>'MOH DATA KF NORTH'!AC32</f>
        <v>0.26476018914658861</v>
      </c>
      <c r="X33" s="249">
        <f>'MOH DATA KF NORTH'!AD32</f>
        <v>0.26476018914658861</v>
      </c>
      <c r="Z33" s="423" t="str">
        <f>'MOH DATA KF SUD'!W32</f>
        <v>I.O.S.2</v>
      </c>
      <c r="AA33" s="378" t="str">
        <f>'MOH DATA KF SUD'!X32</f>
        <v>TOTAL</v>
      </c>
      <c r="AB33" s="248" t="str">
        <f>'MOH DATA KF SUD'!Y32</f>
        <v>705 Confirmed/705 Tested *100</v>
      </c>
      <c r="AC33" s="249">
        <f>'MOH DATA KF SUD'!Z32</f>
        <v>0.43014989641304791</v>
      </c>
      <c r="AD33" s="249">
        <f>'MOH DATA KF SUD'!AA32</f>
        <v>0.31549727893641111</v>
      </c>
      <c r="AE33" s="249">
        <f>'MOH DATA KF SUD'!AB32</f>
        <v>0.10748460606887611</v>
      </c>
      <c r="AF33" s="249">
        <f>'MOH DATA KF SUD'!AC32</f>
        <v>0.22532034853921065</v>
      </c>
      <c r="AG33" s="249">
        <f>'MOH DATA KF SUD'!AD32</f>
        <v>0.22532034853921065</v>
      </c>
      <c r="AI33" s="423" t="str">
        <f>'MOH DATA RABAI'!W32</f>
        <v>I.O.S.2</v>
      </c>
      <c r="AJ33" s="378" t="str">
        <f>'MOH DATA RABAI'!X32</f>
        <v>TOTAL</v>
      </c>
      <c r="AK33" s="248" t="str">
        <f>'MOH DATA RABAI'!Y32</f>
        <v>705 Confirmed/705 Tested *100</v>
      </c>
      <c r="AL33" s="249">
        <f>'MOH DATA RABAI'!Z32</f>
        <v>0.4357894736842105</v>
      </c>
      <c r="AM33" s="249">
        <f>'MOH DATA RABAI'!AA32</f>
        <v>11.548780487804878</v>
      </c>
      <c r="AN33" s="249">
        <f>'MOH DATA RABAI'!AB32</f>
        <v>0.49920413847990447</v>
      </c>
      <c r="AO33" s="249">
        <f>'MOH DATA RABAI'!AC32</f>
        <v>0.36348307028193716</v>
      </c>
      <c r="AP33" s="249">
        <f>'MOH DATA RABAI'!AD32</f>
        <v>0.36348307028193716</v>
      </c>
      <c r="AR33" s="423" t="str">
        <f>'MOH DATA KALOLENI'!W32</f>
        <v>I.O.S.2</v>
      </c>
      <c r="AS33" s="378" t="str">
        <f>'MOH DATA KALOLENI'!X32</f>
        <v>TOTAL</v>
      </c>
      <c r="AT33" s="248" t="str">
        <f>'MOH DATA KALOLENI'!Y32</f>
        <v>705 Confirmed/705 Tested *100</v>
      </c>
      <c r="AU33" s="249">
        <f>'MOH DATA KALOLENI'!Z32</f>
        <v>0.40357682273788276</v>
      </c>
      <c r="AV33" s="249">
        <f>'MOH DATA KALOLENI'!AA32</f>
        <v>0.41200387221684415</v>
      </c>
      <c r="AW33" s="249">
        <f>'MOH DATA KALOLENI'!AB32</f>
        <v>0.20458396999583275</v>
      </c>
      <c r="AX33" s="249">
        <f>'MOH DATA KALOLENI'!AC32</f>
        <v>0.20834678070033888</v>
      </c>
      <c r="AY33" s="249">
        <f>'MOH DATA KALOLENI'!AD32</f>
        <v>0.20834678070033888</v>
      </c>
      <c r="BA33" s="423" t="str">
        <f>'MOH DATA GANZE'!X32</f>
        <v>I.O.S.2</v>
      </c>
      <c r="BB33" s="378" t="str">
        <f>'MOH DATA GANZE'!Y32</f>
        <v>TOTAL</v>
      </c>
      <c r="BC33" s="248" t="str">
        <f>'MOH DATA GANZE'!Z32</f>
        <v>705 Confirmed/705 Tested *100</v>
      </c>
      <c r="BD33" s="249">
        <f>'MOH DATA GANZE'!AA32</f>
        <v>0.86071549677856896</v>
      </c>
      <c r="BE33" s="249">
        <f>'MOH DATA GANZE'!AB32</f>
        <v>0.8628067967275016</v>
      </c>
      <c r="BF33" s="249">
        <f>'MOH DATA GANZE'!AC32</f>
        <v>0.2723239601054071</v>
      </c>
      <c r="BG33" s="249">
        <f>'MOH DATA GANZE'!AD32</f>
        <v>0.4124041347115705</v>
      </c>
      <c r="BH33" s="249">
        <f>'MOH DATA GANZE'!AE32</f>
        <v>0.4124041347115705</v>
      </c>
    </row>
    <row r="34" spans="2:60" x14ac:dyDescent="0.2">
      <c r="B34" s="373"/>
      <c r="C34" s="384"/>
      <c r="D34" s="376"/>
      <c r="E34" s="220" t="s">
        <v>229</v>
      </c>
      <c r="F34" s="224">
        <f>T34+AC34+AL34+AU34+BD34</f>
        <v>57596</v>
      </c>
      <c r="G34" s="224">
        <f>U34+AD34+AM34+AV34+BE34</f>
        <v>23478</v>
      </c>
      <c r="H34" s="224">
        <f t="shared" ref="H34:H35" si="52">V34+AE34+AN34+AW34+BF34</f>
        <v>60820</v>
      </c>
      <c r="I34" s="224">
        <f t="shared" ref="I34:I35" si="53">W34+AF34+AO34+AX34+BG34</f>
        <v>51244</v>
      </c>
      <c r="J34" s="224">
        <f t="shared" ref="J34:J35" si="54">X34+AG34+AP34+AY34+BH34</f>
        <v>51244</v>
      </c>
      <c r="K34" s="395"/>
      <c r="L34" s="426"/>
      <c r="Q34" s="423"/>
      <c r="R34" s="376">
        <f>'MOH DATA KF NORTH'!X33</f>
        <v>0</v>
      </c>
      <c r="S34" s="220" t="str">
        <f>'MOH DATA KF NORTH'!Y33</f>
        <v>705 Confirmed</v>
      </c>
      <c r="T34" s="224">
        <f>'MOH DATA KF NORTH'!Z33</f>
        <v>12645</v>
      </c>
      <c r="U34" s="224">
        <f>'MOH DATA KF NORTH'!AA33</f>
        <v>5524</v>
      </c>
      <c r="V34" s="224">
        <f>'MOH DATA KF NORTH'!AB33</f>
        <v>13900</v>
      </c>
      <c r="W34" s="224">
        <f>'MOH DATA KF NORTH'!AC33</f>
        <v>11758</v>
      </c>
      <c r="X34" s="224">
        <f>'MOH DATA KF NORTH'!AD33</f>
        <v>11758</v>
      </c>
      <c r="Z34" s="423">
        <f>'MOH DATA KF SUD'!W33</f>
        <v>0</v>
      </c>
      <c r="AA34" s="376">
        <f>'MOH DATA KF SUD'!X33</f>
        <v>0</v>
      </c>
      <c r="AB34" s="220" t="str">
        <f>'MOH DATA KF SUD'!Y33</f>
        <v>705 Confirmed</v>
      </c>
      <c r="AC34" s="224">
        <f>'MOH DATA KF SUD'!Z33</f>
        <v>21178</v>
      </c>
      <c r="AD34" s="224">
        <f>'MOH DATA KF SUD'!AA33</f>
        <v>8638</v>
      </c>
      <c r="AE34" s="224">
        <f>'MOH DATA KF SUD'!AB33</f>
        <v>20655</v>
      </c>
      <c r="AF34" s="224">
        <f>'MOH DATA KF SUD'!AC33</f>
        <v>17584</v>
      </c>
      <c r="AG34" s="224">
        <f>'MOH DATA KF SUD'!AD33</f>
        <v>17584</v>
      </c>
      <c r="AI34" s="423">
        <f>'MOH DATA RABAI'!W33</f>
        <v>0</v>
      </c>
      <c r="AJ34" s="376">
        <f>'MOH DATA RABAI'!X33</f>
        <v>0</v>
      </c>
      <c r="AK34" s="220" t="str">
        <f>'MOH DATA RABAI'!Y33</f>
        <v>705 Confirmed</v>
      </c>
      <c r="AL34" s="224">
        <f>'MOH DATA RABAI'!Z33</f>
        <v>1863</v>
      </c>
      <c r="AM34" s="224">
        <f>'MOH DATA RABAI'!AA33</f>
        <v>947</v>
      </c>
      <c r="AN34" s="224">
        <f>'MOH DATA RABAI'!AB33</f>
        <v>4282</v>
      </c>
      <c r="AO34" s="224">
        <f>'MOH DATA RABAI'!AC33</f>
        <v>5389</v>
      </c>
      <c r="AP34" s="224">
        <f>'MOH DATA RABAI'!AD33</f>
        <v>5389</v>
      </c>
      <c r="AR34" s="423">
        <f>'MOH DATA KALOLENI'!W33</f>
        <v>0</v>
      </c>
      <c r="AS34" s="376">
        <f>'MOH DATA KALOLENI'!X33</f>
        <v>0</v>
      </c>
      <c r="AT34" s="220" t="str">
        <f>'MOH DATA KALOLENI'!Y33</f>
        <v>705 Confirmed</v>
      </c>
      <c r="AU34" s="224">
        <f>'MOH DATA KALOLENI'!Z33</f>
        <v>11757</v>
      </c>
      <c r="AV34" s="224">
        <f>'MOH DATA KALOLENI'!AA33</f>
        <v>4256</v>
      </c>
      <c r="AW34" s="224">
        <f>'MOH DATA KALOLENI'!AB33</f>
        <v>10999</v>
      </c>
      <c r="AX34" s="224">
        <f>'MOH DATA KALOLENI'!AC33</f>
        <v>10329</v>
      </c>
      <c r="AY34" s="224">
        <f>'MOH DATA KALOLENI'!AD33</f>
        <v>10329</v>
      </c>
      <c r="BA34" s="423">
        <f>'MOH DATA GANZE'!X33</f>
        <v>0</v>
      </c>
      <c r="BB34" s="376">
        <f>'MOH DATA GANZE'!Y33</f>
        <v>0</v>
      </c>
      <c r="BC34" s="220" t="str">
        <f>'MOH DATA GANZE'!Z33</f>
        <v>705 Confirmed</v>
      </c>
      <c r="BD34" s="224">
        <f>'MOH DATA GANZE'!AA33</f>
        <v>10153</v>
      </c>
      <c r="BE34" s="224">
        <f>'MOH DATA GANZE'!AB33</f>
        <v>4113</v>
      </c>
      <c r="BF34" s="224">
        <f>'MOH DATA GANZE'!AC33</f>
        <v>10984</v>
      </c>
      <c r="BG34" s="224">
        <f>'MOH DATA GANZE'!AD33</f>
        <v>6184</v>
      </c>
      <c r="BH34" s="224">
        <f>'MOH DATA GANZE'!AE33</f>
        <v>6184</v>
      </c>
    </row>
    <row r="35" spans="2:60" x14ac:dyDescent="0.2">
      <c r="B35" s="373"/>
      <c r="C35" s="384"/>
      <c r="D35" s="377"/>
      <c r="E35" s="220" t="s">
        <v>215</v>
      </c>
      <c r="F35" s="224">
        <f>T35+AC35+AL35+AU35+BD35</f>
        <v>122118</v>
      </c>
      <c r="G35" s="224">
        <f>U35+AD35+AM35+AV35+BE35</f>
        <v>54363</v>
      </c>
      <c r="H35" s="224">
        <f t="shared" si="52"/>
        <v>255952</v>
      </c>
      <c r="I35" s="224">
        <f t="shared" si="53"/>
        <v>201847</v>
      </c>
      <c r="J35" s="224">
        <f t="shared" si="54"/>
        <v>201847</v>
      </c>
      <c r="K35" s="429">
        <v>0.38500000000000001</v>
      </c>
      <c r="L35" s="426"/>
      <c r="Q35" s="423"/>
      <c r="R35" s="377">
        <f>'MOH DATA KF NORTH'!X34</f>
        <v>0</v>
      </c>
      <c r="S35" s="220" t="str">
        <f>'MOH DATA KF NORTH'!Y34</f>
        <v>705 Tested</v>
      </c>
      <c r="T35" s="224">
        <f>'MOH DATA KF NORTH'!Z34</f>
        <v>27681</v>
      </c>
      <c r="U35" s="224">
        <f>'MOH DATA KF NORTH'!AA34</f>
        <v>11805</v>
      </c>
      <c r="V35" s="224">
        <f>'MOH DATA KF NORTH'!AB34</f>
        <v>67698</v>
      </c>
      <c r="W35" s="224">
        <f>'MOH DATA KF NORTH'!AC34</f>
        <v>44410</v>
      </c>
      <c r="X35" s="224">
        <f>'MOH DATA KF NORTH'!AD34</f>
        <v>44410</v>
      </c>
      <c r="Z35" s="423">
        <f>'MOH DATA KF SUD'!W34</f>
        <v>0</v>
      </c>
      <c r="AA35" s="377">
        <f>'MOH DATA KF SUD'!X34</f>
        <v>0</v>
      </c>
      <c r="AB35" s="220" t="str">
        <f>'MOH DATA KF SUD'!Y34</f>
        <v>705 Tested</v>
      </c>
      <c r="AC35" s="224">
        <f>'MOH DATA KF SUD'!Z34</f>
        <v>49234</v>
      </c>
      <c r="AD35" s="224">
        <f>'MOH DATA KF SUD'!AA34</f>
        <v>27379</v>
      </c>
      <c r="AE35" s="224">
        <f>'MOH DATA KF SUD'!AB34</f>
        <v>117254</v>
      </c>
      <c r="AF35" s="224">
        <f>'MOH DATA KF SUD'!AC34</f>
        <v>78040</v>
      </c>
      <c r="AG35" s="224">
        <f>'MOH DATA KF SUD'!AD34</f>
        <v>78040</v>
      </c>
      <c r="AI35" s="423">
        <f>'MOH DATA RABAI'!W34</f>
        <v>0</v>
      </c>
      <c r="AJ35" s="377">
        <f>'MOH DATA RABAI'!X34</f>
        <v>0</v>
      </c>
      <c r="AK35" s="220" t="str">
        <f>'MOH DATA RABAI'!Y34</f>
        <v>705 Tested</v>
      </c>
      <c r="AL35" s="224">
        <f>'MOH DATA RABAI'!Z34</f>
        <v>4275</v>
      </c>
      <c r="AM35" s="224">
        <f>'MOH DATA RABAI'!AA34</f>
        <v>82</v>
      </c>
      <c r="AN35" s="224">
        <f>'MOH DATA RABAI'!AB34</f>
        <v>5026</v>
      </c>
      <c r="AO35" s="224">
        <f>'MOH DATA RABAI'!AC34</f>
        <v>14826</v>
      </c>
      <c r="AP35" s="224">
        <f>'MOH DATA RABAI'!AD34</f>
        <v>14826</v>
      </c>
      <c r="AR35" s="423">
        <f>'MOH DATA KALOLENI'!W34</f>
        <v>0</v>
      </c>
      <c r="AS35" s="377">
        <f>'MOH DATA KALOLENI'!X34</f>
        <v>0</v>
      </c>
      <c r="AT35" s="220" t="str">
        <f>'MOH DATA KALOLENI'!Y34</f>
        <v>705 Tested</v>
      </c>
      <c r="AU35" s="224">
        <f>'MOH DATA KALOLENI'!Z34</f>
        <v>29132</v>
      </c>
      <c r="AV35" s="224">
        <f>'MOH DATA KALOLENI'!AA34</f>
        <v>10330</v>
      </c>
      <c r="AW35" s="224">
        <f>'MOH DATA KALOLENI'!AB34</f>
        <v>35995</v>
      </c>
      <c r="AX35" s="224">
        <f>'MOH DATA KALOLENI'!AC34</f>
        <v>49576</v>
      </c>
      <c r="AY35" s="224">
        <f>'MOH DATA KALOLENI'!AD34</f>
        <v>49576</v>
      </c>
      <c r="BA35" s="423">
        <f>'MOH DATA GANZE'!X34</f>
        <v>0</v>
      </c>
      <c r="BB35" s="377">
        <f>'MOH DATA GANZE'!Y34</f>
        <v>0</v>
      </c>
      <c r="BC35" s="220" t="str">
        <f>'MOH DATA GANZE'!Z34</f>
        <v>705 Tested</v>
      </c>
      <c r="BD35" s="224">
        <f>'MOH DATA GANZE'!AA34</f>
        <v>11796</v>
      </c>
      <c r="BE35" s="224">
        <f>'MOH DATA GANZE'!AB34</f>
        <v>4767</v>
      </c>
      <c r="BF35" s="224">
        <f>'MOH DATA GANZE'!AC34</f>
        <v>29979</v>
      </c>
      <c r="BG35" s="224">
        <f>'MOH DATA GANZE'!AD34</f>
        <v>14995</v>
      </c>
      <c r="BH35" s="224">
        <f>'MOH DATA GANZE'!AE34</f>
        <v>14995</v>
      </c>
    </row>
    <row r="36" spans="2:60" x14ac:dyDescent="0.2">
      <c r="B36" s="373"/>
      <c r="C36" s="384"/>
      <c r="D36" s="378" t="s">
        <v>192</v>
      </c>
      <c r="E36" s="248" t="s">
        <v>193</v>
      </c>
      <c r="F36" s="266">
        <f>F37/F38</f>
        <v>0.12205325409310727</v>
      </c>
      <c r="G36" s="266">
        <f t="shared" ref="G36" si="55">G37/G38</f>
        <v>0.1276259940852883</v>
      </c>
      <c r="H36" s="266">
        <f t="shared" ref="H36" si="56">H37/H38</f>
        <v>8.6886528382600983E-2</v>
      </c>
      <c r="I36" s="266">
        <f t="shared" ref="I36" si="57">I37/I38</f>
        <v>7.7596932686692224E-2</v>
      </c>
      <c r="J36" s="266">
        <f t="shared" ref="J36" si="58">J37/J38</f>
        <v>7.7596932686692224E-2</v>
      </c>
      <c r="K36" s="429"/>
      <c r="L36" s="426"/>
      <c r="Q36" s="423"/>
      <c r="R36" s="378" t="str">
        <f>'MOH DATA KF NORTH'!X35</f>
        <v>BS</v>
      </c>
      <c r="S36" s="248" t="str">
        <f>'MOH DATA KF NORTH'!Y35</f>
        <v>BS 706 Confirmed/706 tested *100</v>
      </c>
      <c r="T36" s="249">
        <f>'MOH DATA KF NORTH'!Z35</f>
        <v>0.10181984214989237</v>
      </c>
      <c r="U36" s="249">
        <f>'MOH DATA KF NORTH'!AA35</f>
        <v>0.12061157910113454</v>
      </c>
      <c r="V36" s="249">
        <f>'MOH DATA KF NORTH'!AB35</f>
        <v>7.8657544791964143E-2</v>
      </c>
      <c r="W36" s="249">
        <f>'MOH DATA KF NORTH'!AC35</f>
        <v>6.7210917509443163E-2</v>
      </c>
      <c r="X36" s="249">
        <f>'MOH DATA KF NORTH'!AD35</f>
        <v>6.7210917509443163E-2</v>
      </c>
      <c r="Z36" s="423">
        <f>'MOH DATA KF SUD'!W35</f>
        <v>0</v>
      </c>
      <c r="AA36" s="378" t="str">
        <f>'MOH DATA KF SUD'!X35</f>
        <v>BS</v>
      </c>
      <c r="AB36" s="248" t="str">
        <f>'MOH DATA KF SUD'!Y35</f>
        <v>BS 706 Confirmed/706 tested *100</v>
      </c>
      <c r="AC36" s="249">
        <f>'MOH DATA KF SUD'!Z35</f>
        <v>9.8483458182485523E-2</v>
      </c>
      <c r="AD36" s="249">
        <f>'MOH DATA KF SUD'!AA35</f>
        <v>0.10622065727699531</v>
      </c>
      <c r="AE36" s="249">
        <f>'MOH DATA KF SUD'!AB35</f>
        <v>6.9259502645868637E-2</v>
      </c>
      <c r="AF36" s="249">
        <f>'MOH DATA KF SUD'!AC35</f>
        <v>6.0746096224797826E-2</v>
      </c>
      <c r="AG36" s="249">
        <f>'MOH DATA KF SUD'!AD35</f>
        <v>6.0746096224797826E-2</v>
      </c>
      <c r="AI36" s="423">
        <f>'MOH DATA RABAI'!W35</f>
        <v>0</v>
      </c>
      <c r="AJ36" s="378" t="str">
        <f>'MOH DATA RABAI'!X35</f>
        <v>BS</v>
      </c>
      <c r="AK36" s="248" t="str">
        <f>'MOH DATA RABAI'!Y35</f>
        <v>BS 706 Confirmed/706 tested *100</v>
      </c>
      <c r="AL36" s="249">
        <f>'MOH DATA RABAI'!Z35</f>
        <v>6.9720830350751606E-2</v>
      </c>
      <c r="AM36" s="249">
        <f>'MOH DATA RABAI'!AA35</f>
        <v>8.7706285926200625E-2</v>
      </c>
      <c r="AN36" s="249">
        <f>'MOH DATA RABAI'!AB35</f>
        <v>7.194341529134389E-2</v>
      </c>
      <c r="AO36" s="249">
        <f>'MOH DATA RABAI'!AC35</f>
        <v>0.10313096173268993</v>
      </c>
      <c r="AP36" s="249">
        <f>'MOH DATA RABAI'!AD35</f>
        <v>0.10313096173268993</v>
      </c>
      <c r="AR36" s="423">
        <f>'MOH DATA KALOLENI'!W35</f>
        <v>0</v>
      </c>
      <c r="AS36" s="378" t="str">
        <f>'MOH DATA KALOLENI'!X35</f>
        <v>BS</v>
      </c>
      <c r="AT36" s="248" t="str">
        <f>'MOH DATA KALOLENI'!Y35</f>
        <v>BS 706 Confirmed/706 tested *100</v>
      </c>
      <c r="AU36" s="249">
        <f>'MOH DATA KALOLENI'!Z35</f>
        <v>0.18535950330462647</v>
      </c>
      <c r="AV36" s="249">
        <f>'MOH DATA KALOLENI'!AA35</f>
        <v>0.11071254863813229</v>
      </c>
      <c r="AW36" s="249">
        <f>'MOH DATA KALOLENI'!AB35</f>
        <v>0.10219333874898456</v>
      </c>
      <c r="AX36" s="249">
        <f>'MOH DATA KALOLENI'!AC35</f>
        <v>8.4754596785869413E-2</v>
      </c>
      <c r="AY36" s="249">
        <f>'MOH DATA KALOLENI'!AD35</f>
        <v>8.4754596785869413E-2</v>
      </c>
      <c r="BA36" s="423">
        <f>'MOH DATA GANZE'!X35</f>
        <v>0</v>
      </c>
      <c r="BB36" s="378" t="str">
        <f>'MOH DATA GANZE'!Y35</f>
        <v>BS</v>
      </c>
      <c r="BC36" s="248" t="str">
        <f>'MOH DATA GANZE'!Z35</f>
        <v>BS 706 Confirmed/706 tested *100</v>
      </c>
      <c r="BD36" s="249">
        <f>'MOH DATA GANZE'!AA35</f>
        <v>0.16836388323150034</v>
      </c>
      <c r="BE36" s="249">
        <f>'MOH DATA GANZE'!AB35</f>
        <v>0.2991613896970734</v>
      </c>
      <c r="BF36" s="249">
        <f>'MOH DATA GANZE'!AC35</f>
        <v>0.17113451412158928</v>
      </c>
      <c r="BG36" s="249">
        <f>'MOH DATA GANZE'!AD35</f>
        <v>0.13664959765910753</v>
      </c>
      <c r="BH36" s="249">
        <f>'MOH DATA GANZE'!AE35</f>
        <v>0.13664959765910753</v>
      </c>
    </row>
    <row r="37" spans="2:60" x14ac:dyDescent="0.2">
      <c r="B37" s="373"/>
      <c r="C37" s="384"/>
      <c r="D37" s="376"/>
      <c r="E37" s="220" t="s">
        <v>233</v>
      </c>
      <c r="F37" s="224">
        <f>T37+AC37+AL37+AU37+BD37</f>
        <v>20948</v>
      </c>
      <c r="G37" s="224">
        <f>U37+AD37+AM37+AV37+BE37</f>
        <v>8329</v>
      </c>
      <c r="H37" s="224">
        <f t="shared" ref="H37:H38" si="59">V37+AE37+AN37+AW37+BF37</f>
        <v>19214</v>
      </c>
      <c r="I37" s="224">
        <f t="shared" ref="I37:I38" si="60">W37+AF37+AO37+AX37+BG37</f>
        <v>9168</v>
      </c>
      <c r="J37" s="224">
        <f t="shared" ref="J37:J38" si="61">X37+AG37+AP37+AY37+BH37</f>
        <v>9168</v>
      </c>
      <c r="K37" s="429"/>
      <c r="L37" s="426"/>
      <c r="Q37" s="423"/>
      <c r="R37" s="376">
        <f>'MOH DATA KF NORTH'!X36</f>
        <v>0</v>
      </c>
      <c r="S37" s="220" t="str">
        <f>'MOH DATA KF NORTH'!Y36</f>
        <v>BS 706 Confirmed</v>
      </c>
      <c r="T37" s="224">
        <f>'MOH DATA KF NORTH'!Z36</f>
        <v>4683</v>
      </c>
      <c r="U37" s="224">
        <f>'MOH DATA KF NORTH'!AA36</f>
        <v>2477</v>
      </c>
      <c r="V37" s="224">
        <f>'MOH DATA KF NORTH'!AB36</f>
        <v>6335</v>
      </c>
      <c r="W37" s="224">
        <f>'MOH DATA KF NORTH'!AC36</f>
        <v>2758</v>
      </c>
      <c r="X37" s="250">
        <f>'MOH DATA KF NORTH'!AD36</f>
        <v>2758</v>
      </c>
      <c r="Z37" s="423">
        <f>'MOH DATA KF SUD'!W36</f>
        <v>0</v>
      </c>
      <c r="AA37" s="376">
        <f>'MOH DATA KF SUD'!X36</f>
        <v>0</v>
      </c>
      <c r="AB37" s="220" t="str">
        <f>'MOH DATA KF SUD'!Y36</f>
        <v>BS 706 Confirmed</v>
      </c>
      <c r="AC37" s="224">
        <f>'MOH DATA KF SUD'!Z36</f>
        <v>5903</v>
      </c>
      <c r="AD37" s="224">
        <f>'MOH DATA KF SUD'!AA36</f>
        <v>1810</v>
      </c>
      <c r="AE37" s="224">
        <f>'MOH DATA KF SUD'!AB36</f>
        <v>4005</v>
      </c>
      <c r="AF37" s="224">
        <f>'MOH DATA KF SUD'!AC36</f>
        <v>1630</v>
      </c>
      <c r="AG37" s="250">
        <f>'MOH DATA KF SUD'!AD36</f>
        <v>1630</v>
      </c>
      <c r="AI37" s="423">
        <f>'MOH DATA RABAI'!W36</f>
        <v>0</v>
      </c>
      <c r="AJ37" s="376">
        <f>'MOH DATA RABAI'!X36</f>
        <v>0</v>
      </c>
      <c r="AK37" s="220" t="str">
        <f>'MOH DATA RABAI'!Y36</f>
        <v>BS 706 Confirmed</v>
      </c>
      <c r="AL37" s="224">
        <f>'MOH DATA RABAI'!Z36</f>
        <v>974</v>
      </c>
      <c r="AM37" s="224">
        <f>'MOH DATA RABAI'!AA36</f>
        <v>473</v>
      </c>
      <c r="AN37" s="224">
        <f>'MOH DATA RABAI'!AB36</f>
        <v>1068</v>
      </c>
      <c r="AO37" s="224">
        <f>'MOH DATA RABAI'!AC36</f>
        <v>919</v>
      </c>
      <c r="AP37" s="250">
        <f>'MOH DATA RABAI'!AD36</f>
        <v>919</v>
      </c>
      <c r="AR37" s="423">
        <f>'MOH DATA KALOLENI'!W36</f>
        <v>0</v>
      </c>
      <c r="AS37" s="376">
        <f>'MOH DATA KALOLENI'!X36</f>
        <v>0</v>
      </c>
      <c r="AT37" s="220" t="str">
        <f>'MOH DATA KALOLENI'!Y36</f>
        <v>BS 706 Confirmed</v>
      </c>
      <c r="AU37" s="224">
        <f>'MOH DATA KALOLENI'!Z36</f>
        <v>7404</v>
      </c>
      <c r="AV37" s="224">
        <f>'MOH DATA KALOLENI'!AA36</f>
        <v>1821</v>
      </c>
      <c r="AW37" s="224">
        <f>'MOH DATA KALOLENI'!AB36</f>
        <v>5661</v>
      </c>
      <c r="AX37" s="224">
        <f>'MOH DATA KALOLENI'!AC36</f>
        <v>2927</v>
      </c>
      <c r="AY37" s="250">
        <f>'MOH DATA KALOLENI'!AD36</f>
        <v>2927</v>
      </c>
      <c r="BA37" s="423">
        <f>'MOH DATA GANZE'!X36</f>
        <v>0</v>
      </c>
      <c r="BB37" s="376">
        <f>'MOH DATA GANZE'!Y36</f>
        <v>0</v>
      </c>
      <c r="BC37" s="220" t="str">
        <f>'MOH DATA GANZE'!Z36</f>
        <v>BS 706 Confirmed</v>
      </c>
      <c r="BD37" s="224">
        <f>'MOH DATA GANZE'!AA36</f>
        <v>1984</v>
      </c>
      <c r="BE37" s="224">
        <f>'MOH DATA GANZE'!AB36</f>
        <v>1748</v>
      </c>
      <c r="BF37" s="224">
        <f>'MOH DATA GANZE'!AC36</f>
        <v>2145</v>
      </c>
      <c r="BG37" s="224">
        <f>'MOH DATA GANZE'!AD36</f>
        <v>934</v>
      </c>
      <c r="BH37" s="250">
        <f>'MOH DATA GANZE'!AE36</f>
        <v>934</v>
      </c>
    </row>
    <row r="38" spans="2:60" x14ac:dyDescent="0.2">
      <c r="B38" s="373"/>
      <c r="C38" s="384"/>
      <c r="D38" s="377"/>
      <c r="E38" s="220" t="s">
        <v>234</v>
      </c>
      <c r="F38" s="224">
        <f>T38+AC38+AL38+AU38+BD38</f>
        <v>171630</v>
      </c>
      <c r="G38" s="224">
        <f>U38+AD38+AM38+AV38+BE38</f>
        <v>65261</v>
      </c>
      <c r="H38" s="224">
        <f t="shared" si="59"/>
        <v>221139</v>
      </c>
      <c r="I38" s="224">
        <f t="shared" si="60"/>
        <v>118149</v>
      </c>
      <c r="J38" s="224">
        <f t="shared" si="61"/>
        <v>118149</v>
      </c>
      <c r="K38" s="429"/>
      <c r="L38" s="426"/>
      <c r="Q38" s="423"/>
      <c r="R38" s="377">
        <f>'MOH DATA KF NORTH'!X37</f>
        <v>0</v>
      </c>
      <c r="S38" s="220" t="str">
        <f>'MOH DATA KF NORTH'!Y37</f>
        <v>BS 706 Tested</v>
      </c>
      <c r="T38" s="224">
        <f>'MOH DATA KF NORTH'!Z37</f>
        <v>45993</v>
      </c>
      <c r="U38" s="224">
        <f>'MOH DATA KF NORTH'!AA37</f>
        <v>20537</v>
      </c>
      <c r="V38" s="224">
        <f>'MOH DATA KF NORTH'!AB37</f>
        <v>80539</v>
      </c>
      <c r="W38" s="250">
        <f>'MOH DATA KF NORTH'!AC37</f>
        <v>41035</v>
      </c>
      <c r="X38" s="250">
        <f>'MOH DATA KF NORTH'!AD37</f>
        <v>41035</v>
      </c>
      <c r="Z38" s="423">
        <f>'MOH DATA KF SUD'!W37</f>
        <v>0</v>
      </c>
      <c r="AA38" s="377">
        <f>'MOH DATA KF SUD'!X37</f>
        <v>0</v>
      </c>
      <c r="AB38" s="220" t="str">
        <f>'MOH DATA KF SUD'!Y37</f>
        <v>BS 706 Tested</v>
      </c>
      <c r="AC38" s="224">
        <f>'MOH DATA KF SUD'!Z37</f>
        <v>59939</v>
      </c>
      <c r="AD38" s="224">
        <f>'MOH DATA KF SUD'!AA37</f>
        <v>17040</v>
      </c>
      <c r="AE38" s="224">
        <f>'MOH DATA KF SUD'!AB37</f>
        <v>57826</v>
      </c>
      <c r="AF38" s="250">
        <f>'MOH DATA KF SUD'!AC37</f>
        <v>26833</v>
      </c>
      <c r="AG38" s="250">
        <f>'MOH DATA KF SUD'!AD37</f>
        <v>26833</v>
      </c>
      <c r="AI38" s="423">
        <f>'MOH DATA RABAI'!W37</f>
        <v>0</v>
      </c>
      <c r="AJ38" s="377">
        <f>'MOH DATA RABAI'!X37</f>
        <v>0</v>
      </c>
      <c r="AK38" s="220" t="str">
        <f>'MOH DATA RABAI'!Y37</f>
        <v>BS 706 Tested</v>
      </c>
      <c r="AL38" s="224">
        <f>'MOH DATA RABAI'!Z37</f>
        <v>13970</v>
      </c>
      <c r="AM38" s="224">
        <f>'MOH DATA RABAI'!AA37</f>
        <v>5393</v>
      </c>
      <c r="AN38" s="224">
        <f>'MOH DATA RABAI'!AB37</f>
        <v>14845</v>
      </c>
      <c r="AO38" s="250">
        <f>'MOH DATA RABAI'!AC37</f>
        <v>8911</v>
      </c>
      <c r="AP38" s="250">
        <f>'MOH DATA RABAI'!AD37</f>
        <v>8911</v>
      </c>
      <c r="AR38" s="423">
        <f>'MOH DATA KALOLENI'!W37</f>
        <v>0</v>
      </c>
      <c r="AS38" s="377">
        <f>'MOH DATA KALOLENI'!X37</f>
        <v>0</v>
      </c>
      <c r="AT38" s="220" t="str">
        <f>'MOH DATA KALOLENI'!Y37</f>
        <v>BS 706 Tested</v>
      </c>
      <c r="AU38" s="224">
        <f>'MOH DATA KALOLENI'!Z37</f>
        <v>39944</v>
      </c>
      <c r="AV38" s="224">
        <f>'MOH DATA KALOLENI'!AA37</f>
        <v>16448</v>
      </c>
      <c r="AW38" s="224">
        <f>'MOH DATA KALOLENI'!AB37</f>
        <v>55395</v>
      </c>
      <c r="AX38" s="250">
        <f>'MOH DATA KALOLENI'!AC37</f>
        <v>34535</v>
      </c>
      <c r="AY38" s="250">
        <f>'MOH DATA KALOLENI'!AD37</f>
        <v>34535</v>
      </c>
      <c r="BA38" s="423">
        <f>'MOH DATA GANZE'!X37</f>
        <v>0</v>
      </c>
      <c r="BB38" s="377">
        <f>'MOH DATA GANZE'!Y37</f>
        <v>0</v>
      </c>
      <c r="BC38" s="220" t="str">
        <f>'MOH DATA GANZE'!Z37</f>
        <v>BS 706 Tested</v>
      </c>
      <c r="BD38" s="224">
        <f>'MOH DATA GANZE'!AA37</f>
        <v>11784</v>
      </c>
      <c r="BE38" s="224">
        <f>'MOH DATA GANZE'!AB37</f>
        <v>5843</v>
      </c>
      <c r="BF38" s="224">
        <f>'MOH DATA GANZE'!AC37</f>
        <v>12534</v>
      </c>
      <c r="BG38" s="250">
        <f>'MOH DATA GANZE'!AD37</f>
        <v>6835</v>
      </c>
      <c r="BH38" s="250">
        <f>'MOH DATA GANZE'!AE37</f>
        <v>6835</v>
      </c>
    </row>
    <row r="39" spans="2:60" x14ac:dyDescent="0.2">
      <c r="B39" s="373"/>
      <c r="C39" s="384"/>
      <c r="D39" s="378" t="s">
        <v>230</v>
      </c>
      <c r="E39" s="248" t="s">
        <v>194</v>
      </c>
      <c r="F39" s="266">
        <f>F40/F41</f>
        <v>0.16774923551780688</v>
      </c>
      <c r="G39" s="266">
        <f t="shared" ref="G39" si="62">G40/G41</f>
        <v>0.15329829486069221</v>
      </c>
      <c r="H39" s="266">
        <f t="shared" ref="H39" si="63">H40/H41</f>
        <v>0.17992314827083608</v>
      </c>
      <c r="I39" s="266">
        <f t="shared" ref="I39" si="64">I40/I41</f>
        <v>0.27681164516015611</v>
      </c>
      <c r="J39" s="266">
        <f t="shared" ref="J39" si="65">J40/J41</f>
        <v>0.27681164516015611</v>
      </c>
      <c r="K39" s="429"/>
      <c r="L39" s="426"/>
      <c r="Q39" s="423"/>
      <c r="R39" s="378" t="str">
        <f>'MOH DATA KF NORTH'!X38</f>
        <v>RDT</v>
      </c>
      <c r="S39" s="248" t="str">
        <f>'MOH DATA KF NORTH'!Y38</f>
        <v>RDT 706 Confirmed/706 tested *100</v>
      </c>
      <c r="T39" s="249">
        <f>'MOH DATA KF NORTH'!Z38</f>
        <v>7.7755775577557751E-2</v>
      </c>
      <c r="U39" s="249">
        <f>'MOH DATA KF NORTH'!AA38</f>
        <v>0.1588355464759959</v>
      </c>
      <c r="V39" s="249">
        <f>'MOH DATA KF NORTH'!AB38</f>
        <v>0.2169657422512235</v>
      </c>
      <c r="W39" s="249">
        <f>'MOH DATA KF NORTH'!AC38</f>
        <v>0.33081787907488314</v>
      </c>
      <c r="X39" s="249">
        <f>'MOH DATA KF NORTH'!AD38</f>
        <v>0.33081787907488314</v>
      </c>
      <c r="Z39" s="423">
        <f>'MOH DATA KF SUD'!W38</f>
        <v>0</v>
      </c>
      <c r="AA39" s="378" t="str">
        <f>'MOH DATA KF SUD'!X38</f>
        <v>RDT</v>
      </c>
      <c r="AB39" s="248" t="str">
        <f>'MOH DATA KF SUD'!Y38</f>
        <v>RDT 706 Confirmed/706 tested *100</v>
      </c>
      <c r="AC39" s="249">
        <f>'MOH DATA KF SUD'!Z38</f>
        <v>0.2085249082549458</v>
      </c>
      <c r="AD39" s="249">
        <f>'MOH DATA KF SUD'!AA38</f>
        <v>0.1887618496273247</v>
      </c>
      <c r="AE39" s="249">
        <f>'MOH DATA KF SUD'!AB38</f>
        <v>0.19597835624451593</v>
      </c>
      <c r="AF39" s="249">
        <f>'MOH DATA KF SUD'!AC38</f>
        <v>0.29201425188282731</v>
      </c>
      <c r="AG39" s="249">
        <f>'MOH DATA KF SUD'!AD38</f>
        <v>0.29201425188282731</v>
      </c>
      <c r="AI39" s="423">
        <f>'MOH DATA RABAI'!W38</f>
        <v>0</v>
      </c>
      <c r="AJ39" s="378" t="str">
        <f>'MOH DATA RABAI'!X38</f>
        <v>RDT</v>
      </c>
      <c r="AK39" s="248" t="str">
        <f>'MOH DATA RABAI'!Y38</f>
        <v>RDT 706 Confirmed/706 tested *100</v>
      </c>
      <c r="AL39" s="249">
        <f>'MOH DATA RABAI'!Z38</f>
        <v>0.15065735673397496</v>
      </c>
      <c r="AM39" s="249">
        <f>'MOH DATA RABAI'!AA38</f>
        <v>7.0006341154090046E-2</v>
      </c>
      <c r="AN39" s="249">
        <f>'MOH DATA RABAI'!AB38</f>
        <v>0.10807291666666667</v>
      </c>
      <c r="AO39" s="249">
        <f>'MOH DATA RABAI'!AC38</f>
        <v>0.20385583361033288</v>
      </c>
      <c r="AP39" s="249">
        <f>'MOH DATA RABAI'!AD38</f>
        <v>0.20385583361033288</v>
      </c>
      <c r="AR39" s="423">
        <f>'MOH DATA KALOLENI'!W38</f>
        <v>0</v>
      </c>
      <c r="AS39" s="378" t="str">
        <f>'MOH DATA KALOLENI'!X38</f>
        <v>RDT</v>
      </c>
      <c r="AT39" s="248" t="str">
        <f>'MOH DATA KALOLENI'!Y38</f>
        <v>RDT 706 Confirmed/706 tested *100</v>
      </c>
      <c r="AU39" s="249">
        <f>'MOH DATA KALOLENI'!Z38</f>
        <v>0.14127769066859647</v>
      </c>
      <c r="AV39" s="249">
        <f>'MOH DATA KALOLENI'!AA38</f>
        <v>9.5081270583235955E-2</v>
      </c>
      <c r="AW39" s="249">
        <f>'MOH DATA KALOLENI'!AB38</f>
        <v>0.12480903661867507</v>
      </c>
      <c r="AX39" s="249">
        <f>'MOH DATA KALOLENI'!AC38</f>
        <v>0.30437369830407618</v>
      </c>
      <c r="AY39" s="249">
        <f>'MOH DATA KALOLENI'!AD38</f>
        <v>0.30437369830407618</v>
      </c>
      <c r="BA39" s="423">
        <f>'MOH DATA GANZE'!X38</f>
        <v>0</v>
      </c>
      <c r="BB39" s="378" t="str">
        <f>'MOH DATA GANZE'!Y38</f>
        <v>RDT</v>
      </c>
      <c r="BC39" s="248" t="str">
        <f>'MOH DATA GANZE'!Z38</f>
        <v>RDT 706 Confirmed/706 tested *100</v>
      </c>
      <c r="BD39" s="249">
        <f>'MOH DATA GANZE'!AA38</f>
        <v>0.16042207940197822</v>
      </c>
      <c r="BE39" s="249">
        <f>'MOH DATA GANZE'!AB38</f>
        <v>0.16449619247323696</v>
      </c>
      <c r="BF39" s="249">
        <f>'MOH DATA GANZE'!AC38</f>
        <v>0.21367542291967587</v>
      </c>
      <c r="BG39" s="249">
        <f>'MOH DATA GANZE'!AD38</f>
        <v>0.20666105341940313</v>
      </c>
      <c r="BH39" s="249">
        <f>'MOH DATA GANZE'!AE38</f>
        <v>0.20666105341940313</v>
      </c>
    </row>
    <row r="40" spans="2:60" x14ac:dyDescent="0.2">
      <c r="B40" s="373"/>
      <c r="C40" s="384"/>
      <c r="D40" s="376"/>
      <c r="E40" s="220" t="s">
        <v>235</v>
      </c>
      <c r="F40" s="224">
        <f>T40+AC40+AL40+AU40+BD40</f>
        <v>23424</v>
      </c>
      <c r="G40" s="224">
        <f>U40+AD40+AM40+AV40+BE40</f>
        <v>10267</v>
      </c>
      <c r="H40" s="224">
        <f t="shared" ref="H40:H41" si="66">V40+AE40+AN40+AW40+BF40</f>
        <v>33947</v>
      </c>
      <c r="I40" s="224">
        <f t="shared" ref="I40:I41" si="67">W40+AF40+AO40+AX40+BG40</f>
        <v>39364</v>
      </c>
      <c r="J40" s="224">
        <f t="shared" ref="J40:J41" si="68">X40+AG40+AP40+AY40+BH40</f>
        <v>39364</v>
      </c>
      <c r="K40" s="429"/>
      <c r="L40" s="426"/>
      <c r="Q40" s="423"/>
      <c r="R40" s="376">
        <f>'MOH DATA KF NORTH'!X39</f>
        <v>0</v>
      </c>
      <c r="S40" s="220" t="str">
        <f>'MOH DATA KF NORTH'!Y39</f>
        <v>RDT 706 Confirmed</v>
      </c>
      <c r="T40" s="224">
        <f>'MOH DATA KF NORTH'!Z39</f>
        <v>589</v>
      </c>
      <c r="U40" s="224">
        <f>'MOH DATA KF NORTH'!AA39</f>
        <v>622</v>
      </c>
      <c r="V40" s="224">
        <f>'MOH DATA KF NORTH'!AB39</f>
        <v>5719</v>
      </c>
      <c r="W40" s="250">
        <f>'MOH DATA KF NORTH'!AC39</f>
        <v>10828</v>
      </c>
      <c r="X40" s="250">
        <f>'MOH DATA KF NORTH'!AD39</f>
        <v>10828</v>
      </c>
      <c r="Z40" s="423">
        <f>'MOH DATA KF SUD'!W39</f>
        <v>0</v>
      </c>
      <c r="AA40" s="376">
        <f>'MOH DATA KF SUD'!X39</f>
        <v>0</v>
      </c>
      <c r="AB40" s="220" t="str">
        <f>'MOH DATA KF SUD'!Y39</f>
        <v>RDT 706 Confirmed</v>
      </c>
      <c r="AC40" s="224">
        <f>'MOH DATA KF SUD'!Z39</f>
        <v>9887</v>
      </c>
      <c r="AD40" s="224">
        <f>'MOH DATA KF SUD'!AA39</f>
        <v>5217</v>
      </c>
      <c r="AE40" s="224">
        <f>'MOH DATA KF SUD'!AB39</f>
        <v>13401</v>
      </c>
      <c r="AF40" s="250">
        <f>'MOH DATA KF SUD'!AC39</f>
        <v>13687</v>
      </c>
      <c r="AG40" s="250">
        <f>'MOH DATA KF SUD'!AD39</f>
        <v>13687</v>
      </c>
      <c r="AI40" s="423">
        <f>'MOH DATA RABAI'!W39</f>
        <v>0</v>
      </c>
      <c r="AJ40" s="376">
        <f>'MOH DATA RABAI'!X39</f>
        <v>0</v>
      </c>
      <c r="AK40" s="220" t="str">
        <f>'MOH DATA RABAI'!Y39</f>
        <v>RDT 706 Confirmed</v>
      </c>
      <c r="AL40" s="224">
        <f>'MOH DATA RABAI'!Z39</f>
        <v>2395</v>
      </c>
      <c r="AM40" s="224">
        <f>'MOH DATA RABAI'!AA39</f>
        <v>552</v>
      </c>
      <c r="AN40" s="224">
        <f>'MOH DATA RABAI'!AB39</f>
        <v>3403</v>
      </c>
      <c r="AO40" s="250">
        <f>'MOH DATA RABAI'!AC39</f>
        <v>4293</v>
      </c>
      <c r="AP40" s="250">
        <f>'MOH DATA RABAI'!AD39</f>
        <v>4293</v>
      </c>
      <c r="AR40" s="423">
        <f>'MOH DATA KALOLENI'!W39</f>
        <v>0</v>
      </c>
      <c r="AS40" s="376">
        <f>'MOH DATA KALOLENI'!X39</f>
        <v>0</v>
      </c>
      <c r="AT40" s="220" t="str">
        <f>'MOH DATA KALOLENI'!Y39</f>
        <v>RDT 706 Confirmed</v>
      </c>
      <c r="AU40" s="224">
        <f>'MOH DATA KALOLENI'!Z39</f>
        <v>3514</v>
      </c>
      <c r="AV40" s="224">
        <f>'MOH DATA KALOLENI'!AA39</f>
        <v>895</v>
      </c>
      <c r="AW40" s="224">
        <f>'MOH DATA KALOLENI'!AB39</f>
        <v>2696</v>
      </c>
      <c r="AX40" s="250">
        <f>'MOH DATA KALOLENI'!AC39</f>
        <v>6138</v>
      </c>
      <c r="AY40" s="250">
        <f>'MOH DATA KALOLENI'!AD39</f>
        <v>6138</v>
      </c>
      <c r="BA40" s="423">
        <f>'MOH DATA GANZE'!X39</f>
        <v>0</v>
      </c>
      <c r="BB40" s="376">
        <f>'MOH DATA GANZE'!Y39</f>
        <v>0</v>
      </c>
      <c r="BC40" s="220" t="str">
        <f>'MOH DATA GANZE'!Z39</f>
        <v>RDT 706 Confirmed</v>
      </c>
      <c r="BD40" s="224">
        <f>'MOH DATA GANZE'!AA39</f>
        <v>7039</v>
      </c>
      <c r="BE40" s="224">
        <f>'MOH DATA GANZE'!AB39</f>
        <v>2981</v>
      </c>
      <c r="BF40" s="224">
        <f>'MOH DATA GANZE'!AC39</f>
        <v>8728</v>
      </c>
      <c r="BG40" s="250">
        <f>'MOH DATA GANZE'!AD39</f>
        <v>4418</v>
      </c>
      <c r="BH40" s="250">
        <f>'MOH DATA GANZE'!AE39</f>
        <v>4418</v>
      </c>
    </row>
    <row r="41" spans="2:60" ht="16" thickBot="1" x14ac:dyDescent="0.25">
      <c r="B41" s="374"/>
      <c r="C41" s="385"/>
      <c r="D41" s="379"/>
      <c r="E41" s="292" t="s">
        <v>236</v>
      </c>
      <c r="F41" s="293">
        <f>T41+AC41+AL41+AU41+BD41</f>
        <v>139637</v>
      </c>
      <c r="G41" s="293">
        <f>U41+AD41+AM41+AV41+BE41</f>
        <v>66974</v>
      </c>
      <c r="H41" s="293">
        <f t="shared" si="66"/>
        <v>188675</v>
      </c>
      <c r="I41" s="293">
        <f t="shared" si="67"/>
        <v>142205</v>
      </c>
      <c r="J41" s="293">
        <f t="shared" si="68"/>
        <v>142205</v>
      </c>
      <c r="K41" s="430"/>
      <c r="L41" s="427"/>
      <c r="Q41" s="423"/>
      <c r="R41" s="377">
        <f>'MOH DATA KF NORTH'!X40</f>
        <v>0</v>
      </c>
      <c r="S41" s="220" t="str">
        <f>'MOH DATA KF NORTH'!Y40</f>
        <v>RDT 706 Tested</v>
      </c>
      <c r="T41" s="250">
        <f>'MOH DATA KF NORTH'!Z40</f>
        <v>7575</v>
      </c>
      <c r="U41" s="250">
        <f>'MOH DATA KF NORTH'!AA40</f>
        <v>3916</v>
      </c>
      <c r="V41" s="250">
        <f>'MOH DATA KF NORTH'!AB40</f>
        <v>26359</v>
      </c>
      <c r="W41" s="250">
        <f>'MOH DATA KF NORTH'!AC40</f>
        <v>32731</v>
      </c>
      <c r="X41" s="250">
        <f>'MOH DATA KF NORTH'!AD40</f>
        <v>32731</v>
      </c>
      <c r="Z41" s="423">
        <f>'MOH DATA KF SUD'!W40</f>
        <v>0</v>
      </c>
      <c r="AA41" s="377">
        <f>'MOH DATA KF SUD'!X40</f>
        <v>0</v>
      </c>
      <c r="AB41" s="220" t="str">
        <f>'MOH DATA KF SUD'!Y40</f>
        <v>RDT 706 Tested</v>
      </c>
      <c r="AC41" s="250">
        <f>'MOH DATA KF SUD'!Z40</f>
        <v>47414</v>
      </c>
      <c r="AD41" s="250">
        <f>'MOH DATA KF SUD'!AA40</f>
        <v>27638</v>
      </c>
      <c r="AE41" s="250">
        <f>'MOH DATA KF SUD'!AB40</f>
        <v>68380</v>
      </c>
      <c r="AF41" s="250">
        <f>'MOH DATA KF SUD'!AC40</f>
        <v>46871</v>
      </c>
      <c r="AG41" s="250">
        <f>'MOH DATA KF SUD'!AD40</f>
        <v>46871</v>
      </c>
      <c r="AI41" s="423">
        <f>'MOH DATA RABAI'!W40</f>
        <v>0</v>
      </c>
      <c r="AJ41" s="377">
        <f>'MOH DATA RABAI'!X40</f>
        <v>0</v>
      </c>
      <c r="AK41" s="220" t="str">
        <f>'MOH DATA RABAI'!Y40</f>
        <v>RDT 706 Tested</v>
      </c>
      <c r="AL41" s="250">
        <f>'MOH DATA RABAI'!Z40</f>
        <v>15897</v>
      </c>
      <c r="AM41" s="250">
        <f>'MOH DATA RABAI'!AA40</f>
        <v>7885</v>
      </c>
      <c r="AN41" s="250">
        <f>'MOH DATA RABAI'!AB40</f>
        <v>31488</v>
      </c>
      <c r="AO41" s="250">
        <f>'MOH DATA RABAI'!AC40</f>
        <v>21059</v>
      </c>
      <c r="AP41" s="250">
        <f>'MOH DATA RABAI'!AD40</f>
        <v>21059</v>
      </c>
      <c r="AR41" s="423">
        <f>'MOH DATA KALOLENI'!W40</f>
        <v>0</v>
      </c>
      <c r="AS41" s="377">
        <f>'MOH DATA KALOLENI'!X40</f>
        <v>0</v>
      </c>
      <c r="AT41" s="220" t="str">
        <f>'MOH DATA KALOLENI'!Y40</f>
        <v>RDT 706 Tested</v>
      </c>
      <c r="AU41" s="250">
        <f>'MOH DATA KALOLENI'!Z40</f>
        <v>24873</v>
      </c>
      <c r="AV41" s="250">
        <f>'MOH DATA KALOLENI'!AA40</f>
        <v>9413</v>
      </c>
      <c r="AW41" s="250">
        <f>'MOH DATA KALOLENI'!AB40</f>
        <v>21601</v>
      </c>
      <c r="AX41" s="250">
        <f>'MOH DATA KALOLENI'!AC40</f>
        <v>20166</v>
      </c>
      <c r="AY41" s="250">
        <f>'MOH DATA KALOLENI'!AD40</f>
        <v>20166</v>
      </c>
      <c r="BA41" s="423">
        <f>'MOH DATA GANZE'!X40</f>
        <v>0</v>
      </c>
      <c r="BB41" s="377">
        <f>'MOH DATA GANZE'!Y40</f>
        <v>0</v>
      </c>
      <c r="BC41" s="220" t="str">
        <f>'MOH DATA GANZE'!Z40</f>
        <v>RDT 706 Tested</v>
      </c>
      <c r="BD41" s="250">
        <f>'MOH DATA GANZE'!AA40</f>
        <v>43878</v>
      </c>
      <c r="BE41" s="250">
        <f>'MOH DATA GANZE'!AB40</f>
        <v>18122</v>
      </c>
      <c r="BF41" s="250">
        <f>'MOH DATA GANZE'!AC40</f>
        <v>40847</v>
      </c>
      <c r="BG41" s="250">
        <f>'MOH DATA GANZE'!AD40</f>
        <v>21378</v>
      </c>
      <c r="BH41" s="250">
        <f>'MOH DATA GANZE'!AE40</f>
        <v>21378</v>
      </c>
    </row>
    <row r="42" spans="2:60" ht="16" thickTop="1" x14ac:dyDescent="0.2">
      <c r="F42" s="209"/>
      <c r="G42" s="209"/>
      <c r="H42" s="209"/>
      <c r="I42" s="209"/>
      <c r="J42" s="209"/>
    </row>
    <row r="43" spans="2:60" x14ac:dyDescent="0.2">
      <c r="F43" s="209"/>
      <c r="G43" s="209"/>
      <c r="H43" s="209"/>
      <c r="I43" s="209"/>
      <c r="J43" s="209"/>
    </row>
    <row r="44" spans="2:60" x14ac:dyDescent="0.2">
      <c r="F44" s="209"/>
      <c r="G44" s="209"/>
      <c r="H44" s="209"/>
      <c r="I44" s="209"/>
      <c r="J44" s="209"/>
    </row>
    <row r="45" spans="2:60" x14ac:dyDescent="0.2">
      <c r="F45" s="209"/>
      <c r="G45" s="209"/>
      <c r="H45" s="209"/>
      <c r="I45" s="209"/>
      <c r="J45" s="209"/>
    </row>
    <row r="46" spans="2:60" x14ac:dyDescent="0.2">
      <c r="F46" s="209"/>
      <c r="G46" s="209"/>
      <c r="H46" s="209"/>
      <c r="I46" s="209"/>
      <c r="J46" s="209"/>
    </row>
    <row r="47" spans="2:60" x14ac:dyDescent="0.2">
      <c r="F47" s="209"/>
      <c r="G47" s="209"/>
      <c r="H47" s="209"/>
      <c r="I47" s="209"/>
      <c r="J47" s="209"/>
    </row>
    <row r="48" spans="2:60" x14ac:dyDescent="0.2">
      <c r="F48" s="209"/>
      <c r="G48" s="209"/>
      <c r="H48" s="209"/>
      <c r="I48" s="209"/>
      <c r="J48" s="209"/>
    </row>
    <row r="49" spans="2:60" x14ac:dyDescent="0.2">
      <c r="F49" s="209"/>
      <c r="G49" s="209"/>
      <c r="H49" s="209"/>
      <c r="I49" s="209"/>
      <c r="J49" s="209"/>
    </row>
    <row r="50" spans="2:60" x14ac:dyDescent="0.2">
      <c r="F50" s="209"/>
      <c r="G50" s="209"/>
      <c r="H50" s="209"/>
      <c r="I50" s="209"/>
      <c r="J50" s="209"/>
    </row>
    <row r="51" spans="2:60" x14ac:dyDescent="0.2">
      <c r="F51" s="209"/>
      <c r="G51" s="209"/>
      <c r="H51" s="209"/>
      <c r="I51" s="209"/>
      <c r="J51" s="209"/>
    </row>
    <row r="52" spans="2:60" x14ac:dyDescent="0.2">
      <c r="F52" s="209"/>
      <c r="G52" s="209"/>
      <c r="H52" s="209"/>
      <c r="I52" s="209"/>
      <c r="J52" s="209"/>
    </row>
    <row r="53" spans="2:60" ht="49" thickBot="1" x14ac:dyDescent="0.5">
      <c r="B53" s="448" t="s">
        <v>255</v>
      </c>
      <c r="C53" s="449"/>
      <c r="D53" s="449"/>
      <c r="E53" s="450"/>
      <c r="F53" s="294" t="s">
        <v>185</v>
      </c>
      <c r="G53" s="294" t="s">
        <v>202</v>
      </c>
      <c r="H53" s="294" t="s">
        <v>203</v>
      </c>
      <c r="I53" s="294" t="s">
        <v>187</v>
      </c>
      <c r="J53" s="294" t="s">
        <v>186</v>
      </c>
      <c r="K53" s="393" t="s">
        <v>256</v>
      </c>
      <c r="L53" s="393"/>
      <c r="Q53" s="436" t="str">
        <f>'MOH DATA KF NORTH'!W81</f>
        <v>KADZINUNI</v>
      </c>
      <c r="R53" s="437">
        <f>'MOH DATA KF NORTH'!X81</f>
        <v>0</v>
      </c>
      <c r="S53" s="438">
        <f>'MOH DATA KF NORTH'!Y81</f>
        <v>0</v>
      </c>
      <c r="T53" s="98" t="str">
        <f>'MOH DATA KF NORTH'!Z81</f>
        <v>Baseline 2022</v>
      </c>
      <c r="U53" s="98" t="str">
        <f>'MOH DATA KF NORTH'!AA81</f>
        <v>RI1 (Nov 22-Mar 23)</v>
      </c>
      <c r="V53" s="98" t="str">
        <f>'MOH DATA KF NORTH'!AB81</f>
        <v>RI2 (Apr 23-Jun24)</v>
      </c>
      <c r="W53" s="98" t="str">
        <f>'MOH DATA KF NORTH'!AC81</f>
        <v>RS Jul24-Mar25</v>
      </c>
      <c r="X53" s="98" t="str">
        <f>'MOH DATA KF NORTH'!AD81</f>
        <v>RF (Jul24-May25)</v>
      </c>
      <c r="Z53" s="436" t="str">
        <f>'MOH DATA KF SUD'!W81</f>
        <v>Pingilikani</v>
      </c>
      <c r="AA53" s="437">
        <f>'MOH DATA KF SUD'!X81</f>
        <v>0</v>
      </c>
      <c r="AB53" s="438">
        <f>'MOH DATA KF SUD'!Y81</f>
        <v>0</v>
      </c>
      <c r="AC53" s="98" t="str">
        <f>'MOH DATA KF SUD'!Z81</f>
        <v>Baseline 2022</v>
      </c>
      <c r="AD53" s="98" t="str">
        <f>'MOH DATA KF SUD'!AA81</f>
        <v>RI1 (Nov 22-Mar 23)</v>
      </c>
      <c r="AE53" s="98" t="str">
        <f>'MOH DATA KF SUD'!AB81</f>
        <v>RI2 (Apr 23-Jun24)</v>
      </c>
      <c r="AF53" s="98" t="str">
        <f>'MOH DATA KF SUD'!AC81</f>
        <v>RS Jul24-Mar25</v>
      </c>
      <c r="AG53" s="98" t="str">
        <f>'MOH DATA KF SUD'!AD81</f>
        <v>RF (Jul24-May25)</v>
      </c>
      <c r="AI53" s="436" t="str">
        <f>'MOH DATA RABAI'!W81</f>
        <v>LENGA</v>
      </c>
      <c r="AJ53" s="437">
        <f>'MOH DATA RABAI'!X81</f>
        <v>0</v>
      </c>
      <c r="AK53" s="438">
        <f>'MOH DATA RABAI'!Y81</f>
        <v>0</v>
      </c>
      <c r="AL53" s="98" t="str">
        <f>'MOH DATA RABAI'!Z81</f>
        <v>Baseline 2022</v>
      </c>
      <c r="AM53" s="98" t="str">
        <f>'MOH DATA RABAI'!AA81</f>
        <v>RI1 (Nov 22-Mar 23)</v>
      </c>
      <c r="AN53" s="98" t="str">
        <f>'MOH DATA RABAI'!AB81</f>
        <v>RI2 (Apr 23-Jun24)</v>
      </c>
      <c r="AO53" s="98" t="str">
        <f>'MOH DATA RABAI'!AC81</f>
        <v>RS Jul24-Mar25</v>
      </c>
      <c r="AP53" s="98" t="str">
        <f>'MOH DATA RABAI'!AD81</f>
        <v>RF (Jul24-May25)</v>
      </c>
      <c r="AR53" s="436" t="str">
        <f>'MOH DATA KALOLENI'!W81</f>
        <v>KINARANI</v>
      </c>
      <c r="AS53" s="437">
        <f>'MOH DATA KALOLENI'!X81</f>
        <v>0</v>
      </c>
      <c r="AT53" s="438">
        <f>'MOH DATA KALOLENI'!Y81</f>
        <v>0</v>
      </c>
      <c r="AU53" s="98" t="str">
        <f>'MOH DATA KALOLENI'!Z81</f>
        <v>Baseline 2022</v>
      </c>
      <c r="AV53" s="98" t="str">
        <f>'MOH DATA KALOLENI'!AA81</f>
        <v>RI1 (Nov 22-Mar 23)</v>
      </c>
      <c r="AW53" s="98" t="str">
        <f>'MOH DATA KALOLENI'!AB81</f>
        <v>RI2 (Apr 23-Jun24)</v>
      </c>
      <c r="AX53" s="98" t="str">
        <f>'MOH DATA KALOLENI'!AC81</f>
        <v>RS Jul24-Mar25</v>
      </c>
      <c r="AY53" s="98" t="str">
        <f>'MOH DATA KALOLENI'!AD81</f>
        <v>RF (Jul24-May25)</v>
      </c>
      <c r="BA53" s="436" t="str">
        <f>'MOH DATA GANZE'!X81</f>
        <v>GANZE HC</v>
      </c>
      <c r="BB53" s="437">
        <f>'MOH DATA GANZE'!Y81</f>
        <v>0</v>
      </c>
      <c r="BC53" s="438">
        <f>'MOH DATA GANZE'!Z81</f>
        <v>0</v>
      </c>
      <c r="BD53" s="98" t="str">
        <f>'MOH DATA GANZE'!AA81</f>
        <v>Baseline 2022</v>
      </c>
      <c r="BE53" s="98" t="str">
        <f>'MOH DATA GANZE'!AB81</f>
        <v>RI1 (Nov 22-Mar 23)</v>
      </c>
      <c r="BF53" s="98" t="str">
        <f>'MOH DATA GANZE'!AC81</f>
        <v>RI2 (Apr 23-Jun24)</v>
      </c>
      <c r="BG53" s="98" t="str">
        <f>'MOH DATA GANZE'!AD81</f>
        <v>RS Jul24-Mar25</v>
      </c>
      <c r="BH53" s="98" t="str">
        <f>'MOH DATA GANZE'!AE81</f>
        <v>RF (Jul24-May25)</v>
      </c>
    </row>
    <row r="54" spans="2:60" ht="50" customHeight="1" thickTop="1" x14ac:dyDescent="0.2">
      <c r="B54" s="451" t="s">
        <v>59</v>
      </c>
      <c r="C54" s="462" t="s">
        <v>295</v>
      </c>
      <c r="D54" s="463"/>
      <c r="E54" s="319" t="s">
        <v>204</v>
      </c>
      <c r="F54" s="295">
        <f>T54+T76+AC54+AC76+AL54+AL76+AU54+AU76+BD54+BD76</f>
        <v>1380</v>
      </c>
      <c r="G54" s="295">
        <f t="shared" ref="G54:J54" si="69">U54+U76+AD54+AD76+AM54+AM76+AV54+AV76+BE54+BE76</f>
        <v>492</v>
      </c>
      <c r="H54" s="295">
        <f t="shared" si="69"/>
        <v>1787</v>
      </c>
      <c r="I54" s="295">
        <f t="shared" si="69"/>
        <v>1035</v>
      </c>
      <c r="J54" s="295">
        <f t="shared" si="69"/>
        <v>1035</v>
      </c>
      <c r="K54" s="431">
        <v>132</v>
      </c>
      <c r="L54" s="473" t="s">
        <v>266</v>
      </c>
      <c r="Q54" s="439" t="str">
        <f>'MOH DATA KF NORTH'!W82</f>
        <v>I.R.1.1</v>
      </c>
      <c r="R54" s="238">
        <f>'MOH DATA KF NORTH'!X82</f>
        <v>0</v>
      </c>
      <c r="S54" s="226" t="str">
        <f>'MOH DATA KF NORTH'!Y82</f>
        <v>IPTP3</v>
      </c>
      <c r="T54" s="252">
        <f>'MOH DATA KF NORTH'!Z82</f>
        <v>163</v>
      </c>
      <c r="U54" s="252">
        <f>'MOH DATA KF NORTH'!AA82</f>
        <v>86</v>
      </c>
      <c r="V54" s="252">
        <f>'MOH DATA KF NORTH'!AB82</f>
        <v>211</v>
      </c>
      <c r="W54" s="252">
        <f>'MOH DATA KF NORTH'!AC82</f>
        <v>119</v>
      </c>
      <c r="X54" s="252">
        <f>'MOH DATA KF NORTH'!AD82</f>
        <v>119</v>
      </c>
      <c r="Z54" s="439" t="str">
        <f>'MOH DATA KF SUD'!W82</f>
        <v>I.R.1.1</v>
      </c>
      <c r="AA54" s="238">
        <f>'MOH DATA KF SUD'!X82</f>
        <v>0</v>
      </c>
      <c r="AB54" s="226" t="str">
        <f>'MOH DATA KF SUD'!Y82</f>
        <v>IPTP3</v>
      </c>
      <c r="AC54" s="252">
        <f>'MOH DATA KF SUD'!Z82</f>
        <v>153</v>
      </c>
      <c r="AD54" s="252">
        <f>'MOH DATA KF SUD'!AA82</f>
        <v>77</v>
      </c>
      <c r="AE54" s="252">
        <f>'MOH DATA KF SUD'!AB82</f>
        <v>132</v>
      </c>
      <c r="AF54" s="252">
        <f>'MOH DATA KF SUD'!AC82</f>
        <v>70</v>
      </c>
      <c r="AG54" s="252">
        <f>'MOH DATA KF SUD'!AD82</f>
        <v>70</v>
      </c>
      <c r="AI54" s="439" t="str">
        <f>'MOH DATA RABAI'!W82</f>
        <v>I.R.1.1</v>
      </c>
      <c r="AJ54" s="238">
        <f>'MOH DATA RABAI'!X82</f>
        <v>0</v>
      </c>
      <c r="AK54" s="226" t="str">
        <f>'MOH DATA RABAI'!Y82</f>
        <v>IPTP3</v>
      </c>
      <c r="AL54" s="252">
        <f>'MOH DATA RABAI'!Z82</f>
        <v>65</v>
      </c>
      <c r="AM54" s="252">
        <f>'MOH DATA RABAI'!AA82</f>
        <v>30</v>
      </c>
      <c r="AN54" s="252">
        <f>'MOH DATA RABAI'!AB82</f>
        <v>48</v>
      </c>
      <c r="AO54" s="252">
        <f>'MOH DATA RABAI'!AC82</f>
        <v>5</v>
      </c>
      <c r="AP54" s="252">
        <f>'MOH DATA RABAI'!AD82</f>
        <v>5</v>
      </c>
      <c r="AR54" s="439" t="str">
        <f>'MOH DATA KALOLENI'!W82</f>
        <v>I.R.1.1</v>
      </c>
      <c r="AS54" s="238">
        <f>'MOH DATA KALOLENI'!X82</f>
        <v>0</v>
      </c>
      <c r="AT54" s="226" t="str">
        <f>'MOH DATA KALOLENI'!Y82</f>
        <v>IPTP3</v>
      </c>
      <c r="AU54" s="252">
        <f>'MOH DATA KALOLENI'!Z82</f>
        <v>121</v>
      </c>
      <c r="AV54" s="252">
        <f>'MOH DATA KALOLENI'!AA82</f>
        <v>2</v>
      </c>
      <c r="AW54" s="252">
        <f>'MOH DATA KALOLENI'!AB82</f>
        <v>80</v>
      </c>
      <c r="AX54" s="252">
        <f>'MOH DATA KALOLENI'!AC82</f>
        <v>118</v>
      </c>
      <c r="AY54" s="252">
        <f>'MOH DATA KALOLENI'!AD82</f>
        <v>118</v>
      </c>
      <c r="BA54" s="439" t="str">
        <f>'MOH DATA GANZE'!X82</f>
        <v>I.R.1.1</v>
      </c>
      <c r="BB54" s="238">
        <f>'MOH DATA GANZE'!Y82</f>
        <v>0</v>
      </c>
      <c r="BC54" s="226" t="str">
        <f>'MOH DATA GANZE'!Z82</f>
        <v>IPTP3</v>
      </c>
      <c r="BD54" s="252">
        <f>'MOH DATA GANZE'!AA82</f>
        <v>290</v>
      </c>
      <c r="BE54" s="252">
        <f>'MOH DATA GANZE'!AB82</f>
        <v>173</v>
      </c>
      <c r="BF54" s="252">
        <f>'MOH DATA GANZE'!AC82</f>
        <v>426</v>
      </c>
      <c r="BG54" s="252">
        <f>'MOH DATA GANZE'!AD82</f>
        <v>166</v>
      </c>
      <c r="BH54" s="252">
        <f>'MOH DATA GANZE'!AE82</f>
        <v>166</v>
      </c>
    </row>
    <row r="55" spans="2:60" ht="50" customHeight="1" thickBot="1" x14ac:dyDescent="0.25">
      <c r="B55" s="452"/>
      <c r="C55" s="464"/>
      <c r="D55" s="465"/>
      <c r="E55" s="320" t="s">
        <v>211</v>
      </c>
      <c r="F55" s="335">
        <f>F54/12</f>
        <v>115</v>
      </c>
      <c r="G55" s="335">
        <f>G54/5</f>
        <v>98.4</v>
      </c>
      <c r="H55" s="335">
        <f>H54/15</f>
        <v>119.13333333333334</v>
      </c>
      <c r="I55" s="335">
        <f>I54/9</f>
        <v>115</v>
      </c>
      <c r="J55" s="335">
        <f>J54/11</f>
        <v>94.090909090909093</v>
      </c>
      <c r="K55" s="433"/>
      <c r="L55" s="474"/>
      <c r="Q55" s="439">
        <f>'MOH DATA KF NORTH'!W83</f>
        <v>0</v>
      </c>
      <c r="R55" s="238">
        <f>'MOH DATA KF NORTH'!X83</f>
        <v>0</v>
      </c>
      <c r="S55" s="226" t="str">
        <f>'MOH DATA KF NORTH'!Y83</f>
        <v>IPTP 3 MONTHLY AVERAGE</v>
      </c>
      <c r="T55" s="253">
        <f>'MOH DATA KF NORTH'!Z83</f>
        <v>13.583333333333334</v>
      </c>
      <c r="U55" s="253">
        <f>'MOH DATA KF NORTH'!AA83</f>
        <v>17.2</v>
      </c>
      <c r="V55" s="253">
        <f>'MOH DATA KF NORTH'!AB83</f>
        <v>14.066666666666666</v>
      </c>
      <c r="W55" s="253">
        <f>'MOH DATA KF NORTH'!AC83</f>
        <v>13.222222222222221</v>
      </c>
      <c r="X55" s="226">
        <f>'MOH DATA KF NORTH'!AD83</f>
        <v>0</v>
      </c>
      <c r="Z55" s="439">
        <f>'MOH DATA KF SUD'!W83</f>
        <v>0</v>
      </c>
      <c r="AA55" s="238">
        <f>'MOH DATA KF SUD'!X83</f>
        <v>0</v>
      </c>
      <c r="AB55" s="226" t="str">
        <f>'MOH DATA KF SUD'!Y83</f>
        <v>IPTP 3 MONTHLY AVERAGE</v>
      </c>
      <c r="AC55" s="253">
        <f>'MOH DATA KF SUD'!Z83</f>
        <v>12.75</v>
      </c>
      <c r="AD55" s="253">
        <f>'MOH DATA KF SUD'!AA83</f>
        <v>15.4</v>
      </c>
      <c r="AE55" s="253">
        <f>'MOH DATA KF SUD'!AB83</f>
        <v>8.8000000000000007</v>
      </c>
      <c r="AF55" s="253">
        <f>'MOH DATA KF SUD'!AC83</f>
        <v>7.7777777777777777</v>
      </c>
      <c r="AG55" s="226">
        <f>'MOH DATA KF SUD'!AD83</f>
        <v>0</v>
      </c>
      <c r="AI55" s="439">
        <f>'MOH DATA RABAI'!W83</f>
        <v>0</v>
      </c>
      <c r="AJ55" s="238">
        <f>'MOH DATA RABAI'!X83</f>
        <v>0</v>
      </c>
      <c r="AK55" s="226" t="str">
        <f>'MOH DATA RABAI'!Y83</f>
        <v>IPTP 3 MONTHLY AVERAGE</v>
      </c>
      <c r="AL55" s="253">
        <f>'MOH DATA RABAI'!Z83</f>
        <v>5.416666666666667</v>
      </c>
      <c r="AM55" s="253">
        <f>'MOH DATA RABAI'!AA83</f>
        <v>6</v>
      </c>
      <c r="AN55" s="253">
        <f>'MOH DATA RABAI'!AB83</f>
        <v>3.2</v>
      </c>
      <c r="AO55" s="253">
        <f>'MOH DATA RABAI'!AC83</f>
        <v>0.55555555555555558</v>
      </c>
      <c r="AP55" s="226">
        <f>'MOH DATA RABAI'!AD83</f>
        <v>0</v>
      </c>
      <c r="AR55" s="439">
        <f>'MOH DATA KALOLENI'!W83</f>
        <v>0</v>
      </c>
      <c r="AS55" s="238">
        <f>'MOH DATA KALOLENI'!X83</f>
        <v>0</v>
      </c>
      <c r="AT55" s="226" t="str">
        <f>'MOH DATA KALOLENI'!Y83</f>
        <v>IPTP 3 MONTHLY AVERAGE</v>
      </c>
      <c r="AU55" s="253">
        <f>'MOH DATA KALOLENI'!Z83</f>
        <v>10.083333333333334</v>
      </c>
      <c r="AV55" s="253">
        <f>'MOH DATA KALOLENI'!AA83</f>
        <v>0.4</v>
      </c>
      <c r="AW55" s="253">
        <f>'MOH DATA KALOLENI'!AB83</f>
        <v>5.333333333333333</v>
      </c>
      <c r="AX55" s="253">
        <f>'MOH DATA KALOLENI'!AC83</f>
        <v>13.111111111111111</v>
      </c>
      <c r="AY55" s="226">
        <f>'MOH DATA KALOLENI'!AD83</f>
        <v>0</v>
      </c>
      <c r="BA55" s="439">
        <f>'MOH DATA GANZE'!X83</f>
        <v>0</v>
      </c>
      <c r="BB55" s="238">
        <f>'MOH DATA GANZE'!Y83</f>
        <v>0</v>
      </c>
      <c r="BC55" s="226" t="str">
        <f>'MOH DATA GANZE'!Z83</f>
        <v>IPTP 3 MONTHLY AVERAGE</v>
      </c>
      <c r="BD55" s="253">
        <f>'MOH DATA GANZE'!AA83</f>
        <v>24.166666666666668</v>
      </c>
      <c r="BE55" s="253">
        <f>'MOH DATA GANZE'!AB83</f>
        <v>34.6</v>
      </c>
      <c r="BF55" s="253">
        <f>'MOH DATA GANZE'!AC83</f>
        <v>28.4</v>
      </c>
      <c r="BG55" s="253">
        <f>'MOH DATA GANZE'!AD83</f>
        <v>18.444444444444443</v>
      </c>
      <c r="BH55" s="226">
        <f>'MOH DATA GANZE'!AE83</f>
        <v>0</v>
      </c>
    </row>
    <row r="56" spans="2:60" ht="50" customHeight="1" thickTop="1" x14ac:dyDescent="0.2">
      <c r="B56" s="453" t="s">
        <v>171</v>
      </c>
      <c r="C56" s="466" t="s">
        <v>296</v>
      </c>
      <c r="D56" s="467"/>
      <c r="E56" s="321" t="s">
        <v>212</v>
      </c>
      <c r="F56" s="336">
        <f>F57/F58</f>
        <v>0.51062769843905675</v>
      </c>
      <c r="G56" s="337">
        <v>0</v>
      </c>
      <c r="H56" s="336">
        <f t="shared" ref="H56:J56" si="70">H57/H58</f>
        <v>0.50583774389762226</v>
      </c>
      <c r="I56" s="336">
        <f t="shared" si="70"/>
        <v>0.82363293028957851</v>
      </c>
      <c r="J56" s="336" t="e">
        <f t="shared" si="70"/>
        <v>#DIV/0!</v>
      </c>
      <c r="K56" s="447">
        <v>0.8</v>
      </c>
      <c r="L56" s="479" t="s">
        <v>267</v>
      </c>
      <c r="Q56" s="440" t="str">
        <f>'MOH DATA KF NORTH'!W84</f>
        <v>I.R.1.2</v>
      </c>
      <c r="R56" s="237">
        <f>'MOH DATA KF NORTH'!X84</f>
        <v>0</v>
      </c>
      <c r="S56" s="227" t="str">
        <f>'MOH DATA KF NORTH'!Y84</f>
        <v>Sleep Net / Sensitized</v>
      </c>
      <c r="T56" s="272">
        <f>'MOH DATA KF NORTH'!Z84</f>
        <v>0.94633408919123208</v>
      </c>
      <c r="U56" s="272">
        <f>'MOH DATA KF NORTH'!AA84</f>
        <v>0</v>
      </c>
      <c r="V56" s="272">
        <f>'MOH DATA KF NORTH'!AB84</f>
        <v>0.746500893388922</v>
      </c>
      <c r="W56" s="272">
        <f>'MOH DATA KF NORTH'!AC84</f>
        <v>0.85802469135802473</v>
      </c>
      <c r="X56" s="227">
        <f>'MOH DATA KF NORTH'!AD84</f>
        <v>0</v>
      </c>
      <c r="Z56" s="440" t="str">
        <f>'MOH DATA KF SUD'!W84</f>
        <v>I.R.1.2</v>
      </c>
      <c r="AA56" s="237">
        <f>'MOH DATA KF SUD'!X84</f>
        <v>0</v>
      </c>
      <c r="AB56" s="227" t="str">
        <f>'MOH DATA KF SUD'!Y84</f>
        <v>Sleep Net / Sensitized</v>
      </c>
      <c r="AC56" s="272">
        <f>'MOH DATA KF SUD'!Z84</f>
        <v>0.62815884476534301</v>
      </c>
      <c r="AD56" s="272">
        <f>'MOH DATA KF SUD'!AA84</f>
        <v>0</v>
      </c>
      <c r="AE56" s="272">
        <f>'MOH DATA KF SUD'!AB84</f>
        <v>0.41689306001481846</v>
      </c>
      <c r="AF56" s="272">
        <f>'MOH DATA KF SUD'!AC84</f>
        <v>0.84986720824871109</v>
      </c>
      <c r="AG56" s="227">
        <f>'MOH DATA KF SUD'!AD84</f>
        <v>0</v>
      </c>
      <c r="AI56" s="440" t="str">
        <f>'MOH DATA RABAI'!W84</f>
        <v>I.R.1.2</v>
      </c>
      <c r="AJ56" s="237">
        <f>'MOH DATA RABAI'!X84</f>
        <v>0</v>
      </c>
      <c r="AK56" s="227" t="str">
        <f>'MOH DATA RABAI'!Y84</f>
        <v>Sleep Net / Sensitized</v>
      </c>
      <c r="AL56" s="272">
        <f>'MOH DATA RABAI'!Z84</f>
        <v>0.35039999999999999</v>
      </c>
      <c r="AM56" s="272">
        <f>'MOH DATA RABAI'!AA84</f>
        <v>0</v>
      </c>
      <c r="AN56" s="272">
        <f>'MOH DATA RABAI'!AB84</f>
        <v>0.28533909186412981</v>
      </c>
      <c r="AO56" s="272">
        <f>'MOH DATA RABAI'!AC84</f>
        <v>0.5881668402033442</v>
      </c>
      <c r="AP56" s="227">
        <f>'MOH DATA RABAI'!AD84</f>
        <v>0</v>
      </c>
      <c r="AR56" s="440" t="str">
        <f>'MOH DATA KALOLENI'!W84</f>
        <v>I.R.1.2</v>
      </c>
      <c r="AS56" s="237">
        <f>'MOH DATA KALOLENI'!X84</f>
        <v>0</v>
      </c>
      <c r="AT56" s="227" t="str">
        <f>'MOH DATA KALOLENI'!Y84</f>
        <v>Sleep Net / Sensitized</v>
      </c>
      <c r="AU56" s="272">
        <f>'MOH DATA KALOLENI'!Z84</f>
        <v>0.64605543710021318</v>
      </c>
      <c r="AV56" s="272">
        <f>'MOH DATA KALOLENI'!AA84</f>
        <v>0</v>
      </c>
      <c r="AW56" s="272">
        <f>'MOH DATA KALOLENI'!AB84</f>
        <v>0.510221465076661</v>
      </c>
      <c r="AX56" s="272">
        <f>'MOH DATA KALOLENI'!AC84</f>
        <v>0.92835721426191264</v>
      </c>
      <c r="AY56" s="227">
        <f>'MOH DATA KALOLENI'!AD84</f>
        <v>0</v>
      </c>
      <c r="BA56" s="440" t="str">
        <f>'MOH DATA GANZE'!X84</f>
        <v>I.R.1.2</v>
      </c>
      <c r="BB56" s="237">
        <f>'MOH DATA GANZE'!Y84</f>
        <v>0</v>
      </c>
      <c r="BC56" s="227" t="str">
        <f>'MOH DATA GANZE'!Z84</f>
        <v>Sleep Net / Sensitized</v>
      </c>
      <c r="BD56" s="272">
        <f>'MOH DATA GANZE'!AA84</f>
        <v>0.49346534653465346</v>
      </c>
      <c r="BE56" s="272">
        <f>'MOH DATA GANZE'!AB84</f>
        <v>0</v>
      </c>
      <c r="BF56" s="272">
        <f>'MOH DATA GANZE'!AC84</f>
        <v>0.50808278016399844</v>
      </c>
      <c r="BG56" s="272">
        <f>'MOH DATA GANZE'!AD84</f>
        <v>0.93073144104803496</v>
      </c>
      <c r="BH56" s="227">
        <f>'MOH DATA GANZE'!AE84</f>
        <v>0</v>
      </c>
    </row>
    <row r="57" spans="2:60" ht="50" customHeight="1" x14ac:dyDescent="0.2">
      <c r="B57" s="454"/>
      <c r="C57" s="468"/>
      <c r="D57" s="469"/>
      <c r="E57" s="322" t="s">
        <v>217</v>
      </c>
      <c r="F57" s="237">
        <f>T57+T79+AC57+AC79+AL57+AL79+AU57+AU79+BD57+BD79</f>
        <v>6150</v>
      </c>
      <c r="G57" s="237">
        <f t="shared" ref="G57:I57" si="71">U57+U79+AD57+AD79+AM57+AM79+AV57+AV79+BE57+BE79</f>
        <v>0</v>
      </c>
      <c r="H57" s="237">
        <f t="shared" si="71"/>
        <v>64034</v>
      </c>
      <c r="I57" s="237">
        <f t="shared" si="71"/>
        <v>83308</v>
      </c>
      <c r="J57" s="237">
        <f>X57+X79+AG57+AG79+AP57+AP79+AY57+AY79+BH57+BH79</f>
        <v>0</v>
      </c>
      <c r="K57" s="432"/>
      <c r="L57" s="476"/>
      <c r="Q57" s="440">
        <f>'MOH DATA KF NORTH'!W85</f>
        <v>0</v>
      </c>
      <c r="R57" s="237">
        <f>'MOH DATA KF NORTH'!X85</f>
        <v>0</v>
      </c>
      <c r="S57" s="227" t="str">
        <f>'MOH DATA KF NORTH'!Y85</f>
        <v>Sleep Net</v>
      </c>
      <c r="T57" s="227">
        <f>'MOH DATA KF NORTH'!Z85</f>
        <v>1252</v>
      </c>
      <c r="U57" s="227">
        <f>'MOH DATA KF NORTH'!AA85</f>
        <v>0</v>
      </c>
      <c r="V57" s="227">
        <f>'MOH DATA KF NORTH'!AB85</f>
        <v>10027</v>
      </c>
      <c r="W57" s="227">
        <f>'MOH DATA KF NORTH'!AC85</f>
        <v>8618</v>
      </c>
      <c r="X57" s="227">
        <f>'MOH DATA KF NORTH'!AD85</f>
        <v>0</v>
      </c>
      <c r="Z57" s="440">
        <f>'MOH DATA KF SUD'!W85</f>
        <v>0</v>
      </c>
      <c r="AA57" s="237">
        <f>'MOH DATA KF SUD'!X85</f>
        <v>0</v>
      </c>
      <c r="AB57" s="227" t="str">
        <f>'MOH DATA KF SUD'!Y85</f>
        <v>Sleep Net</v>
      </c>
      <c r="AC57" s="227">
        <f>'MOH DATA KF SUD'!Z85</f>
        <v>522</v>
      </c>
      <c r="AD57" s="227">
        <f>'MOH DATA KF SUD'!AA85</f>
        <v>0</v>
      </c>
      <c r="AE57" s="227">
        <f>'MOH DATA KF SUD'!AB85</f>
        <v>5064</v>
      </c>
      <c r="AF57" s="227">
        <f>'MOH DATA KF SUD'!AC85</f>
        <v>10880</v>
      </c>
      <c r="AG57" s="227">
        <f>'MOH DATA KF SUD'!AD85</f>
        <v>0</v>
      </c>
      <c r="AI57" s="440">
        <f>'MOH DATA RABAI'!W85</f>
        <v>0</v>
      </c>
      <c r="AJ57" s="237">
        <f>'MOH DATA RABAI'!X85</f>
        <v>0</v>
      </c>
      <c r="AK57" s="227" t="str">
        <f>'MOH DATA RABAI'!Y85</f>
        <v>Sleep Net</v>
      </c>
      <c r="AL57" s="227">
        <f>'MOH DATA RABAI'!Z85</f>
        <v>219</v>
      </c>
      <c r="AM57" s="227">
        <f>'MOH DATA RABAI'!AA85</f>
        <v>0</v>
      </c>
      <c r="AN57" s="227">
        <f>'MOH DATA RABAI'!AB85</f>
        <v>4889</v>
      </c>
      <c r="AO57" s="227">
        <f>'MOH DATA RABAI'!AC85</f>
        <v>9603</v>
      </c>
      <c r="AP57" s="227">
        <f>'MOH DATA RABAI'!AD85</f>
        <v>0</v>
      </c>
      <c r="AR57" s="440">
        <f>'MOH DATA KALOLENI'!W85</f>
        <v>0</v>
      </c>
      <c r="AS57" s="237">
        <f>'MOH DATA KALOLENI'!X85</f>
        <v>0</v>
      </c>
      <c r="AT57" s="227" t="str">
        <f>'MOH DATA KALOLENI'!Y85</f>
        <v>Sleep Net</v>
      </c>
      <c r="AU57" s="227">
        <f>'MOH DATA KALOLENI'!Z85</f>
        <v>303</v>
      </c>
      <c r="AV57" s="227">
        <f>'MOH DATA KALOLENI'!AA85</f>
        <v>0</v>
      </c>
      <c r="AW57" s="227">
        <f>'MOH DATA KALOLENI'!AB85</f>
        <v>4193</v>
      </c>
      <c r="AX57" s="227">
        <f>'MOH DATA KALOLENI'!AC85</f>
        <v>8358</v>
      </c>
      <c r="AY57" s="227">
        <f>'MOH DATA KALOLENI'!AD85</f>
        <v>0</v>
      </c>
      <c r="BA57" s="440">
        <f>'MOH DATA GANZE'!X85</f>
        <v>0</v>
      </c>
      <c r="BB57" s="237">
        <f>'MOH DATA GANZE'!Y85</f>
        <v>0</v>
      </c>
      <c r="BC57" s="227" t="str">
        <f>'MOH DATA GANZE'!Z85</f>
        <v>Sleep Net</v>
      </c>
      <c r="BD57" s="227">
        <f>'MOH DATA GANZE'!AA85</f>
        <v>1246</v>
      </c>
      <c r="BE57" s="227">
        <f>'MOH DATA GANZE'!AB85</f>
        <v>0</v>
      </c>
      <c r="BF57" s="227">
        <f>'MOH DATA GANZE'!AC85</f>
        <v>13012</v>
      </c>
      <c r="BG57" s="227">
        <f>'MOH DATA GANZE'!AD85</f>
        <v>17051</v>
      </c>
      <c r="BH57" s="227">
        <f>'MOH DATA GANZE'!AE85</f>
        <v>0</v>
      </c>
    </row>
    <row r="58" spans="2:60" ht="50" customHeight="1" thickBot="1" x14ac:dyDescent="0.25">
      <c r="B58" s="455"/>
      <c r="C58" s="470"/>
      <c r="D58" s="471"/>
      <c r="E58" s="323" t="s">
        <v>218</v>
      </c>
      <c r="F58" s="296">
        <f>T58+T80+AC58+AC80+AL58+AL80+AU58+AU80+BD58+BD80</f>
        <v>12044</v>
      </c>
      <c r="G58" s="296">
        <f t="shared" ref="G58:I58" si="72">U58+U80+AD58+AD80+AM58+AM80+AV58+AV80+BE58+BE80</f>
        <v>0</v>
      </c>
      <c r="H58" s="296">
        <f t="shared" si="72"/>
        <v>126590</v>
      </c>
      <c r="I58" s="296">
        <f t="shared" si="72"/>
        <v>101147</v>
      </c>
      <c r="J58" s="296">
        <f>X58+X80+AG58+AG80+AP58+AP80+AY58+AY80+BH58+BH80</f>
        <v>0</v>
      </c>
      <c r="K58" s="433"/>
      <c r="L58" s="477"/>
      <c r="Q58" s="440">
        <f>'MOH DATA KF NORTH'!W86</f>
        <v>0</v>
      </c>
      <c r="R58" s="237">
        <f>'MOH DATA KF NORTH'!X86</f>
        <v>0</v>
      </c>
      <c r="S58" s="227" t="str">
        <f>'MOH DATA KF NORTH'!Y86</f>
        <v>Sensitised</v>
      </c>
      <c r="T58" s="227">
        <f>'MOH DATA KF NORTH'!Z86</f>
        <v>1323</v>
      </c>
      <c r="U58" s="227">
        <f>'MOH DATA KF NORTH'!AA86</f>
        <v>0</v>
      </c>
      <c r="V58" s="227">
        <f>'MOH DATA KF NORTH'!AB86</f>
        <v>13432</v>
      </c>
      <c r="W58" s="227">
        <f>'MOH DATA KF NORTH'!AC86</f>
        <v>10044</v>
      </c>
      <c r="X58" s="227">
        <f>'MOH DATA KF NORTH'!AD86</f>
        <v>0</v>
      </c>
      <c r="Z58" s="440">
        <f>'MOH DATA KF SUD'!W86</f>
        <v>0</v>
      </c>
      <c r="AA58" s="237">
        <f>'MOH DATA KF SUD'!X86</f>
        <v>0</v>
      </c>
      <c r="AB58" s="227" t="str">
        <f>'MOH DATA KF SUD'!Y86</f>
        <v>Sensitised</v>
      </c>
      <c r="AC58" s="227">
        <f>'MOH DATA KF SUD'!Z86</f>
        <v>831</v>
      </c>
      <c r="AD58" s="227">
        <f>'MOH DATA KF SUD'!AA86</f>
        <v>0</v>
      </c>
      <c r="AE58" s="227">
        <f>'MOH DATA KF SUD'!AB86</f>
        <v>12147</v>
      </c>
      <c r="AF58" s="227">
        <f>'MOH DATA KF SUD'!AC86</f>
        <v>12802</v>
      </c>
      <c r="AG58" s="227">
        <f>'MOH DATA KF SUD'!AD86</f>
        <v>0</v>
      </c>
      <c r="AI58" s="440">
        <f>'MOH DATA RABAI'!W86</f>
        <v>0</v>
      </c>
      <c r="AJ58" s="237">
        <f>'MOH DATA RABAI'!X86</f>
        <v>0</v>
      </c>
      <c r="AK58" s="227" t="str">
        <f>'MOH DATA RABAI'!Y86</f>
        <v>Sensitised</v>
      </c>
      <c r="AL58" s="227">
        <f>'MOH DATA RABAI'!Z86</f>
        <v>625</v>
      </c>
      <c r="AM58" s="227">
        <f>'MOH DATA RABAI'!AA86</f>
        <v>0</v>
      </c>
      <c r="AN58" s="227">
        <f>'MOH DATA RABAI'!AB86</f>
        <v>17134</v>
      </c>
      <c r="AO58" s="227">
        <f>'MOH DATA RABAI'!AC86</f>
        <v>16327</v>
      </c>
      <c r="AP58" s="227">
        <f>'MOH DATA RABAI'!AD86</f>
        <v>0</v>
      </c>
      <c r="AR58" s="440">
        <f>'MOH DATA KALOLENI'!W86</f>
        <v>0</v>
      </c>
      <c r="AS58" s="237">
        <f>'MOH DATA KALOLENI'!X86</f>
        <v>0</v>
      </c>
      <c r="AT58" s="227" t="str">
        <f>'MOH DATA KALOLENI'!Y86</f>
        <v>Sensitised</v>
      </c>
      <c r="AU58" s="227">
        <f>'MOH DATA KALOLENI'!Z86</f>
        <v>469</v>
      </c>
      <c r="AV58" s="227">
        <f>'MOH DATA KALOLENI'!AA86</f>
        <v>0</v>
      </c>
      <c r="AW58" s="227">
        <f>'MOH DATA KALOLENI'!AB86</f>
        <v>8218</v>
      </c>
      <c r="AX58" s="227">
        <f>'MOH DATA KALOLENI'!AC86</f>
        <v>9003</v>
      </c>
      <c r="AY58" s="227">
        <f>'MOH DATA KALOLENI'!AD86</f>
        <v>0</v>
      </c>
      <c r="BA58" s="440">
        <f>'MOH DATA GANZE'!X86</f>
        <v>0</v>
      </c>
      <c r="BB58" s="237">
        <f>'MOH DATA GANZE'!Y86</f>
        <v>0</v>
      </c>
      <c r="BC58" s="227" t="str">
        <f>'MOH DATA GANZE'!Z86</f>
        <v>Sensitised</v>
      </c>
      <c r="BD58" s="227">
        <f>'MOH DATA GANZE'!AA86</f>
        <v>2525</v>
      </c>
      <c r="BE58" s="227">
        <f>'MOH DATA GANZE'!AB86</f>
        <v>0</v>
      </c>
      <c r="BF58" s="227">
        <f>'MOH DATA GANZE'!AC86</f>
        <v>25610</v>
      </c>
      <c r="BG58" s="227">
        <f>'MOH DATA GANZE'!AD86</f>
        <v>18320</v>
      </c>
      <c r="BH58" s="227">
        <f>'MOH DATA GANZE'!AE86</f>
        <v>0</v>
      </c>
    </row>
    <row r="59" spans="2:60" ht="50" customHeight="1" thickTop="1" x14ac:dyDescent="0.2">
      <c r="B59" s="456" t="s">
        <v>180</v>
      </c>
      <c r="C59" s="346" t="s">
        <v>297</v>
      </c>
      <c r="D59" s="347"/>
      <c r="E59" s="324" t="s">
        <v>213</v>
      </c>
      <c r="F59" s="338">
        <f>F60/F61</f>
        <v>0.29425440053138491</v>
      </c>
      <c r="G59" s="339">
        <v>0</v>
      </c>
      <c r="H59" s="338">
        <f t="shared" ref="H59:J59" si="73">H60/H61</f>
        <v>0.33916581088553599</v>
      </c>
      <c r="I59" s="338">
        <f t="shared" si="73"/>
        <v>0.59755603230941101</v>
      </c>
      <c r="J59" s="338" t="e">
        <f t="shared" si="73"/>
        <v>#DIV/0!</v>
      </c>
      <c r="K59" s="447">
        <v>0.6</v>
      </c>
      <c r="L59" s="479" t="s">
        <v>267</v>
      </c>
      <c r="Q59" s="441" t="str">
        <f>'MOH DATA KF NORTH'!W87</f>
        <v>I.R.1.3</v>
      </c>
      <c r="R59" s="239">
        <f>'MOH DATA KF NORTH'!X87</f>
        <v>0</v>
      </c>
      <c r="S59" s="228" t="str">
        <f>'MOH DATA KF NORTH'!Y87</f>
        <v>Access Net / Sensitized</v>
      </c>
      <c r="T59" s="274">
        <f>'MOH DATA KF NORTH'!Z87</f>
        <v>0.71579743008314434</v>
      </c>
      <c r="U59" s="274">
        <f>'MOH DATA KF NORTH'!AA87</f>
        <v>0</v>
      </c>
      <c r="V59" s="274">
        <f>'MOH DATA KF NORTH'!AB87</f>
        <v>0.61070577724836217</v>
      </c>
      <c r="W59" s="274">
        <f>'MOH DATA KF NORTH'!AC87</f>
        <v>0.64635603345280768</v>
      </c>
      <c r="X59" s="228">
        <f>'MOH DATA KF NORTH'!AD87</f>
        <v>0</v>
      </c>
      <c r="Z59" s="441" t="str">
        <f>'MOH DATA KF SUD'!W87</f>
        <v>I.R.1.3</v>
      </c>
      <c r="AA59" s="239">
        <f>'MOH DATA KF SUD'!X87</f>
        <v>0</v>
      </c>
      <c r="AB59" s="228" t="str">
        <f>'MOH DATA KF SUD'!Y87</f>
        <v>Access Net / Sensitized</v>
      </c>
      <c r="AC59" s="274">
        <f>'MOH DATA KF SUD'!Z87</f>
        <v>0.29121540312876054</v>
      </c>
      <c r="AD59" s="274">
        <f>'MOH DATA KF SUD'!AA87</f>
        <v>0</v>
      </c>
      <c r="AE59" s="274">
        <f>'MOH DATA KF SUD'!AB87</f>
        <v>0.23956532477154854</v>
      </c>
      <c r="AF59" s="274">
        <f>'MOH DATA KF SUD'!AC87</f>
        <v>0.76191220121855963</v>
      </c>
      <c r="AG59" s="228">
        <f>'MOH DATA KF SUD'!AD87</f>
        <v>0</v>
      </c>
      <c r="AI59" s="441" t="str">
        <f>'MOH DATA RABAI'!W87</f>
        <v>I.R.1.3</v>
      </c>
      <c r="AJ59" s="239">
        <f>'MOH DATA RABAI'!X87</f>
        <v>0</v>
      </c>
      <c r="AK59" s="228" t="str">
        <f>'MOH DATA RABAI'!Y87</f>
        <v>Access Net / Sensitized</v>
      </c>
      <c r="AL59" s="274">
        <f>'MOH DATA RABAI'!Z87</f>
        <v>0.32479999999999998</v>
      </c>
      <c r="AM59" s="274">
        <f>'MOH DATA RABAI'!AA87</f>
        <v>0</v>
      </c>
      <c r="AN59" s="274">
        <f>'MOH DATA RABAI'!AB87</f>
        <v>0.23135286564725108</v>
      </c>
      <c r="AO59" s="274">
        <f>'MOH DATA RABAI'!AC87</f>
        <v>0.41085318797084586</v>
      </c>
      <c r="AP59" s="228">
        <f>'MOH DATA RABAI'!AD87</f>
        <v>0</v>
      </c>
      <c r="AR59" s="441" t="str">
        <f>'MOH DATA KALOLENI'!W87</f>
        <v>I.R.1.3</v>
      </c>
      <c r="AS59" s="239">
        <f>'MOH DATA KALOLENI'!X87</f>
        <v>0</v>
      </c>
      <c r="AT59" s="228" t="str">
        <f>'MOH DATA KALOLENI'!Y87</f>
        <v>Access Net / Sensitized</v>
      </c>
      <c r="AU59" s="274">
        <f>'MOH DATA KALOLENI'!Z87</f>
        <v>0.52878464818763327</v>
      </c>
      <c r="AV59" s="274">
        <f>'MOH DATA KALOLENI'!AA87</f>
        <v>0</v>
      </c>
      <c r="AW59" s="274">
        <f>'MOH DATA KALOLENI'!AB87</f>
        <v>0.36578242881479678</v>
      </c>
      <c r="AX59" s="274">
        <f>'MOH DATA KALOLENI'!AC87</f>
        <v>0.65289347995112745</v>
      </c>
      <c r="AY59" s="228">
        <f>'MOH DATA KALOLENI'!AD87</f>
        <v>0</v>
      </c>
      <c r="BA59" s="441" t="str">
        <f>'MOH DATA GANZE'!X87</f>
        <v>I.R.1.3</v>
      </c>
      <c r="BB59" s="239">
        <f>'MOH DATA GANZE'!Y87</f>
        <v>0</v>
      </c>
      <c r="BC59" s="228" t="str">
        <f>'MOH DATA GANZE'!Z87</f>
        <v>Access Net / Sensitized</v>
      </c>
      <c r="BD59" s="274">
        <f>'MOH DATA GANZE'!AA87</f>
        <v>8.1980198019801984E-2</v>
      </c>
      <c r="BE59" s="274">
        <f>'MOH DATA GANZE'!AB87</f>
        <v>0</v>
      </c>
      <c r="BF59" s="274">
        <f>'MOH DATA GANZE'!AC87</f>
        <v>0.15767278406872315</v>
      </c>
      <c r="BG59" s="274">
        <f>'MOH DATA GANZE'!AD87</f>
        <v>0.5544759825327511</v>
      </c>
      <c r="BH59" s="228">
        <f>'MOH DATA GANZE'!AE87</f>
        <v>0</v>
      </c>
    </row>
    <row r="60" spans="2:60" ht="50" customHeight="1" x14ac:dyDescent="0.2">
      <c r="B60" s="457"/>
      <c r="C60" s="348"/>
      <c r="D60" s="349"/>
      <c r="E60" s="325" t="s">
        <v>219</v>
      </c>
      <c r="F60" s="239">
        <f>T60+T82+AC60+AC82+AL60+AL82+AU60+AU82+BD60+BD82</f>
        <v>3544</v>
      </c>
      <c r="G60" s="239">
        <f t="shared" ref="G60:J60" si="74">U60+U82+AD60+AD82+AM60+AM82+AV60+AV82+BE60+BE82</f>
        <v>0</v>
      </c>
      <c r="H60" s="239">
        <f t="shared" si="74"/>
        <v>42935</v>
      </c>
      <c r="I60" s="239">
        <f t="shared" si="74"/>
        <v>60441</v>
      </c>
      <c r="J60" s="239">
        <f t="shared" si="74"/>
        <v>0</v>
      </c>
      <c r="K60" s="432"/>
      <c r="L60" s="476"/>
      <c r="Q60" s="441">
        <f>'MOH DATA KF NORTH'!W88</f>
        <v>0</v>
      </c>
      <c r="R60" s="239">
        <f>'MOH DATA KF NORTH'!X88</f>
        <v>0</v>
      </c>
      <c r="S60" s="228" t="str">
        <f>'MOH DATA KF NORTH'!Y88</f>
        <v>Access Net</v>
      </c>
      <c r="T60" s="228">
        <f>'MOH DATA KF NORTH'!Z88</f>
        <v>947</v>
      </c>
      <c r="U60" s="228">
        <f>'MOH DATA KF NORTH'!AA88</f>
        <v>0</v>
      </c>
      <c r="V60" s="228">
        <f>'MOH DATA KF NORTH'!AB88</f>
        <v>8203</v>
      </c>
      <c r="W60" s="228">
        <f>'MOH DATA KF NORTH'!AC88</f>
        <v>6492</v>
      </c>
      <c r="X60" s="228">
        <f>'MOH DATA KF NORTH'!AD88</f>
        <v>0</v>
      </c>
      <c r="Z60" s="441">
        <f>'MOH DATA KF SUD'!W88</f>
        <v>0</v>
      </c>
      <c r="AA60" s="239">
        <f>'MOH DATA KF SUD'!X88</f>
        <v>0</v>
      </c>
      <c r="AB60" s="228" t="str">
        <f>'MOH DATA KF SUD'!Y88</f>
        <v>Access Net</v>
      </c>
      <c r="AC60" s="228">
        <f>'MOH DATA KF SUD'!Z88</f>
        <v>242</v>
      </c>
      <c r="AD60" s="228">
        <f>'MOH DATA KF SUD'!AA88</f>
        <v>0</v>
      </c>
      <c r="AE60" s="228">
        <f>'MOH DATA KF SUD'!AB88</f>
        <v>2910</v>
      </c>
      <c r="AF60" s="228">
        <f>'MOH DATA KF SUD'!AC88</f>
        <v>9754</v>
      </c>
      <c r="AG60" s="228">
        <f>'MOH DATA KF SUD'!AD88</f>
        <v>0</v>
      </c>
      <c r="AI60" s="441">
        <f>'MOH DATA RABAI'!W88</f>
        <v>0</v>
      </c>
      <c r="AJ60" s="239">
        <f>'MOH DATA RABAI'!X88</f>
        <v>0</v>
      </c>
      <c r="AK60" s="228" t="str">
        <f>'MOH DATA RABAI'!Y88</f>
        <v>Access Net</v>
      </c>
      <c r="AL60" s="228">
        <f>'MOH DATA RABAI'!Z88</f>
        <v>203</v>
      </c>
      <c r="AM60" s="228">
        <f>'MOH DATA RABAI'!AA88</f>
        <v>0</v>
      </c>
      <c r="AN60" s="228">
        <f>'MOH DATA RABAI'!AB88</f>
        <v>3964</v>
      </c>
      <c r="AO60" s="228">
        <f>'MOH DATA RABAI'!AC88</f>
        <v>6708</v>
      </c>
      <c r="AP60" s="228">
        <f>'MOH DATA RABAI'!AD88</f>
        <v>0</v>
      </c>
      <c r="AR60" s="441">
        <f>'MOH DATA KALOLENI'!W88</f>
        <v>0</v>
      </c>
      <c r="AS60" s="239">
        <f>'MOH DATA KALOLENI'!X88</f>
        <v>0</v>
      </c>
      <c r="AT60" s="228" t="str">
        <f>'MOH DATA KALOLENI'!Y88</f>
        <v>Access Net</v>
      </c>
      <c r="AU60" s="228">
        <f>'MOH DATA KALOLENI'!Z88</f>
        <v>248</v>
      </c>
      <c r="AV60" s="228">
        <f>'MOH DATA KALOLENI'!AA88</f>
        <v>0</v>
      </c>
      <c r="AW60" s="228">
        <f>'MOH DATA KALOLENI'!AB88</f>
        <v>3006</v>
      </c>
      <c r="AX60" s="228">
        <f>'MOH DATA KALOLENI'!AC88</f>
        <v>5878</v>
      </c>
      <c r="AY60" s="228">
        <f>'MOH DATA KALOLENI'!AD88</f>
        <v>0</v>
      </c>
      <c r="BA60" s="441">
        <f>'MOH DATA GANZE'!X88</f>
        <v>0</v>
      </c>
      <c r="BB60" s="239">
        <f>'MOH DATA GANZE'!Y88</f>
        <v>0</v>
      </c>
      <c r="BC60" s="228" t="str">
        <f>'MOH DATA GANZE'!Z88</f>
        <v>Access Net</v>
      </c>
      <c r="BD60" s="228">
        <f>'MOH DATA GANZE'!AA88</f>
        <v>207</v>
      </c>
      <c r="BE60" s="228">
        <f>'MOH DATA GANZE'!AB88</f>
        <v>0</v>
      </c>
      <c r="BF60" s="228">
        <f>'MOH DATA GANZE'!AC88</f>
        <v>4038</v>
      </c>
      <c r="BG60" s="228">
        <f>'MOH DATA GANZE'!AD88</f>
        <v>10158</v>
      </c>
      <c r="BH60" s="228">
        <f>'MOH DATA GANZE'!AE88</f>
        <v>0</v>
      </c>
    </row>
    <row r="61" spans="2:60" ht="50" customHeight="1" thickBot="1" x14ac:dyDescent="0.25">
      <c r="B61" s="458"/>
      <c r="C61" s="350"/>
      <c r="D61" s="351"/>
      <c r="E61" s="326" t="s">
        <v>218</v>
      </c>
      <c r="F61" s="298">
        <f>T61+T83+AC61+AC83+AL61+AL83+AU61+AU83+BD61+BD83</f>
        <v>12044</v>
      </c>
      <c r="G61" s="298">
        <f t="shared" ref="G61:J61" si="75">U61+U83+AD61+AD83+AM61+AM83+AV61+AV83+BE61+BE83</f>
        <v>0</v>
      </c>
      <c r="H61" s="298">
        <f t="shared" si="75"/>
        <v>126590</v>
      </c>
      <c r="I61" s="298">
        <f t="shared" si="75"/>
        <v>101147</v>
      </c>
      <c r="J61" s="298">
        <f t="shared" si="75"/>
        <v>0</v>
      </c>
      <c r="K61" s="433"/>
      <c r="L61" s="477"/>
      <c r="Q61" s="441">
        <f>'MOH DATA KF NORTH'!W89</f>
        <v>0</v>
      </c>
      <c r="R61" s="239">
        <f>'MOH DATA KF NORTH'!X89</f>
        <v>0</v>
      </c>
      <c r="S61" s="228" t="str">
        <f>'MOH DATA KF NORTH'!Y89</f>
        <v>Sensitised</v>
      </c>
      <c r="T61" s="228">
        <f>'MOH DATA KF NORTH'!Z89</f>
        <v>1323</v>
      </c>
      <c r="U61" s="228">
        <f>'MOH DATA KF NORTH'!AA89</f>
        <v>0</v>
      </c>
      <c r="V61" s="228">
        <f>'MOH DATA KF NORTH'!AB89</f>
        <v>13432</v>
      </c>
      <c r="W61" s="228">
        <f>'MOH DATA KF NORTH'!AC89</f>
        <v>10044</v>
      </c>
      <c r="X61" s="228">
        <f>'MOH DATA KF NORTH'!AD89</f>
        <v>0</v>
      </c>
      <c r="Z61" s="441">
        <f>'MOH DATA KF SUD'!W89</f>
        <v>0</v>
      </c>
      <c r="AA61" s="239">
        <f>'MOH DATA KF SUD'!X89</f>
        <v>0</v>
      </c>
      <c r="AB61" s="228" t="str">
        <f>'MOH DATA KF SUD'!Y89</f>
        <v>Sensitised</v>
      </c>
      <c r="AC61" s="228">
        <f>'MOH DATA KF SUD'!Z89</f>
        <v>831</v>
      </c>
      <c r="AD61" s="228">
        <f>'MOH DATA KF SUD'!AA89</f>
        <v>0</v>
      </c>
      <c r="AE61" s="228">
        <f>'MOH DATA KF SUD'!AB89</f>
        <v>12147</v>
      </c>
      <c r="AF61" s="228">
        <f>'MOH DATA KF SUD'!AC89</f>
        <v>12802</v>
      </c>
      <c r="AG61" s="228">
        <f>'MOH DATA KF SUD'!AD89</f>
        <v>0</v>
      </c>
      <c r="AI61" s="441">
        <f>'MOH DATA RABAI'!W89</f>
        <v>0</v>
      </c>
      <c r="AJ61" s="239">
        <f>'MOH DATA RABAI'!X89</f>
        <v>0</v>
      </c>
      <c r="AK61" s="228" t="str">
        <f>'MOH DATA RABAI'!Y89</f>
        <v>Sensitised</v>
      </c>
      <c r="AL61" s="228">
        <f>'MOH DATA RABAI'!Z89</f>
        <v>625</v>
      </c>
      <c r="AM61" s="228">
        <f>'MOH DATA RABAI'!AA89</f>
        <v>0</v>
      </c>
      <c r="AN61" s="228">
        <f>'MOH DATA RABAI'!AB89</f>
        <v>17134</v>
      </c>
      <c r="AO61" s="228">
        <f>'MOH DATA RABAI'!AC89</f>
        <v>16327</v>
      </c>
      <c r="AP61" s="228">
        <f>'MOH DATA RABAI'!AD89</f>
        <v>0</v>
      </c>
      <c r="AR61" s="441">
        <f>'MOH DATA KALOLENI'!W89</f>
        <v>0</v>
      </c>
      <c r="AS61" s="239">
        <f>'MOH DATA KALOLENI'!X89</f>
        <v>0</v>
      </c>
      <c r="AT61" s="228" t="str">
        <f>'MOH DATA KALOLENI'!Y89</f>
        <v>Sensitised</v>
      </c>
      <c r="AU61" s="228">
        <f>'MOH DATA KALOLENI'!Z89</f>
        <v>469</v>
      </c>
      <c r="AV61" s="228">
        <f>'MOH DATA KALOLENI'!AA89</f>
        <v>0</v>
      </c>
      <c r="AW61" s="228">
        <f>'MOH DATA KALOLENI'!AB89</f>
        <v>8218</v>
      </c>
      <c r="AX61" s="228">
        <f>'MOH DATA KALOLENI'!AC89</f>
        <v>9003</v>
      </c>
      <c r="AY61" s="228">
        <f>'MOH DATA KALOLENI'!AD89</f>
        <v>0</v>
      </c>
      <c r="BA61" s="441">
        <f>'MOH DATA GANZE'!X89</f>
        <v>0</v>
      </c>
      <c r="BB61" s="239">
        <f>'MOH DATA GANZE'!Y89</f>
        <v>0</v>
      </c>
      <c r="BC61" s="228" t="str">
        <f>'MOH DATA GANZE'!Z89</f>
        <v>Sensitised</v>
      </c>
      <c r="BD61" s="228">
        <f>'MOH DATA GANZE'!AA89</f>
        <v>2525</v>
      </c>
      <c r="BE61" s="228">
        <f>'MOH DATA GANZE'!AB89</f>
        <v>0</v>
      </c>
      <c r="BF61" s="228">
        <f>'MOH DATA GANZE'!AC89</f>
        <v>25610</v>
      </c>
      <c r="BG61" s="228">
        <f>'MOH DATA GANZE'!AD89</f>
        <v>18320</v>
      </c>
      <c r="BH61" s="228">
        <f>'MOH DATA GANZE'!AE89</f>
        <v>0</v>
      </c>
    </row>
    <row r="62" spans="2:60" ht="50" customHeight="1" thickTop="1" x14ac:dyDescent="0.2">
      <c r="B62" s="459" t="s">
        <v>173</v>
      </c>
      <c r="C62" s="352" t="s">
        <v>298</v>
      </c>
      <c r="D62" s="353"/>
      <c r="E62" s="327" t="s">
        <v>214</v>
      </c>
      <c r="F62" s="297">
        <f>F63/F64</f>
        <v>0.31165257528349199</v>
      </c>
      <c r="G62" s="297">
        <f t="shared" ref="G62:J62" si="76">G63/G64</f>
        <v>0.39935148489371558</v>
      </c>
      <c r="H62" s="297">
        <f t="shared" si="76"/>
        <v>0.67696101968658606</v>
      </c>
      <c r="I62" s="297">
        <f t="shared" si="76"/>
        <v>0.93514197776012709</v>
      </c>
      <c r="J62" s="297">
        <f t="shared" si="76"/>
        <v>0.93514197776012709</v>
      </c>
      <c r="K62" s="478">
        <v>0.8</v>
      </c>
      <c r="L62" s="476" t="s">
        <v>268</v>
      </c>
      <c r="Q62" s="442" t="str">
        <f>'MOH DATA KF NORTH'!W90</f>
        <v>I.R.2.1</v>
      </c>
      <c r="R62" s="240">
        <f>'MOH DATA KF NORTH'!X90</f>
        <v>0</v>
      </c>
      <c r="S62" s="229" t="str">
        <f>'MOH DATA KF NORTH'!Y90</f>
        <v>705 Tested / 705 Suspected</v>
      </c>
      <c r="T62" s="254">
        <f>'MOH DATA KF NORTH'!Z90</f>
        <v>0.17556804872335441</v>
      </c>
      <c r="U62" s="254">
        <f>'MOH DATA KF NORTH'!AA90</f>
        <v>0.29724910850738667</v>
      </c>
      <c r="V62" s="254">
        <f>'MOH DATA KF NORTH'!AB90</f>
        <v>0.59369144284821984</v>
      </c>
      <c r="W62" s="254">
        <f>'MOH DATA KF NORTH'!AC90</f>
        <v>0.97818984547461374</v>
      </c>
      <c r="X62" s="254">
        <f>'MOH DATA KF NORTH'!AD90</f>
        <v>0.97818984547461374</v>
      </c>
      <c r="Z62" s="442" t="str">
        <f>'MOH DATA KF SUD'!W90</f>
        <v>I.R.2.1</v>
      </c>
      <c r="AA62" s="240">
        <f>'MOH DATA KF SUD'!X90</f>
        <v>0</v>
      </c>
      <c r="AB62" s="229" t="str">
        <f>'MOH DATA KF SUD'!Y90</f>
        <v>705 Tested / 705 Suspected</v>
      </c>
      <c r="AC62" s="254">
        <f>'MOH DATA KF SUD'!Z90</f>
        <v>0.15395725014442518</v>
      </c>
      <c r="AD62" s="254">
        <f>'MOH DATA KF SUD'!AA90</f>
        <v>0.26215644820295986</v>
      </c>
      <c r="AE62" s="254">
        <f>'MOH DATA KF SUD'!AB90</f>
        <v>0.88585149612116731</v>
      </c>
      <c r="AF62" s="254">
        <f>'MOH DATA KF SUD'!AC90</f>
        <v>0.9991470695747533</v>
      </c>
      <c r="AG62" s="254">
        <f>'MOH DATA KF SUD'!AD90</f>
        <v>0.9991470695747533</v>
      </c>
      <c r="AI62" s="442" t="str">
        <f>'MOH DATA RABAI'!W90</f>
        <v>I.R.2.1</v>
      </c>
      <c r="AJ62" s="240">
        <f>'MOH DATA RABAI'!X90</f>
        <v>0</v>
      </c>
      <c r="AK62" s="229" t="str">
        <f>'MOH DATA RABAI'!Y90</f>
        <v>705 Tested / 705 Suspected</v>
      </c>
      <c r="AL62" s="254">
        <f>'MOH DATA RABAI'!Z90</f>
        <v>0.11961722488038277</v>
      </c>
      <c r="AM62" s="254">
        <f>'MOH DATA RABAI'!AA90</f>
        <v>0.43670886075949367</v>
      </c>
      <c r="AN62" s="254">
        <f>'MOH DATA RABAI'!AB90</f>
        <v>0.14059590316573556</v>
      </c>
      <c r="AO62" s="254">
        <f>'MOH DATA RABAI'!AC90</f>
        <v>1</v>
      </c>
      <c r="AP62" s="254">
        <f>'MOH DATA RABAI'!AD90</f>
        <v>1</v>
      </c>
      <c r="AR62" s="442" t="str">
        <f>'MOH DATA KALOLENI'!W90</f>
        <v>I.R.2.1</v>
      </c>
      <c r="AS62" s="240">
        <f>'MOH DATA KALOLENI'!X90</f>
        <v>0</v>
      </c>
      <c r="AT62" s="229" t="str">
        <f>'MOH DATA KALOLENI'!Y90</f>
        <v>705 Tested / 705 Suspected</v>
      </c>
      <c r="AU62" s="254">
        <f>'MOH DATA KALOLENI'!Z90</f>
        <v>0.74652386320931985</v>
      </c>
      <c r="AV62" s="254">
        <f>'MOH DATA KALOLENI'!AA90</f>
        <v>0.80640781971219111</v>
      </c>
      <c r="AW62" s="254">
        <f>'MOH DATA KALOLENI'!AB90</f>
        <v>0.44868814347392894</v>
      </c>
      <c r="AX62" s="254">
        <f>'MOH DATA KALOLENI'!AC90</f>
        <v>0.91990374699209354</v>
      </c>
      <c r="AY62" s="254">
        <f>'MOH DATA KALOLENI'!AD90</f>
        <v>0.91990374699209354</v>
      </c>
      <c r="BA62" s="442" t="str">
        <f>'MOH DATA GANZE'!X90</f>
        <v>I.R.2.1</v>
      </c>
      <c r="BB62" s="240">
        <f>'MOH DATA GANZE'!Y90</f>
        <v>0</v>
      </c>
      <c r="BC62" s="229" t="str">
        <f>'MOH DATA GANZE'!Z90</f>
        <v>705 Tested / 705 Suspected</v>
      </c>
      <c r="BD62" s="254">
        <f>'MOH DATA GANZE'!AA90</f>
        <v>0.79408960915157289</v>
      </c>
      <c r="BE62" s="254">
        <f>'MOH DATA GANZE'!AB90</f>
        <v>0.90970873786407769</v>
      </c>
      <c r="BF62" s="254">
        <f>'MOH DATA GANZE'!AC90</f>
        <v>0.82380715705765406</v>
      </c>
      <c r="BG62" s="254">
        <f>'MOH DATA GANZE'!AD90</f>
        <v>1</v>
      </c>
      <c r="BH62" s="254">
        <f>'MOH DATA GANZE'!AE90</f>
        <v>1</v>
      </c>
    </row>
    <row r="63" spans="2:60" ht="50" customHeight="1" x14ac:dyDescent="0.2">
      <c r="B63" s="460"/>
      <c r="C63" s="354"/>
      <c r="D63" s="355"/>
      <c r="E63" s="328" t="s">
        <v>215</v>
      </c>
      <c r="F63" s="340">
        <f>T63+T85+AC63+AC85+AL63+AL85+AU63+AU85+BD63+BD85</f>
        <v>14044</v>
      </c>
      <c r="G63" s="340">
        <f t="shared" ref="G63" si="77">U63+U85+AD63+AD85+AM63+AM85+AV63+AV85+BE63+BE85</f>
        <v>7759</v>
      </c>
      <c r="H63" s="340">
        <f t="shared" ref="H63" si="78">V63+V85+AE63+AE85+AN63+AN85+AW63+AW85+BF63+BF85</f>
        <v>31017</v>
      </c>
      <c r="I63" s="340">
        <f t="shared" ref="I63" si="79">W63+W85+AF63+AF85+AO63+AO85+AX63+AX85+BG63+BG85</f>
        <v>37675</v>
      </c>
      <c r="J63" s="340">
        <f t="shared" ref="J63" si="80">X63+X85+AG63+AG85+AP63+AP85+AY63+AY85+BH63+BH85</f>
        <v>37675</v>
      </c>
      <c r="K63" s="432"/>
      <c r="L63" s="476"/>
      <c r="Q63" s="442">
        <f>'MOH DATA KF NORTH'!W91</f>
        <v>0</v>
      </c>
      <c r="R63" s="240">
        <f>'MOH DATA KF NORTH'!X91</f>
        <v>0</v>
      </c>
      <c r="S63" s="229" t="str">
        <f>'MOH DATA KF NORTH'!Y91</f>
        <v>705 Tested</v>
      </c>
      <c r="T63" s="255">
        <f>'MOH DATA KF NORTH'!Z91</f>
        <v>1499</v>
      </c>
      <c r="U63" s="255">
        <f>'MOH DATA KF NORTH'!AA91</f>
        <v>1167</v>
      </c>
      <c r="V63" s="255">
        <f>'MOH DATA KF NORTH'!AB91</f>
        <v>5703</v>
      </c>
      <c r="W63" s="255">
        <f>'MOH DATA KF NORTH'!AC91</f>
        <v>11078</v>
      </c>
      <c r="X63" s="255">
        <f>'MOH DATA KF NORTH'!AD91</f>
        <v>11078</v>
      </c>
      <c r="Z63" s="442">
        <f>'MOH DATA KF SUD'!W91</f>
        <v>0</v>
      </c>
      <c r="AA63" s="240">
        <f>'MOH DATA KF SUD'!X91</f>
        <v>0</v>
      </c>
      <c r="AB63" s="229" t="str">
        <f>'MOH DATA KF SUD'!Y91</f>
        <v>705 Tested</v>
      </c>
      <c r="AC63" s="255">
        <f>'MOH DATA KF SUD'!Z91</f>
        <v>1066</v>
      </c>
      <c r="AD63" s="255">
        <f>'MOH DATA KF SUD'!AA91</f>
        <v>620</v>
      </c>
      <c r="AE63" s="255">
        <f>'MOH DATA KF SUD'!AB91</f>
        <v>7194</v>
      </c>
      <c r="AF63" s="255">
        <f>'MOH DATA KF SUD'!AC91</f>
        <v>8200</v>
      </c>
      <c r="AG63" s="255">
        <f>'MOH DATA KF SUD'!AD91</f>
        <v>8200</v>
      </c>
      <c r="AI63" s="442">
        <f>'MOH DATA RABAI'!W91</f>
        <v>0</v>
      </c>
      <c r="AJ63" s="240">
        <f>'MOH DATA RABAI'!X91</f>
        <v>0</v>
      </c>
      <c r="AK63" s="229" t="str">
        <f>'MOH DATA RABAI'!Y91</f>
        <v>705 Tested</v>
      </c>
      <c r="AL63" s="255">
        <f>'MOH DATA RABAI'!Z91</f>
        <v>150</v>
      </c>
      <c r="AM63" s="255">
        <f>'MOH DATA RABAI'!AA91</f>
        <v>69</v>
      </c>
      <c r="AN63" s="255">
        <f>'MOH DATA RABAI'!AB91</f>
        <v>151</v>
      </c>
      <c r="AO63" s="255">
        <f>'MOH DATA RABAI'!AC91</f>
        <v>1677</v>
      </c>
      <c r="AP63" s="255">
        <f>'MOH DATA RABAI'!AD91</f>
        <v>1677</v>
      </c>
      <c r="AR63" s="442">
        <f>'MOH DATA KALOLENI'!W91</f>
        <v>0</v>
      </c>
      <c r="AS63" s="240">
        <f>'MOH DATA KALOLENI'!X91</f>
        <v>0</v>
      </c>
      <c r="AT63" s="229" t="str">
        <f>'MOH DATA KALOLENI'!Y91</f>
        <v>705 Tested</v>
      </c>
      <c r="AU63" s="255">
        <f>'MOH DATA KALOLENI'!Z91</f>
        <v>3973</v>
      </c>
      <c r="AV63" s="255">
        <f>'MOH DATA KALOLENI'!AA91</f>
        <v>2970</v>
      </c>
      <c r="AW63" s="255">
        <f>'MOH DATA KALOLENI'!AB91</f>
        <v>1351</v>
      </c>
      <c r="AX63" s="255">
        <f>'MOH DATA KALOLENI'!AC91</f>
        <v>2676</v>
      </c>
      <c r="AY63" s="255">
        <f>'MOH DATA KALOLENI'!AD91</f>
        <v>2676</v>
      </c>
      <c r="BA63" s="442">
        <f>'MOH DATA GANZE'!X91</f>
        <v>0</v>
      </c>
      <c r="BB63" s="240">
        <f>'MOH DATA GANZE'!Y91</f>
        <v>0</v>
      </c>
      <c r="BC63" s="229" t="str">
        <f>'MOH DATA GANZE'!Z91</f>
        <v>705 Tested</v>
      </c>
      <c r="BD63" s="255">
        <f>'MOH DATA GANZE'!AA91</f>
        <v>2499</v>
      </c>
      <c r="BE63" s="255">
        <f>'MOH DATA GANZE'!AB91</f>
        <v>937</v>
      </c>
      <c r="BF63" s="255">
        <f>'MOH DATA GANZE'!AC91</f>
        <v>3315</v>
      </c>
      <c r="BG63" s="255">
        <f>'MOH DATA GANZE'!AD91</f>
        <v>1304</v>
      </c>
      <c r="BH63" s="255">
        <f>'MOH DATA GANZE'!AE91</f>
        <v>1304</v>
      </c>
    </row>
    <row r="64" spans="2:60" ht="50" customHeight="1" thickBot="1" x14ac:dyDescent="0.25">
      <c r="B64" s="461"/>
      <c r="C64" s="356"/>
      <c r="D64" s="357"/>
      <c r="E64" s="329" t="s">
        <v>216</v>
      </c>
      <c r="F64" s="341">
        <f>T64+T86+AC64+AC86+AL64+AL86+AU64+AU86+BD64+BD86</f>
        <v>45063</v>
      </c>
      <c r="G64" s="341">
        <f t="shared" ref="G64:G65" si="81">U64+U86+AD64+AD86+AM64+AM86+AV64+AV86+BE64+BE86</f>
        <v>19429</v>
      </c>
      <c r="H64" s="341">
        <f t="shared" ref="H64:H65" si="82">V64+V86+AE64+AE86+AN64+AN86+AW64+AW86+BF64+BF86</f>
        <v>45818</v>
      </c>
      <c r="I64" s="341">
        <f t="shared" ref="I64:I65" si="83">W64+W86+AF64+AF86+AO64+AO86+AX64+AX86+BG64+BG86</f>
        <v>40288</v>
      </c>
      <c r="J64" s="341">
        <f t="shared" ref="J64:J65" si="84">X64+X86+AG64+AG86+AP64+AP86+AY64+AY86+BH64+BH86</f>
        <v>40288</v>
      </c>
      <c r="K64" s="433"/>
      <c r="L64" s="477"/>
      <c r="Q64" s="442">
        <f>'MOH DATA KF NORTH'!W92</f>
        <v>0</v>
      </c>
      <c r="R64" s="240">
        <f>'MOH DATA KF NORTH'!X92</f>
        <v>0</v>
      </c>
      <c r="S64" s="229" t="str">
        <f>'MOH DATA KF NORTH'!Y92</f>
        <v>705 Suspected</v>
      </c>
      <c r="T64" s="255">
        <f>'MOH DATA KF NORTH'!Z92</f>
        <v>8538</v>
      </c>
      <c r="U64" s="255">
        <f>'MOH DATA KF NORTH'!AA92</f>
        <v>3926</v>
      </c>
      <c r="V64" s="255">
        <f>'MOH DATA KF NORTH'!AB92</f>
        <v>9606</v>
      </c>
      <c r="W64" s="255">
        <f>'MOH DATA KF NORTH'!AC92</f>
        <v>11325</v>
      </c>
      <c r="X64" s="255">
        <f>'MOH DATA KF NORTH'!AD92</f>
        <v>11325</v>
      </c>
      <c r="Z64" s="442">
        <f>'MOH DATA KF SUD'!W92</f>
        <v>0</v>
      </c>
      <c r="AA64" s="240">
        <f>'MOH DATA KF SUD'!X92</f>
        <v>0</v>
      </c>
      <c r="AB64" s="229" t="str">
        <f>'MOH DATA KF SUD'!Y92</f>
        <v>705 Suspected</v>
      </c>
      <c r="AC64" s="255">
        <f>'MOH DATA KF SUD'!Z92</f>
        <v>6924</v>
      </c>
      <c r="AD64" s="255">
        <f>'MOH DATA KF SUD'!AA92</f>
        <v>2365</v>
      </c>
      <c r="AE64" s="255">
        <f>'MOH DATA KF SUD'!AB92</f>
        <v>8121</v>
      </c>
      <c r="AF64" s="255">
        <f>'MOH DATA KF SUD'!AC92</f>
        <v>8207</v>
      </c>
      <c r="AG64" s="255">
        <f>'MOH DATA KF SUD'!AD92</f>
        <v>8207</v>
      </c>
      <c r="AI64" s="442">
        <f>'MOH DATA RABAI'!W92</f>
        <v>0</v>
      </c>
      <c r="AJ64" s="240">
        <f>'MOH DATA RABAI'!X92</f>
        <v>0</v>
      </c>
      <c r="AK64" s="229" t="str">
        <f>'MOH DATA RABAI'!Y92</f>
        <v>705 Suspected</v>
      </c>
      <c r="AL64" s="255">
        <f>'MOH DATA RABAI'!Z92</f>
        <v>1254</v>
      </c>
      <c r="AM64" s="255">
        <f>'MOH DATA RABAI'!AA92</f>
        <v>158</v>
      </c>
      <c r="AN64" s="255">
        <f>'MOH DATA RABAI'!AB92</f>
        <v>1074</v>
      </c>
      <c r="AO64" s="255">
        <f>'MOH DATA RABAI'!AC92</f>
        <v>1677</v>
      </c>
      <c r="AP64" s="255">
        <f>'MOH DATA RABAI'!AD92</f>
        <v>1677</v>
      </c>
      <c r="AR64" s="442">
        <f>'MOH DATA KALOLENI'!W92</f>
        <v>0</v>
      </c>
      <c r="AS64" s="240">
        <f>'MOH DATA KALOLENI'!X92</f>
        <v>0</v>
      </c>
      <c r="AT64" s="229" t="str">
        <f>'MOH DATA KALOLENI'!Y92</f>
        <v>705 Suspected</v>
      </c>
      <c r="AU64" s="255">
        <f>'MOH DATA KALOLENI'!Z92</f>
        <v>5322</v>
      </c>
      <c r="AV64" s="255">
        <f>'MOH DATA KALOLENI'!AA92</f>
        <v>3683</v>
      </c>
      <c r="AW64" s="255">
        <f>'MOH DATA KALOLENI'!AB92</f>
        <v>3011</v>
      </c>
      <c r="AX64" s="255">
        <f>'MOH DATA KALOLENI'!AC92</f>
        <v>2909</v>
      </c>
      <c r="AY64" s="255">
        <f>'MOH DATA KALOLENI'!AD92</f>
        <v>2909</v>
      </c>
      <c r="BA64" s="442">
        <f>'MOH DATA GANZE'!X92</f>
        <v>0</v>
      </c>
      <c r="BB64" s="240">
        <f>'MOH DATA GANZE'!Y92</f>
        <v>0</v>
      </c>
      <c r="BC64" s="229" t="str">
        <f>'MOH DATA GANZE'!Z92</f>
        <v>705 Suspected</v>
      </c>
      <c r="BD64" s="255">
        <f>'MOH DATA GANZE'!AA92</f>
        <v>3147</v>
      </c>
      <c r="BE64" s="255">
        <f>'MOH DATA GANZE'!AB92</f>
        <v>1030</v>
      </c>
      <c r="BF64" s="255">
        <f>'MOH DATA GANZE'!AC92</f>
        <v>4024</v>
      </c>
      <c r="BG64" s="255">
        <f>'MOH DATA GANZE'!AD92</f>
        <v>1304</v>
      </c>
      <c r="BH64" s="255">
        <f>'MOH DATA GANZE'!AE92</f>
        <v>1304</v>
      </c>
    </row>
    <row r="65" spans="2:60" ht="50" customHeight="1" thickTop="1" x14ac:dyDescent="0.2">
      <c r="B65" s="372" t="s">
        <v>174</v>
      </c>
      <c r="C65" s="358" t="s">
        <v>299</v>
      </c>
      <c r="D65" s="359"/>
      <c r="E65" s="330" t="s">
        <v>220</v>
      </c>
      <c r="F65" s="342">
        <f>T65+T87+AC65+AC87+AL65+AL87+AU65+AU87+BD65+BD87</f>
        <v>17152</v>
      </c>
      <c r="G65" s="342">
        <f t="shared" si="81"/>
        <v>6967</v>
      </c>
      <c r="H65" s="342">
        <f t="shared" si="82"/>
        <v>18846</v>
      </c>
      <c r="I65" s="342">
        <f t="shared" si="83"/>
        <v>14766</v>
      </c>
      <c r="J65" s="342">
        <f t="shared" si="84"/>
        <v>14766</v>
      </c>
      <c r="K65" s="431">
        <v>2000</v>
      </c>
      <c r="L65" s="472" t="s">
        <v>269</v>
      </c>
      <c r="Q65" s="423" t="str">
        <f>'MOH DATA KF NORTH'!W93</f>
        <v>I.R.2.2</v>
      </c>
      <c r="R65" s="241">
        <f>'MOH DATA KF NORTH'!X93</f>
        <v>0</v>
      </c>
      <c r="S65" s="230" t="str">
        <f>'MOH DATA KF NORTH'!Y93</f>
        <v>Treatment 743</v>
      </c>
      <c r="T65" s="256">
        <f>'MOH DATA KF NORTH'!Z93</f>
        <v>3699</v>
      </c>
      <c r="U65" s="256">
        <f>'MOH DATA KF NORTH'!AA93</f>
        <v>521</v>
      </c>
      <c r="V65" s="256">
        <f>'MOH DATA KF NORTH'!AB93</f>
        <v>4873</v>
      </c>
      <c r="W65" s="256">
        <f>'MOH DATA KF NORTH'!AC93</f>
        <v>6149</v>
      </c>
      <c r="X65" s="256">
        <f>'MOH DATA KF NORTH'!AD93</f>
        <v>6149</v>
      </c>
      <c r="Z65" s="423" t="str">
        <f>'MOH DATA KF SUD'!W93</f>
        <v>I.R.2.2</v>
      </c>
      <c r="AA65" s="241">
        <f>'MOH DATA KF SUD'!X93</f>
        <v>0</v>
      </c>
      <c r="AB65" s="230" t="str">
        <f>'MOH DATA KF SUD'!Y93</f>
        <v>Treatment 743</v>
      </c>
      <c r="AC65" s="256">
        <f>'MOH DATA KF SUD'!Z93</f>
        <v>2945</v>
      </c>
      <c r="AD65" s="256">
        <f>'MOH DATA KF SUD'!AA93</f>
        <v>780</v>
      </c>
      <c r="AE65" s="256">
        <f>'MOH DATA KF SUD'!AB93</f>
        <v>3218</v>
      </c>
      <c r="AF65" s="256">
        <f>'MOH DATA KF SUD'!AC93</f>
        <v>3079</v>
      </c>
      <c r="AG65" s="256">
        <f>'MOH DATA KF SUD'!AD93</f>
        <v>3079</v>
      </c>
      <c r="AI65" s="423" t="str">
        <f>'MOH DATA RABAI'!W93</f>
        <v>I.R.2.2</v>
      </c>
      <c r="AJ65" s="241">
        <f>'MOH DATA RABAI'!X93</f>
        <v>0</v>
      </c>
      <c r="AK65" s="230" t="str">
        <f>'MOH DATA RABAI'!Y93</f>
        <v>Treatment 743</v>
      </c>
      <c r="AL65" s="256">
        <f>'MOH DATA RABAI'!Z93</f>
        <v>1049</v>
      </c>
      <c r="AM65" s="256">
        <f>'MOH DATA RABAI'!AA93</f>
        <v>412</v>
      </c>
      <c r="AN65" s="256">
        <f>'MOH DATA RABAI'!AB93</f>
        <v>674</v>
      </c>
      <c r="AO65" s="256">
        <f>'MOH DATA RABAI'!AC93</f>
        <v>885</v>
      </c>
      <c r="AP65" s="256">
        <f>'MOH DATA RABAI'!AD93</f>
        <v>885</v>
      </c>
      <c r="AR65" s="423" t="str">
        <f>'MOH DATA KALOLENI'!W93</f>
        <v>I.R.2.2</v>
      </c>
      <c r="AS65" s="241">
        <f>'MOH DATA KALOLENI'!X93</f>
        <v>0</v>
      </c>
      <c r="AT65" s="230" t="str">
        <f>'MOH DATA KALOLENI'!Y93</f>
        <v>Treatment 743</v>
      </c>
      <c r="AU65" s="256">
        <f>'MOH DATA KALOLENI'!Z93</f>
        <v>132</v>
      </c>
      <c r="AV65" s="256">
        <f>'MOH DATA KALOLENI'!AA93</f>
        <v>32</v>
      </c>
      <c r="AW65" s="256">
        <f>'MOH DATA KALOLENI'!AB93</f>
        <v>256</v>
      </c>
      <c r="AX65" s="256">
        <f>'MOH DATA KALOLENI'!AC93</f>
        <v>390</v>
      </c>
      <c r="AY65" s="256">
        <f>'MOH DATA KALOLENI'!AD93</f>
        <v>390</v>
      </c>
      <c r="BA65" s="423" t="str">
        <f>'MOH DATA GANZE'!X93</f>
        <v>I.R.2.2</v>
      </c>
      <c r="BB65" s="241">
        <f>'MOH DATA GANZE'!Y93</f>
        <v>0</v>
      </c>
      <c r="BC65" s="230" t="str">
        <f>'MOH DATA GANZE'!Z93</f>
        <v>Treatment 743</v>
      </c>
      <c r="BD65" s="256">
        <f>'MOH DATA GANZE'!AA93</f>
        <v>304</v>
      </c>
      <c r="BE65" s="256">
        <f>'MOH DATA GANZE'!AB93</f>
        <v>170</v>
      </c>
      <c r="BF65" s="256">
        <f>'MOH DATA GANZE'!AC93</f>
        <v>813</v>
      </c>
      <c r="BG65" s="256">
        <f>'MOH DATA GANZE'!AD93</f>
        <v>87</v>
      </c>
      <c r="BH65" s="256">
        <f>'MOH DATA GANZE'!AE93</f>
        <v>87</v>
      </c>
    </row>
    <row r="66" spans="2:60" ht="50" customHeight="1" thickBot="1" x14ac:dyDescent="0.25">
      <c r="B66" s="374"/>
      <c r="C66" s="360"/>
      <c r="D66" s="361"/>
      <c r="E66" s="331" t="s">
        <v>221</v>
      </c>
      <c r="F66" s="343">
        <f>F65/12</f>
        <v>1429.3333333333333</v>
      </c>
      <c r="G66" s="343">
        <f>G65/5</f>
        <v>1393.4</v>
      </c>
      <c r="H66" s="343">
        <f>H65/15</f>
        <v>1256.4000000000001</v>
      </c>
      <c r="I66" s="343">
        <f>I65/9</f>
        <v>1640.6666666666667</v>
      </c>
      <c r="J66" s="343">
        <f>J65/11</f>
        <v>1342.3636363636363</v>
      </c>
      <c r="K66" s="433"/>
      <c r="L66" s="480"/>
      <c r="Q66" s="423">
        <f>'MOH DATA KF NORTH'!W94</f>
        <v>0</v>
      </c>
      <c r="R66" s="241">
        <f>'MOH DATA KF NORTH'!X94</f>
        <v>0</v>
      </c>
      <c r="S66" s="230" t="str">
        <f>'MOH DATA KF NORTH'!Y94</f>
        <v>Treatment 743 Monthly AVG</v>
      </c>
      <c r="T66" s="260">
        <f>'MOH DATA KF NORTH'!Z94</f>
        <v>308.25</v>
      </c>
      <c r="U66" s="260">
        <f>'MOH DATA KF NORTH'!AA94</f>
        <v>104.2</v>
      </c>
      <c r="V66" s="260">
        <f>'MOH DATA KF NORTH'!AB94</f>
        <v>324.86666666666667</v>
      </c>
      <c r="W66" s="260">
        <f>'MOH DATA KF NORTH'!AC94</f>
        <v>683.22222222222217</v>
      </c>
      <c r="X66" s="230">
        <f>'MOH DATA KF NORTH'!AD94</f>
        <v>0</v>
      </c>
      <c r="Z66" s="423">
        <f>'MOH DATA KF SUD'!W94</f>
        <v>0</v>
      </c>
      <c r="AA66" s="241">
        <f>'MOH DATA KF SUD'!X94</f>
        <v>0</v>
      </c>
      <c r="AB66" s="230" t="str">
        <f>'MOH DATA KF SUD'!Y94</f>
        <v>Treatment 743 Monthly AVG</v>
      </c>
      <c r="AC66" s="260">
        <f>'MOH DATA KF SUD'!Z94</f>
        <v>245.41666666666666</v>
      </c>
      <c r="AD66" s="260">
        <f>'MOH DATA KF SUD'!AA94</f>
        <v>156</v>
      </c>
      <c r="AE66" s="260">
        <f>'MOH DATA KF SUD'!AB94</f>
        <v>214.53333333333333</v>
      </c>
      <c r="AF66" s="260">
        <f>'MOH DATA KF SUD'!AC94</f>
        <v>342.11111111111109</v>
      </c>
      <c r="AG66" s="230">
        <f>'MOH DATA KF SUD'!AD94</f>
        <v>0</v>
      </c>
      <c r="AI66" s="423">
        <f>'MOH DATA RABAI'!W94</f>
        <v>0</v>
      </c>
      <c r="AJ66" s="241">
        <f>'MOH DATA RABAI'!X94</f>
        <v>0</v>
      </c>
      <c r="AK66" s="230" t="str">
        <f>'MOH DATA RABAI'!Y94</f>
        <v>Treatment 743 Monthly AVG</v>
      </c>
      <c r="AL66" s="260">
        <f>'MOH DATA RABAI'!Z94</f>
        <v>87.416666666666671</v>
      </c>
      <c r="AM66" s="260">
        <f>'MOH DATA RABAI'!AA94</f>
        <v>82.4</v>
      </c>
      <c r="AN66" s="260">
        <f>'MOH DATA RABAI'!AB94</f>
        <v>44.93333333333333</v>
      </c>
      <c r="AO66" s="260">
        <f>'MOH DATA RABAI'!AC94</f>
        <v>98.333333333333329</v>
      </c>
      <c r="AP66" s="230">
        <f>'MOH DATA RABAI'!AD94</f>
        <v>0</v>
      </c>
      <c r="AR66" s="423">
        <f>'MOH DATA KALOLENI'!W94</f>
        <v>0</v>
      </c>
      <c r="AS66" s="241">
        <f>'MOH DATA KALOLENI'!X94</f>
        <v>0</v>
      </c>
      <c r="AT66" s="230" t="str">
        <f>'MOH DATA KALOLENI'!Y94</f>
        <v>Treatment 743 Monthly AVG</v>
      </c>
      <c r="AU66" s="260">
        <f>'MOH DATA KALOLENI'!Z94</f>
        <v>11</v>
      </c>
      <c r="AV66" s="260">
        <f>'MOH DATA KALOLENI'!AA94</f>
        <v>6.4</v>
      </c>
      <c r="AW66" s="260">
        <f>'MOH DATA KALOLENI'!AB94</f>
        <v>17.066666666666666</v>
      </c>
      <c r="AX66" s="260">
        <f>'MOH DATA KALOLENI'!AC94</f>
        <v>43.333333333333336</v>
      </c>
      <c r="AY66" s="230">
        <f>'MOH DATA KALOLENI'!AD94</f>
        <v>0</v>
      </c>
      <c r="BA66" s="423">
        <f>'MOH DATA GANZE'!X94</f>
        <v>0</v>
      </c>
      <c r="BB66" s="241">
        <f>'MOH DATA GANZE'!Y94</f>
        <v>0</v>
      </c>
      <c r="BC66" s="230" t="str">
        <f>'MOH DATA GANZE'!Z94</f>
        <v>Treatment 743 Monthly AVG</v>
      </c>
      <c r="BD66" s="260">
        <f>'MOH DATA GANZE'!AA94</f>
        <v>25.333333333333332</v>
      </c>
      <c r="BE66" s="260">
        <f>'MOH DATA GANZE'!AB94</f>
        <v>34</v>
      </c>
      <c r="BF66" s="260">
        <f>'MOH DATA GANZE'!AC94</f>
        <v>54.2</v>
      </c>
      <c r="BG66" s="260">
        <f>'MOH DATA GANZE'!AD94</f>
        <v>9.6666666666666661</v>
      </c>
      <c r="BH66" s="230">
        <f>'MOH DATA GANZE'!AE94</f>
        <v>0</v>
      </c>
    </row>
    <row r="67" spans="2:60" ht="50" customHeight="1" thickTop="1" x14ac:dyDescent="0.2">
      <c r="B67" s="443" t="s">
        <v>175</v>
      </c>
      <c r="C67" s="362" t="s">
        <v>300</v>
      </c>
      <c r="D67" s="363"/>
      <c r="E67" s="332" t="s">
        <v>178</v>
      </c>
      <c r="F67" s="299">
        <f>T67+T89+AC67+AC89+AL67+AL89+AU67+AU89+BD67+BD89</f>
        <v>14782</v>
      </c>
      <c r="G67" s="299">
        <f t="shared" ref="G67" si="85">U67+U89+AD67+AD89+AM67+AM89+AV67+AV89+BE67+BE89</f>
        <v>5831</v>
      </c>
      <c r="H67" s="299">
        <f t="shared" ref="H67" si="86">V67+V89+AE67+AE89+AN67+AN89+AW67+AW89+BF67+BF89</f>
        <v>13882</v>
      </c>
      <c r="I67" s="299">
        <f t="shared" ref="I67" si="87">W67+W89+AF67+AF89+AO67+AO89+AX67+AX89+BG67+BG89</f>
        <v>17626</v>
      </c>
      <c r="J67" s="299">
        <f t="shared" ref="J67" si="88">X67+X89+AG67+AG89+AP67+AP89+AY67+AY89+BH67+BH89</f>
        <v>17626</v>
      </c>
      <c r="K67" s="310" t="s">
        <v>270</v>
      </c>
      <c r="L67" s="475" t="s">
        <v>269</v>
      </c>
      <c r="Q67" s="446" t="str">
        <f>'MOH DATA KF NORTH'!W95</f>
        <v>I.R.2.3</v>
      </c>
      <c r="R67" s="242">
        <f>'MOH DATA KF NORTH'!X95</f>
        <v>0</v>
      </c>
      <c r="S67" s="231" t="str">
        <f>'MOH DATA KF NORTH'!Y95</f>
        <v>Confirmed 705</v>
      </c>
      <c r="T67" s="261">
        <f>'MOH DATA KF NORTH'!Z95</f>
        <v>2911</v>
      </c>
      <c r="U67" s="261">
        <f>'MOH DATA KF NORTH'!AA95</f>
        <v>1603</v>
      </c>
      <c r="V67" s="261">
        <f>'MOH DATA KF NORTH'!AB95</f>
        <v>3747</v>
      </c>
      <c r="W67" s="261">
        <f>'MOH DATA KF NORTH'!AC95</f>
        <v>6466</v>
      </c>
      <c r="X67" s="257">
        <f>'MOH DATA KF NORTH'!AD95</f>
        <v>6466</v>
      </c>
      <c r="Z67" s="446" t="str">
        <f>'MOH DATA KF SUD'!W95</f>
        <v>I.R.2.3</v>
      </c>
      <c r="AA67" s="242">
        <f>'MOH DATA KF SUD'!X95</f>
        <v>0</v>
      </c>
      <c r="AB67" s="231" t="str">
        <f>'MOH DATA KF SUD'!Y95</f>
        <v>Confirmed 705</v>
      </c>
      <c r="AC67" s="261">
        <f>'MOH DATA KF SUD'!Z95</f>
        <v>3124</v>
      </c>
      <c r="AD67" s="261">
        <f>'MOH DATA KF SUD'!AA95</f>
        <v>879</v>
      </c>
      <c r="AE67" s="261">
        <f>'MOH DATA KF SUD'!AB95</f>
        <v>3179</v>
      </c>
      <c r="AF67" s="261">
        <f>'MOH DATA KF SUD'!AC95</f>
        <v>4214</v>
      </c>
      <c r="AG67" s="257">
        <f>'MOH DATA KF SUD'!AD95</f>
        <v>4214</v>
      </c>
      <c r="AI67" s="446" t="str">
        <f>'MOH DATA RABAI'!W95</f>
        <v>I.R.2.3</v>
      </c>
      <c r="AJ67" s="242">
        <f>'MOH DATA RABAI'!X95</f>
        <v>0</v>
      </c>
      <c r="AK67" s="231" t="str">
        <f>'MOH DATA RABAI'!Y95</f>
        <v>Confirmed 705</v>
      </c>
      <c r="AL67" s="261">
        <f>'MOH DATA RABAI'!Z95</f>
        <v>301</v>
      </c>
      <c r="AM67" s="261">
        <f>'MOH DATA RABAI'!AA95</f>
        <v>206</v>
      </c>
      <c r="AN67" s="261">
        <f>'MOH DATA RABAI'!AB95</f>
        <v>636</v>
      </c>
      <c r="AO67" s="261">
        <f>'MOH DATA RABAI'!AC95</f>
        <v>929</v>
      </c>
      <c r="AP67" s="257">
        <f>'MOH DATA RABAI'!AD95</f>
        <v>929</v>
      </c>
      <c r="AR67" s="446" t="str">
        <f>'MOH DATA KALOLENI'!W95</f>
        <v>I.R.2.3</v>
      </c>
      <c r="AS67" s="242">
        <f>'MOH DATA KALOLENI'!X95</f>
        <v>0</v>
      </c>
      <c r="AT67" s="231" t="str">
        <f>'MOH DATA KALOLENI'!Y95</f>
        <v>Confirmed 705</v>
      </c>
      <c r="AU67" s="261">
        <f>'MOH DATA KALOLENI'!Z95</f>
        <v>103</v>
      </c>
      <c r="AV67" s="261">
        <f>'MOH DATA KALOLENI'!AA95</f>
        <v>52</v>
      </c>
      <c r="AW67" s="261">
        <f>'MOH DATA KALOLENI'!AB95</f>
        <v>262</v>
      </c>
      <c r="AX67" s="261">
        <f>'MOH DATA KALOLENI'!AC95</f>
        <v>599</v>
      </c>
      <c r="AY67" s="257">
        <f>'MOH DATA KALOLENI'!AD95</f>
        <v>599</v>
      </c>
      <c r="BA67" s="446" t="str">
        <f>'MOH DATA GANZE'!X95</f>
        <v>I.R.2.3</v>
      </c>
      <c r="BB67" s="242">
        <f>'MOH DATA GANZE'!Y95</f>
        <v>0</v>
      </c>
      <c r="BC67" s="231" t="str">
        <f>'MOH DATA GANZE'!Z95</f>
        <v>Confirmed 705</v>
      </c>
      <c r="BD67" s="261">
        <f>'MOH DATA GANZE'!AA95</f>
        <v>268</v>
      </c>
      <c r="BE67" s="261">
        <f>'MOH DATA GANZE'!AB95</f>
        <v>145</v>
      </c>
      <c r="BF67" s="261">
        <f>'MOH DATA GANZE'!AC95</f>
        <v>763</v>
      </c>
      <c r="BG67" s="261">
        <f>'MOH DATA GANZE'!AD95</f>
        <v>142</v>
      </c>
      <c r="BH67" s="257">
        <f>'MOH DATA GANZE'!AE95</f>
        <v>142</v>
      </c>
    </row>
    <row r="68" spans="2:60" ht="50" customHeight="1" x14ac:dyDescent="0.2">
      <c r="B68" s="444"/>
      <c r="C68" s="364"/>
      <c r="D68" s="365"/>
      <c r="E68" s="333" t="s">
        <v>222</v>
      </c>
      <c r="F68" s="271">
        <f>F67/12</f>
        <v>1231.8333333333333</v>
      </c>
      <c r="G68" s="271">
        <f>G67/5</f>
        <v>1166.2</v>
      </c>
      <c r="H68" s="271">
        <f>H67/15</f>
        <v>925.4666666666667</v>
      </c>
      <c r="I68" s="271">
        <f>I67/9</f>
        <v>1958.4444444444443</v>
      </c>
      <c r="J68" s="344">
        <f>J67/11</f>
        <v>1602.3636363636363</v>
      </c>
      <c r="K68" s="311">
        <v>1723</v>
      </c>
      <c r="L68" s="476"/>
      <c r="Q68" s="446">
        <f>'MOH DATA KF NORTH'!W96</f>
        <v>0</v>
      </c>
      <c r="R68" s="242">
        <f>'MOH DATA KF NORTH'!X96</f>
        <v>0</v>
      </c>
      <c r="S68" s="231" t="str">
        <f>'MOH DATA KF NORTH'!Y96</f>
        <v>Confirmed 705 MONTHLY AVG</v>
      </c>
      <c r="T68" s="262">
        <f>'MOH DATA KF NORTH'!Z96</f>
        <v>242.58333333333334</v>
      </c>
      <c r="U68" s="262">
        <f>'MOH DATA KF NORTH'!AA96</f>
        <v>320.60000000000002</v>
      </c>
      <c r="V68" s="262">
        <f>'MOH DATA KF NORTH'!AB96</f>
        <v>249.8</v>
      </c>
      <c r="W68" s="262">
        <f>'MOH DATA KF NORTH'!AC96</f>
        <v>718.44444444444446</v>
      </c>
      <c r="X68" s="231">
        <f>'MOH DATA KF NORTH'!AD96</f>
        <v>0</v>
      </c>
      <c r="Z68" s="446">
        <f>'MOH DATA KF SUD'!W96</f>
        <v>0</v>
      </c>
      <c r="AA68" s="242">
        <f>'MOH DATA KF SUD'!X96</f>
        <v>0</v>
      </c>
      <c r="AB68" s="231" t="str">
        <f>'MOH DATA KF SUD'!Y96</f>
        <v>Confirmed 705 MONTHLY AVG</v>
      </c>
      <c r="AC68" s="262">
        <f>'MOH DATA KF SUD'!Z96</f>
        <v>260.33333333333331</v>
      </c>
      <c r="AD68" s="262">
        <f>'MOH DATA KF SUD'!AA96</f>
        <v>175.8</v>
      </c>
      <c r="AE68" s="262">
        <f>'MOH DATA KF SUD'!AB96</f>
        <v>211.93333333333334</v>
      </c>
      <c r="AF68" s="262">
        <f>'MOH DATA KF SUD'!AC96</f>
        <v>468.22222222222223</v>
      </c>
      <c r="AG68" s="231">
        <f>'MOH DATA KF SUD'!AD96</f>
        <v>0</v>
      </c>
      <c r="AI68" s="446">
        <f>'MOH DATA RABAI'!W96</f>
        <v>0</v>
      </c>
      <c r="AJ68" s="242">
        <f>'MOH DATA RABAI'!X96</f>
        <v>0</v>
      </c>
      <c r="AK68" s="231" t="str">
        <f>'MOH DATA RABAI'!Y96</f>
        <v>Confirmed 705 MONTHLY AVG</v>
      </c>
      <c r="AL68" s="262">
        <f>'MOH DATA RABAI'!Z96</f>
        <v>25.083333333333332</v>
      </c>
      <c r="AM68" s="262">
        <f>'MOH DATA RABAI'!AA96</f>
        <v>41.2</v>
      </c>
      <c r="AN68" s="262">
        <f>'MOH DATA RABAI'!AB96</f>
        <v>42.4</v>
      </c>
      <c r="AO68" s="262">
        <f>'MOH DATA RABAI'!AC96</f>
        <v>103.22222222222223</v>
      </c>
      <c r="AP68" s="231">
        <f>'MOH DATA RABAI'!AD96</f>
        <v>0</v>
      </c>
      <c r="AR68" s="446">
        <f>'MOH DATA KALOLENI'!W96</f>
        <v>0</v>
      </c>
      <c r="AS68" s="242">
        <f>'MOH DATA KALOLENI'!X96</f>
        <v>0</v>
      </c>
      <c r="AT68" s="231" t="str">
        <f>'MOH DATA KALOLENI'!Y96</f>
        <v>Confirmed 705 MONTHLY AVG</v>
      </c>
      <c r="AU68" s="262">
        <f>'MOH DATA KALOLENI'!Z96</f>
        <v>8.5833333333333339</v>
      </c>
      <c r="AV68" s="262">
        <f>'MOH DATA KALOLENI'!AA96</f>
        <v>10.4</v>
      </c>
      <c r="AW68" s="262">
        <f>'MOH DATA KALOLENI'!AB96</f>
        <v>17.466666666666665</v>
      </c>
      <c r="AX68" s="262">
        <f>'MOH DATA KALOLENI'!AC96</f>
        <v>66.555555555555557</v>
      </c>
      <c r="AY68" s="231">
        <f>'MOH DATA KALOLENI'!AD96</f>
        <v>0</v>
      </c>
      <c r="BA68" s="446">
        <f>'MOH DATA GANZE'!X96</f>
        <v>0</v>
      </c>
      <c r="BB68" s="242">
        <f>'MOH DATA GANZE'!Y96</f>
        <v>0</v>
      </c>
      <c r="BC68" s="231" t="str">
        <f>'MOH DATA GANZE'!Z96</f>
        <v>Confirmed 705 MONTHLY AVG</v>
      </c>
      <c r="BD68" s="262">
        <f>'MOH DATA GANZE'!AA96</f>
        <v>22.333333333333332</v>
      </c>
      <c r="BE68" s="262">
        <f>'MOH DATA GANZE'!AB96</f>
        <v>29</v>
      </c>
      <c r="BF68" s="262">
        <f>'MOH DATA GANZE'!AC96</f>
        <v>50.866666666666667</v>
      </c>
      <c r="BG68" s="262">
        <f>'MOH DATA GANZE'!AD96</f>
        <v>15.777777777777779</v>
      </c>
      <c r="BH68" s="231">
        <f>'MOH DATA GANZE'!AE96</f>
        <v>0</v>
      </c>
    </row>
    <row r="69" spans="2:60" ht="50" customHeight="1" x14ac:dyDescent="0.2">
      <c r="B69" s="444"/>
      <c r="C69" s="364"/>
      <c r="D69" s="365"/>
      <c r="E69" s="333" t="s">
        <v>179</v>
      </c>
      <c r="F69" s="261">
        <f>T69+T91+AC69+AC91+AL69+AL91+AU69+AU91+BD69+BD91</f>
        <v>15652</v>
      </c>
      <c r="G69" s="261">
        <f t="shared" ref="G69" si="89">U69+U91+AD69+AD91+AM69+AM91+AV69+AV91+BE69+BE91</f>
        <v>6877</v>
      </c>
      <c r="H69" s="261">
        <f t="shared" ref="H69" si="90">V69+V91+AE69+AE91+AN69+AN91+AW69+AW91+BF69+BF91</f>
        <v>13946</v>
      </c>
      <c r="I69" s="261">
        <f t="shared" ref="I69" si="91">W69+W91+AF69+AF91+AO69+AO91+AX69+AX91+BG69+BG91</f>
        <v>17522</v>
      </c>
      <c r="J69" s="261">
        <f t="shared" ref="J69" si="92">X69+X91+AG69+AG91+AP69+AP91+AY69+AY91+BH69+BH91</f>
        <v>17522</v>
      </c>
      <c r="K69" s="311" t="s">
        <v>271</v>
      </c>
      <c r="L69" s="476"/>
      <c r="Q69" s="446">
        <f>'MOH DATA KF NORTH'!W97</f>
        <v>0</v>
      </c>
      <c r="R69" s="242">
        <f>'MOH DATA KF NORTH'!X97</f>
        <v>0</v>
      </c>
      <c r="S69" s="231" t="str">
        <f>'MOH DATA KF NORTH'!Y97</f>
        <v>Confirmed 743</v>
      </c>
      <c r="T69" s="261">
        <f>'MOH DATA KF NORTH'!Z97</f>
        <v>2244</v>
      </c>
      <c r="U69" s="261">
        <f>'MOH DATA KF NORTH'!AA97</f>
        <v>502</v>
      </c>
      <c r="V69" s="261">
        <f>'MOH DATA KF NORTH'!AB97</f>
        <v>3750</v>
      </c>
      <c r="W69" s="261">
        <f>'MOH DATA KF NORTH'!AC97</f>
        <v>6149</v>
      </c>
      <c r="X69" s="257">
        <f>'MOH DATA KF NORTH'!AD97</f>
        <v>6149</v>
      </c>
      <c r="Z69" s="446">
        <f>'MOH DATA KF SUD'!W97</f>
        <v>0</v>
      </c>
      <c r="AA69" s="242">
        <f>'MOH DATA KF SUD'!X97</f>
        <v>0</v>
      </c>
      <c r="AB69" s="231" t="str">
        <f>'MOH DATA KF SUD'!Y97</f>
        <v>Confirmed 743</v>
      </c>
      <c r="AC69" s="261">
        <f>'MOH DATA KF SUD'!Z97</f>
        <v>2732</v>
      </c>
      <c r="AD69" s="261">
        <f>'MOH DATA KF SUD'!AA97</f>
        <v>780</v>
      </c>
      <c r="AE69" s="261">
        <f>'MOH DATA KF SUD'!AB97</f>
        <v>2990</v>
      </c>
      <c r="AF69" s="261">
        <f>'MOH DATA KF SUD'!AC97</f>
        <v>4126</v>
      </c>
      <c r="AG69" s="257">
        <f>'MOH DATA KF SUD'!AD97</f>
        <v>4126</v>
      </c>
      <c r="AI69" s="446">
        <f>'MOH DATA RABAI'!W97</f>
        <v>0</v>
      </c>
      <c r="AJ69" s="242">
        <f>'MOH DATA RABAI'!X97</f>
        <v>0</v>
      </c>
      <c r="AK69" s="231" t="str">
        <f>'MOH DATA RABAI'!Y97</f>
        <v>Confirmed 743</v>
      </c>
      <c r="AL69" s="261">
        <f>'MOH DATA RABAI'!Z97</f>
        <v>1058</v>
      </c>
      <c r="AM69" s="261">
        <f>'MOH DATA RABAI'!AA97</f>
        <v>435</v>
      </c>
      <c r="AN69" s="261">
        <f>'MOH DATA RABAI'!AB97</f>
        <v>635</v>
      </c>
      <c r="AO69" s="261">
        <f>'MOH DATA RABAI'!AC97</f>
        <v>970</v>
      </c>
      <c r="AP69" s="257">
        <f>'MOH DATA RABAI'!AD97</f>
        <v>970</v>
      </c>
      <c r="AR69" s="446">
        <f>'MOH DATA KALOLENI'!W97</f>
        <v>0</v>
      </c>
      <c r="AS69" s="242">
        <f>'MOH DATA KALOLENI'!X97</f>
        <v>0</v>
      </c>
      <c r="AT69" s="231" t="str">
        <f>'MOH DATA KALOLENI'!Y97</f>
        <v>Confirmed 743</v>
      </c>
      <c r="AU69" s="261">
        <f>'MOH DATA KALOLENI'!Z97</f>
        <v>122</v>
      </c>
      <c r="AV69" s="261">
        <f>'MOH DATA KALOLENI'!AA97</f>
        <v>32</v>
      </c>
      <c r="AW69" s="261">
        <f>'MOH DATA KALOLENI'!AB97</f>
        <v>256</v>
      </c>
      <c r="AX69" s="261">
        <f>'MOH DATA KALOLENI'!AC97</f>
        <v>564</v>
      </c>
      <c r="AY69" s="257">
        <f>'MOH DATA KALOLENI'!AD97</f>
        <v>564</v>
      </c>
      <c r="BA69" s="446">
        <f>'MOH DATA GANZE'!X97</f>
        <v>0</v>
      </c>
      <c r="BB69" s="242">
        <f>'MOH DATA GANZE'!Y97</f>
        <v>0</v>
      </c>
      <c r="BC69" s="231" t="str">
        <f>'MOH DATA GANZE'!Z97</f>
        <v>Confirmed 743</v>
      </c>
      <c r="BD69" s="261">
        <f>'MOH DATA GANZE'!AA97</f>
        <v>164</v>
      </c>
      <c r="BE69" s="261">
        <f>'MOH DATA GANZE'!AB97</f>
        <v>81</v>
      </c>
      <c r="BF69" s="261">
        <f>'MOH DATA GANZE'!AC97</f>
        <v>500</v>
      </c>
      <c r="BG69" s="261">
        <f>'MOH DATA GANZE'!AD97</f>
        <v>119</v>
      </c>
      <c r="BH69" s="257">
        <f>'MOH DATA GANZE'!AE97</f>
        <v>119</v>
      </c>
    </row>
    <row r="70" spans="2:60" ht="50" customHeight="1" thickBot="1" x14ac:dyDescent="0.25">
      <c r="B70" s="445"/>
      <c r="C70" s="366"/>
      <c r="D70" s="367"/>
      <c r="E70" s="334" t="s">
        <v>223</v>
      </c>
      <c r="F70" s="300">
        <f>F69/12</f>
        <v>1304.3333333333333</v>
      </c>
      <c r="G70" s="300">
        <f>G69/5</f>
        <v>1375.4</v>
      </c>
      <c r="H70" s="300">
        <f>H69/15</f>
        <v>929.73333333333335</v>
      </c>
      <c r="I70" s="300">
        <f>I69/9</f>
        <v>1946.8888888888889</v>
      </c>
      <c r="J70" s="300">
        <f>J69/11</f>
        <v>1592.909090909091</v>
      </c>
      <c r="K70" s="312">
        <v>1825</v>
      </c>
      <c r="L70" s="477"/>
      <c r="Q70" s="446">
        <f>'MOH DATA KF NORTH'!W98</f>
        <v>0</v>
      </c>
      <c r="R70" s="242">
        <f>'MOH DATA KF NORTH'!X98</f>
        <v>0</v>
      </c>
      <c r="S70" s="231" t="str">
        <f>'MOH DATA KF NORTH'!Y98</f>
        <v>Confirmed 743 MONTHLY AVG</v>
      </c>
      <c r="T70" s="261">
        <f>'MOH DATA KF NORTH'!Z98</f>
        <v>187</v>
      </c>
      <c r="U70" s="261">
        <f>'MOH DATA KF NORTH'!AA98</f>
        <v>100.4</v>
      </c>
      <c r="V70" s="261">
        <f>'MOH DATA KF NORTH'!AB98</f>
        <v>250</v>
      </c>
      <c r="W70" s="261">
        <f>'MOH DATA KF NORTH'!AC98</f>
        <v>683.22222222222217</v>
      </c>
      <c r="X70" s="257">
        <f>'MOH DATA KF NORTH'!AD98</f>
        <v>0</v>
      </c>
      <c r="Z70" s="446">
        <f>'MOH DATA KF SUD'!W98</f>
        <v>0</v>
      </c>
      <c r="AA70" s="242">
        <f>'MOH DATA KF SUD'!X98</f>
        <v>0</v>
      </c>
      <c r="AB70" s="231" t="str">
        <f>'MOH DATA KF SUD'!Y98</f>
        <v>Confirmed 743 MONTHLY AVG</v>
      </c>
      <c r="AC70" s="261">
        <f>'MOH DATA KF SUD'!Z98</f>
        <v>227.66666666666666</v>
      </c>
      <c r="AD70" s="261">
        <f>'MOH DATA KF SUD'!AA98</f>
        <v>156</v>
      </c>
      <c r="AE70" s="261">
        <f>'MOH DATA KF SUD'!AB98</f>
        <v>199.33333333333334</v>
      </c>
      <c r="AF70" s="261">
        <f>'MOH DATA KF SUD'!AC98</f>
        <v>458.44444444444446</v>
      </c>
      <c r="AG70" s="257">
        <f>'MOH DATA KF SUD'!AD98</f>
        <v>0</v>
      </c>
      <c r="AI70" s="446">
        <f>'MOH DATA RABAI'!W98</f>
        <v>0</v>
      </c>
      <c r="AJ70" s="242">
        <f>'MOH DATA RABAI'!X98</f>
        <v>0</v>
      </c>
      <c r="AK70" s="231" t="str">
        <f>'MOH DATA RABAI'!Y98</f>
        <v>Confirmed 743 MONTHLY AVG</v>
      </c>
      <c r="AL70" s="261">
        <f>'MOH DATA RABAI'!Z98</f>
        <v>88.166666666666671</v>
      </c>
      <c r="AM70" s="261">
        <f>'MOH DATA RABAI'!AA98</f>
        <v>87</v>
      </c>
      <c r="AN70" s="261">
        <f>'MOH DATA RABAI'!AB98</f>
        <v>42.333333333333336</v>
      </c>
      <c r="AO70" s="261">
        <f>'MOH DATA RABAI'!AC98</f>
        <v>107.77777777777777</v>
      </c>
      <c r="AP70" s="257">
        <f>'MOH DATA RABAI'!AD98</f>
        <v>0</v>
      </c>
      <c r="AR70" s="446">
        <f>'MOH DATA KALOLENI'!W98</f>
        <v>0</v>
      </c>
      <c r="AS70" s="242">
        <f>'MOH DATA KALOLENI'!X98</f>
        <v>0</v>
      </c>
      <c r="AT70" s="231" t="str">
        <f>'MOH DATA KALOLENI'!Y98</f>
        <v>Confirmed 743 MONTHLY AVG</v>
      </c>
      <c r="AU70" s="261">
        <f>'MOH DATA KALOLENI'!Z98</f>
        <v>10.166666666666666</v>
      </c>
      <c r="AV70" s="261">
        <f>'MOH DATA KALOLENI'!AA98</f>
        <v>6.4</v>
      </c>
      <c r="AW70" s="261">
        <f>'MOH DATA KALOLENI'!AB98</f>
        <v>17.066666666666666</v>
      </c>
      <c r="AX70" s="261">
        <f>'MOH DATA KALOLENI'!AC98</f>
        <v>62.666666666666664</v>
      </c>
      <c r="AY70" s="257">
        <f>'MOH DATA KALOLENI'!AD98</f>
        <v>0</v>
      </c>
      <c r="BA70" s="446">
        <f>'MOH DATA GANZE'!X98</f>
        <v>0</v>
      </c>
      <c r="BB70" s="242">
        <f>'MOH DATA GANZE'!Y98</f>
        <v>0</v>
      </c>
      <c r="BC70" s="231" t="str">
        <f>'MOH DATA GANZE'!Z98</f>
        <v>Confirmed 743 MONTHLY AVG</v>
      </c>
      <c r="BD70" s="261">
        <f>'MOH DATA GANZE'!AA98</f>
        <v>13.666666666666666</v>
      </c>
      <c r="BE70" s="261">
        <f>'MOH DATA GANZE'!AB98</f>
        <v>16.2</v>
      </c>
      <c r="BF70" s="261">
        <f>'MOH DATA GANZE'!AC98</f>
        <v>33.333333333333336</v>
      </c>
      <c r="BG70" s="261">
        <f>'MOH DATA GANZE'!AD98</f>
        <v>13.222222222222221</v>
      </c>
      <c r="BH70" s="257">
        <f>'MOH DATA GANZE'!AE98</f>
        <v>0</v>
      </c>
    </row>
    <row r="71" spans="2:60" ht="117" customHeight="1" thickTop="1" thickBot="1" x14ac:dyDescent="0.25">
      <c r="B71" s="301" t="s">
        <v>176</v>
      </c>
      <c r="C71" s="368" t="s">
        <v>301</v>
      </c>
      <c r="D71" s="369"/>
      <c r="E71" s="302" t="s">
        <v>224</v>
      </c>
      <c r="F71" s="315">
        <f>(24+24+24+22+24+22+22+24+23+24)/(24*10)</f>
        <v>0.97083333333333333</v>
      </c>
      <c r="G71" s="315">
        <f>(9+10+10+10+10+10+10+10+10+10)/(10*10)</f>
        <v>0.99</v>
      </c>
      <c r="H71" s="315">
        <f>(30+30+28+28+30+30+30+30+30+28)/(30*10)</f>
        <v>0.98</v>
      </c>
      <c r="I71" s="315"/>
      <c r="J71" s="316"/>
      <c r="K71" s="313">
        <v>1</v>
      </c>
      <c r="L71" s="303"/>
      <c r="Q71" s="232" t="str">
        <f>'MOH DATA KF NORTH'!W99</f>
        <v>I.R.3.1</v>
      </c>
      <c r="R71" s="232">
        <f>'MOH DATA KF NORTH'!X99</f>
        <v>0</v>
      </c>
      <c r="S71" s="233" t="str">
        <f>'MOH DATA KF NORTH'!Y99</f>
        <v>Actual/Expected 705 A/B</v>
      </c>
      <c r="T71" s="263" t="str">
        <f>'MOH DATA KF NORTH'!Z99</f>
        <v>24/24</v>
      </c>
      <c r="U71" s="263" t="str">
        <f>'MOH DATA KF NORTH'!AA99</f>
        <v>9/10</v>
      </c>
      <c r="V71" s="264" t="str">
        <f>'MOH DATA KF NORTH'!AB99</f>
        <v>30/30</v>
      </c>
      <c r="W71" s="263" t="str">
        <f>'MOH DATA KF NORTH'!AC99</f>
        <v>16/18</v>
      </c>
      <c r="X71" s="258">
        <f>'MOH DATA KF NORTH'!AD99</f>
        <v>0</v>
      </c>
      <c r="Z71" s="232" t="str">
        <f>'MOH DATA KF SUD'!W99</f>
        <v>I.R.3.1</v>
      </c>
      <c r="AA71" s="232">
        <f>'MOH DATA KF SUD'!X99</f>
        <v>0</v>
      </c>
      <c r="AB71" s="233" t="str">
        <f>'MOH DATA KF SUD'!Y99</f>
        <v>Actual/Expected 705 A/B</v>
      </c>
      <c r="AC71" s="263" t="str">
        <f>'MOH DATA KF SUD'!Z99</f>
        <v>24/24</v>
      </c>
      <c r="AD71" s="263" t="str">
        <f>'MOH DATA KF SUD'!AA99</f>
        <v>10/10</v>
      </c>
      <c r="AE71" s="264" t="str">
        <f>'MOH DATA KF SUD'!AB99</f>
        <v>28/30</v>
      </c>
      <c r="AF71" s="263" t="str">
        <f>'MOH DATA KF SUD'!AC99</f>
        <v>15/18</v>
      </c>
      <c r="AG71" s="258">
        <f>'MOH DATA KF SUD'!AD99</f>
        <v>0</v>
      </c>
      <c r="AI71" s="232" t="str">
        <f>'MOH DATA RABAI'!W99</f>
        <v>I.R.3.1</v>
      </c>
      <c r="AJ71" s="232">
        <f>'MOH DATA RABAI'!X99</f>
        <v>0</v>
      </c>
      <c r="AK71" s="233" t="str">
        <f>'MOH DATA RABAI'!Y99</f>
        <v>Actual/Expected 705 A/B</v>
      </c>
      <c r="AL71" s="263" t="str">
        <f>'MOH DATA RABAI'!Z99</f>
        <v>22/24</v>
      </c>
      <c r="AM71" s="263" t="str">
        <f>'MOH DATA RABAI'!AA99</f>
        <v>10/10</v>
      </c>
      <c r="AN71" s="264" t="str">
        <f>'MOH DATA RABAI'!AB99</f>
        <v>30/30</v>
      </c>
      <c r="AO71" s="263" t="str">
        <f>'MOH DATA RABAI'!AC99</f>
        <v>14/18</v>
      </c>
      <c r="AP71" s="258">
        <f>'MOH DATA RABAI'!AD99</f>
        <v>0</v>
      </c>
      <c r="AR71" s="232" t="str">
        <f>'MOH DATA KALOLENI'!W99</f>
        <v>I.R.3.1</v>
      </c>
      <c r="AS71" s="232">
        <f>'MOH DATA KALOLENI'!X99</f>
        <v>0</v>
      </c>
      <c r="AT71" s="233" t="str">
        <f>'MOH DATA KALOLENI'!Y99</f>
        <v>Actual/Expected 705 A/B</v>
      </c>
      <c r="AU71" s="263" t="str">
        <f>'MOH DATA KALOLENI'!Z99</f>
        <v>24/24</v>
      </c>
      <c r="AV71" s="263" t="str">
        <f>'MOH DATA KALOLENI'!AA99</f>
        <v>1/10</v>
      </c>
      <c r="AW71" s="264" t="str">
        <f>'MOH DATA KALOLENI'!AB99</f>
        <v>30/30</v>
      </c>
      <c r="AX71" s="263" t="str">
        <f>'MOH DATA KALOLENI'!AC99</f>
        <v>16/18</v>
      </c>
      <c r="AY71" s="258">
        <f>'MOH DATA KALOLENI'!AD99</f>
        <v>0</v>
      </c>
      <c r="BA71" s="232" t="str">
        <f>'MOH DATA GANZE'!X99</f>
        <v>I.R.3.1</v>
      </c>
      <c r="BB71" s="232">
        <f>'MOH DATA GANZE'!Y99</f>
        <v>0</v>
      </c>
      <c r="BC71" s="233" t="str">
        <f>'MOH DATA GANZE'!Z99</f>
        <v>Actual/Expected 705 A/B</v>
      </c>
      <c r="BD71" s="263" t="str">
        <f>'MOH DATA GANZE'!AA99</f>
        <v>23/24</v>
      </c>
      <c r="BE71" s="263" t="str">
        <f>'MOH DATA GANZE'!AB99</f>
        <v>10/10</v>
      </c>
      <c r="BF71" s="264" t="str">
        <f>'MOH DATA GANZE'!AC99</f>
        <v>30/30</v>
      </c>
      <c r="BG71" s="263" t="str">
        <f>'MOH DATA GANZE'!AD99</f>
        <v>16/18</v>
      </c>
      <c r="BH71" s="258">
        <f>'MOH DATA GANZE'!AE99</f>
        <v>0</v>
      </c>
    </row>
    <row r="72" spans="2:60" ht="134.5" customHeight="1" thickTop="1" thickBot="1" x14ac:dyDescent="0.25">
      <c r="B72" s="304" t="s">
        <v>177</v>
      </c>
      <c r="C72" s="370" t="s">
        <v>302</v>
      </c>
      <c r="D72" s="371"/>
      <c r="E72" s="305" t="s">
        <v>225</v>
      </c>
      <c r="F72" s="317">
        <f>(0+12+12+12+6+11+11+11+11+0)/(12*10)</f>
        <v>0.71666666666666667</v>
      </c>
      <c r="G72" s="317">
        <f>(0+5+5+5+5+5+3+2+5+0)/(5*10)</f>
        <v>0.7</v>
      </c>
      <c r="H72" s="317">
        <f>(3+15+15+14+15+15+14+15+14+9)/(15*10)</f>
        <v>0.86</v>
      </c>
      <c r="I72" s="317"/>
      <c r="J72" s="318"/>
      <c r="K72" s="314">
        <v>0.9</v>
      </c>
      <c r="L72" s="306"/>
      <c r="Q72" s="234" t="str">
        <f>'MOH DATA KF NORTH'!W100</f>
        <v>I.R.3.2</v>
      </c>
      <c r="R72" s="234">
        <f>'MOH DATA KF NORTH'!X100</f>
        <v>0</v>
      </c>
      <c r="S72" s="235" t="str">
        <f>'MOH DATA KF NORTH'!Y100</f>
        <v>Actual/Expected 515</v>
      </c>
      <c r="T72" s="265" t="str">
        <f>'MOH DATA KF NORTH'!Z100</f>
        <v>0/12</v>
      </c>
      <c r="U72" s="265" t="str">
        <f>'MOH DATA KF NORTH'!AA100</f>
        <v>0/5</v>
      </c>
      <c r="V72" s="265" t="str">
        <f>'MOH DATA KF NORTH'!AB100</f>
        <v>3/15</v>
      </c>
      <c r="W72" s="265" t="str">
        <f>'MOH DATA KF NORTH'!AC100</f>
        <v>8/9</v>
      </c>
      <c r="X72" s="259">
        <f>'MOH DATA KF NORTH'!AD100</f>
        <v>0</v>
      </c>
      <c r="Z72" s="234" t="str">
        <f>'MOH DATA KF SUD'!W100</f>
        <v>I.R.3.2</v>
      </c>
      <c r="AA72" s="234">
        <f>'MOH DATA KF SUD'!X100</f>
        <v>0</v>
      </c>
      <c r="AB72" s="235" t="str">
        <f>'MOH DATA KF SUD'!Y100</f>
        <v>Actual/Expected 515</v>
      </c>
      <c r="AC72" s="265" t="str">
        <f>'MOH DATA KF SUD'!Z100</f>
        <v>12/12</v>
      </c>
      <c r="AD72" s="265" t="str">
        <f>'MOH DATA KF SUD'!AA100</f>
        <v>5/5</v>
      </c>
      <c r="AE72" s="265" t="str">
        <f>'MOH DATA KF SUD'!AB100</f>
        <v>15/15</v>
      </c>
      <c r="AF72" s="265" t="str">
        <f>'MOH DATA KF SUD'!AC100</f>
        <v>9/9</v>
      </c>
      <c r="AG72" s="259">
        <f>'MOH DATA KF SUD'!AD100</f>
        <v>0</v>
      </c>
      <c r="AI72" s="234" t="str">
        <f>'MOH DATA RABAI'!W100</f>
        <v>I.R.3.2</v>
      </c>
      <c r="AJ72" s="234">
        <f>'MOH DATA RABAI'!X100</f>
        <v>0</v>
      </c>
      <c r="AK72" s="235" t="str">
        <f>'MOH DATA RABAI'!Y100</f>
        <v>Actual/Expected 515</v>
      </c>
      <c r="AL72" s="265" t="str">
        <f>'MOH DATA RABAI'!Z100</f>
        <v>11/12</v>
      </c>
      <c r="AM72" s="265" t="str">
        <f>'MOH DATA RABAI'!AA100</f>
        <v>3/5</v>
      </c>
      <c r="AN72" s="265" t="str">
        <f>'MOH DATA RABAI'!AB100</f>
        <v>14/15</v>
      </c>
      <c r="AO72" s="265" t="str">
        <f>'MOH DATA RABAI'!AC100</f>
        <v>7/9</v>
      </c>
      <c r="AP72" s="259">
        <f>'MOH DATA RABAI'!AD100</f>
        <v>0</v>
      </c>
      <c r="AR72" s="234" t="str">
        <f>'MOH DATA KALOLENI'!W100</f>
        <v>I.R.3.2</v>
      </c>
      <c r="AS72" s="234">
        <f>'MOH DATA KALOLENI'!X100</f>
        <v>0</v>
      </c>
      <c r="AT72" s="235" t="str">
        <f>'MOH DATA KALOLENI'!Y100</f>
        <v>Actual/Expected 515</v>
      </c>
      <c r="AU72" s="265" t="str">
        <f>'MOH DATA KALOLENI'!Z100</f>
        <v>6/12</v>
      </c>
      <c r="AV72" s="265" t="str">
        <f>'MOH DATA KALOLENI'!AA100</f>
        <v>5/5</v>
      </c>
      <c r="AW72" s="265" t="str">
        <f>'MOH DATA KALOLENI'!AB100</f>
        <v>15/15</v>
      </c>
      <c r="AX72" s="265" t="str">
        <f>'MOH DATA KALOLENI'!AC100</f>
        <v>7/9</v>
      </c>
      <c r="AY72" s="259">
        <f>'MOH DATA KALOLENI'!AD100</f>
        <v>0</v>
      </c>
      <c r="BA72" s="234" t="str">
        <f>'MOH DATA GANZE'!X100</f>
        <v>I.R.3.2</v>
      </c>
      <c r="BB72" s="234">
        <f>'MOH DATA GANZE'!Y100</f>
        <v>0</v>
      </c>
      <c r="BC72" s="235" t="str">
        <f>'MOH DATA GANZE'!Z100</f>
        <v>Actual/Expected 515</v>
      </c>
      <c r="BD72" s="265" t="str">
        <f>'MOH DATA GANZE'!AA100</f>
        <v>11/12</v>
      </c>
      <c r="BE72" s="265" t="str">
        <f>'MOH DATA GANZE'!AB100</f>
        <v>5/5</v>
      </c>
      <c r="BF72" s="265" t="str">
        <f>'MOH DATA GANZE'!AC100</f>
        <v>14/15</v>
      </c>
      <c r="BG72" s="265" t="str">
        <f>'MOH DATA GANZE'!AD100</f>
        <v>7/9</v>
      </c>
      <c r="BH72" s="259">
        <f>'MOH DATA GANZE'!AE100</f>
        <v>0</v>
      </c>
    </row>
    <row r="73" spans="2:60" ht="16" thickTop="1" x14ac:dyDescent="0.2"/>
    <row r="75" spans="2:60" ht="48" x14ac:dyDescent="0.2">
      <c r="Q75" s="436" t="str">
        <f>'MOH DATA KF NORTH'!W139</f>
        <v>KIWANDANI</v>
      </c>
      <c r="R75" s="437">
        <f>'MOH DATA KF NORTH'!X139</f>
        <v>0</v>
      </c>
      <c r="S75" s="438">
        <f>'MOH DATA KF NORTH'!Y139</f>
        <v>0</v>
      </c>
      <c r="T75" s="98" t="str">
        <f>'MOH DATA KF NORTH'!Z139</f>
        <v>Baseline 2022</v>
      </c>
      <c r="U75" s="98" t="str">
        <f>'MOH DATA KF NORTH'!AA139</f>
        <v>RI1 (Nov 22-Mar 23)</v>
      </c>
      <c r="V75" s="98" t="str">
        <f>'MOH DATA KF NORTH'!AB139</f>
        <v>RI2 (Apr 23-Jun24)</v>
      </c>
      <c r="W75" s="98" t="str">
        <f>'MOH DATA KF NORTH'!AC139</f>
        <v>RS Jul24-Mar25</v>
      </c>
      <c r="X75" s="98" t="str">
        <f>'MOH DATA KF NORTH'!AD139</f>
        <v>RF (Jul24-May25)</v>
      </c>
      <c r="Z75" s="436" t="str">
        <f>'MOH DATA KF SUD'!W139</f>
        <v>Tunzanani</v>
      </c>
      <c r="AA75" s="437">
        <f>'MOH DATA KF SUD'!X139</f>
        <v>0</v>
      </c>
      <c r="AB75" s="438">
        <f>'MOH DATA KF SUD'!Y139</f>
        <v>0</v>
      </c>
      <c r="AC75" s="98" t="str">
        <f>'MOH DATA KF SUD'!Z139</f>
        <v>Baseline 2022</v>
      </c>
      <c r="AD75" s="98" t="str">
        <f>'MOH DATA KF SUD'!AA139</f>
        <v>RI1 (Nov 22-Mar 23)</v>
      </c>
      <c r="AE75" s="98" t="str">
        <f>'MOH DATA KF SUD'!AB139</f>
        <v>RI2 (Apr 23-Jun24)</v>
      </c>
      <c r="AF75" s="98" t="str">
        <f>'MOH DATA KF SUD'!AC139</f>
        <v>RS Jul24-Mar25</v>
      </c>
      <c r="AG75" s="98" t="str">
        <f>'MOH DATA KF SUD'!AD139</f>
        <v>RF (Jul24-May25)</v>
      </c>
      <c r="AI75" s="436" t="str">
        <f>'MOH DATA RABAI'!W139</f>
        <v>MAKANZANI</v>
      </c>
      <c r="AJ75" s="437">
        <f>'MOH DATA RABAI'!X139</f>
        <v>0</v>
      </c>
      <c r="AK75" s="438">
        <f>'MOH DATA RABAI'!Y139</f>
        <v>0</v>
      </c>
      <c r="AL75" s="98" t="str">
        <f>'MOH DATA RABAI'!Z139</f>
        <v>Baseline 2022</v>
      </c>
      <c r="AM75" s="98" t="str">
        <f>'MOH DATA RABAI'!AA139</f>
        <v>RI1 (Nov 22-Mar 23)</v>
      </c>
      <c r="AN75" s="98" t="str">
        <f>'MOH DATA RABAI'!AB139</f>
        <v>RI2 (Apr 23-Jun24)</v>
      </c>
      <c r="AO75" s="98" t="str">
        <f>'MOH DATA RABAI'!AC139</f>
        <v>RS Jul24-Mar25</v>
      </c>
      <c r="AP75" s="98" t="str">
        <f>'MOH DATA RABAI'!AD139</f>
        <v>RF (Jul24-May25)</v>
      </c>
      <c r="AR75" s="436" t="str">
        <f>'MOH DATA KALOLENI'!W139</f>
        <v>MGAMBONI</v>
      </c>
      <c r="AS75" s="437">
        <f>'MOH DATA KALOLENI'!X139</f>
        <v>0</v>
      </c>
      <c r="AT75" s="438">
        <f>'MOH DATA KALOLENI'!Y139</f>
        <v>0</v>
      </c>
      <c r="AU75" s="98" t="str">
        <f>'MOH DATA KALOLENI'!Z139</f>
        <v>Baseline 2022</v>
      </c>
      <c r="AV75" s="98" t="str">
        <f>'MOH DATA KALOLENI'!AA139</f>
        <v>RI1 (Nov 22-Mar 23)</v>
      </c>
      <c r="AW75" s="98" t="str">
        <f>'MOH DATA KALOLENI'!AB139</f>
        <v>RI2 (Apr 23-Jun24)</v>
      </c>
      <c r="AX75" s="98" t="str">
        <f>'MOH DATA KALOLENI'!AC139</f>
        <v>RS Jul24-Mar25</v>
      </c>
      <c r="AY75" s="98" t="str">
        <f>'MOH DATA KALOLENI'!AD139</f>
        <v>RF (Jul24-May25)</v>
      </c>
      <c r="BA75" s="436" t="str">
        <f>'MOH DATA GANZE'!X139</f>
        <v>JARIBUNI</v>
      </c>
      <c r="BB75" s="437">
        <f>'MOH DATA GANZE'!Y139</f>
        <v>0</v>
      </c>
      <c r="BC75" s="438">
        <f>'MOH DATA GANZE'!Z139</f>
        <v>0</v>
      </c>
      <c r="BD75" s="98" t="str">
        <f>'MOH DATA GANZE'!AA139</f>
        <v>Baseline 2022</v>
      </c>
      <c r="BE75" s="98" t="str">
        <f>'MOH DATA GANZE'!AB139</f>
        <v>RI1 (Nov 22-Mar 23)</v>
      </c>
      <c r="BF75" s="98" t="str">
        <f>'MOH DATA GANZE'!AC139</f>
        <v>RI2 (Apr 23-Jun24)</v>
      </c>
      <c r="BG75" s="98" t="str">
        <f>'MOH DATA GANZE'!AD139</f>
        <v>RS Jul24-Mar25</v>
      </c>
      <c r="BH75" s="98" t="str">
        <f>'MOH DATA GANZE'!AE139</f>
        <v>RF (Jul24-May25)</v>
      </c>
    </row>
    <row r="76" spans="2:60" x14ac:dyDescent="0.2">
      <c r="Q76" s="439" t="str">
        <f>'MOH DATA KF NORTH'!W140</f>
        <v>I.R.1.1</v>
      </c>
      <c r="R76" s="238">
        <f>'MOH DATA KF NORTH'!X140</f>
        <v>0</v>
      </c>
      <c r="S76" s="226" t="str">
        <f>'MOH DATA KF NORTH'!Y140</f>
        <v>IPTP3</v>
      </c>
      <c r="T76" s="252">
        <f>'MOH DATA KF NORTH'!Z140</f>
        <v>255</v>
      </c>
      <c r="U76" s="252">
        <f>'MOH DATA KF NORTH'!AA140</f>
        <v>0</v>
      </c>
      <c r="V76" s="252">
        <f>'MOH DATA KF NORTH'!AB140</f>
        <v>492</v>
      </c>
      <c r="W76" s="252">
        <f>'MOH DATA KF NORTH'!AC140</f>
        <v>327</v>
      </c>
      <c r="X76" s="252">
        <f>'MOH DATA KF NORTH'!AD140</f>
        <v>327</v>
      </c>
      <c r="Z76" s="439" t="str">
        <f>'MOH DATA KF SUD'!W140</f>
        <v>I.R.1.1</v>
      </c>
      <c r="AA76" s="238">
        <f>'MOH DATA KF SUD'!X140</f>
        <v>0</v>
      </c>
      <c r="AB76" s="226" t="str">
        <f>'MOH DATA KF SUD'!Y140</f>
        <v>IPTP3</v>
      </c>
      <c r="AC76" s="252">
        <f>'MOH DATA KF SUD'!Z140</f>
        <v>24</v>
      </c>
      <c r="AD76" s="252">
        <f>'MOH DATA KF SUD'!AA140</f>
        <v>18</v>
      </c>
      <c r="AE76" s="252">
        <f>'MOH DATA KF SUD'!AB140</f>
        <v>26</v>
      </c>
      <c r="AF76" s="252">
        <f>'MOH DATA KF SUD'!AC140</f>
        <v>12</v>
      </c>
      <c r="AG76" s="252">
        <f>'MOH DATA KF SUD'!AD140</f>
        <v>12</v>
      </c>
      <c r="AI76" s="439" t="str">
        <f>'MOH DATA RABAI'!W140</f>
        <v>I.R.1.1</v>
      </c>
      <c r="AJ76" s="238">
        <f>'MOH DATA RABAI'!X140</f>
        <v>0</v>
      </c>
      <c r="AK76" s="226" t="str">
        <f>'MOH DATA RABAI'!Y140</f>
        <v>IPTP3</v>
      </c>
      <c r="AL76" s="252">
        <f>'MOH DATA RABAI'!Z140</f>
        <v>107</v>
      </c>
      <c r="AM76" s="252">
        <f>'MOH DATA RABAI'!AA140</f>
        <v>5</v>
      </c>
      <c r="AN76" s="252">
        <f>'MOH DATA RABAI'!AB140</f>
        <v>111</v>
      </c>
      <c r="AO76" s="252">
        <f>'MOH DATA RABAI'!AC140</f>
        <v>67</v>
      </c>
      <c r="AP76" s="252">
        <f>'MOH DATA RABAI'!AD140</f>
        <v>67</v>
      </c>
      <c r="AR76" s="439" t="str">
        <f>'MOH DATA KALOLENI'!W140</f>
        <v>I.R.1.1</v>
      </c>
      <c r="AS76" s="238">
        <f>'MOH DATA KALOLENI'!X140</f>
        <v>0</v>
      </c>
      <c r="AT76" s="226" t="str">
        <f>'MOH DATA KALOLENI'!Y140</f>
        <v>IPTP3</v>
      </c>
      <c r="AU76" s="252">
        <f>'MOH DATA KALOLENI'!Z140</f>
        <v>57</v>
      </c>
      <c r="AV76" s="252">
        <f>'MOH DATA KALOLENI'!AA140</f>
        <v>30</v>
      </c>
      <c r="AW76" s="252">
        <f>'MOH DATA KALOLENI'!AB140</f>
        <v>64</v>
      </c>
      <c r="AX76" s="252">
        <f>'MOH DATA KALOLENI'!AC140</f>
        <v>30</v>
      </c>
      <c r="AY76" s="252">
        <f>'MOH DATA KALOLENI'!AD140</f>
        <v>30</v>
      </c>
      <c r="BA76" s="439" t="str">
        <f>'MOH DATA GANZE'!X140</f>
        <v>I.R.1.1</v>
      </c>
      <c r="BB76" s="238">
        <f>'MOH DATA GANZE'!Y140</f>
        <v>0</v>
      </c>
      <c r="BC76" s="226" t="str">
        <f>'MOH DATA GANZE'!Z140</f>
        <v>IPTP3</v>
      </c>
      <c r="BD76" s="252">
        <f>'MOH DATA GANZE'!AA140</f>
        <v>145</v>
      </c>
      <c r="BE76" s="252">
        <f>'MOH DATA GANZE'!AB140</f>
        <v>71</v>
      </c>
      <c r="BF76" s="252">
        <f>'MOH DATA GANZE'!AC140</f>
        <v>197</v>
      </c>
      <c r="BG76" s="252">
        <f>'MOH DATA GANZE'!AD140</f>
        <v>121</v>
      </c>
      <c r="BH76" s="252">
        <f>'MOH DATA GANZE'!AE140</f>
        <v>121</v>
      </c>
    </row>
    <row r="77" spans="2:60" x14ac:dyDescent="0.2">
      <c r="Q77" s="439">
        <f>'MOH DATA KF NORTH'!W141</f>
        <v>0</v>
      </c>
      <c r="R77" s="238">
        <f>'MOH DATA KF NORTH'!X141</f>
        <v>0</v>
      </c>
      <c r="S77" s="226" t="str">
        <f>'MOH DATA KF NORTH'!Y141</f>
        <v>IPTP 3 MONTHLY AVERAGE</v>
      </c>
      <c r="T77" s="253">
        <f>'MOH DATA KF NORTH'!Z141</f>
        <v>21.25</v>
      </c>
      <c r="U77" s="253">
        <f>'MOH DATA KF NORTH'!AA141</f>
        <v>0</v>
      </c>
      <c r="V77" s="253">
        <f>'MOH DATA KF NORTH'!AB141</f>
        <v>32.799999999999997</v>
      </c>
      <c r="W77" s="253">
        <f>'MOH DATA KF NORTH'!AC141</f>
        <v>36.333333333333336</v>
      </c>
      <c r="X77" s="226">
        <f>'MOH DATA KF NORTH'!AD141</f>
        <v>0</v>
      </c>
      <c r="Z77" s="439">
        <f>'MOH DATA KF SUD'!W141</f>
        <v>0</v>
      </c>
      <c r="AA77" s="238">
        <f>'MOH DATA KF SUD'!X141</f>
        <v>0</v>
      </c>
      <c r="AB77" s="226" t="str">
        <f>'MOH DATA KF SUD'!Y141</f>
        <v>IPTP 3 MONTHLY AVERAGE</v>
      </c>
      <c r="AC77" s="253">
        <f>'MOH DATA KF SUD'!Z141</f>
        <v>2</v>
      </c>
      <c r="AD77" s="253">
        <f>'MOH DATA KF SUD'!AA141</f>
        <v>3.6</v>
      </c>
      <c r="AE77" s="253">
        <f>'MOH DATA KF SUD'!AB141</f>
        <v>1.7333333333333334</v>
      </c>
      <c r="AF77" s="253">
        <f>'MOH DATA KF SUD'!AC141</f>
        <v>1.3333333333333333</v>
      </c>
      <c r="AG77" s="226">
        <f>'MOH DATA KF SUD'!AD141</f>
        <v>0</v>
      </c>
      <c r="AI77" s="439">
        <f>'MOH DATA RABAI'!W141</f>
        <v>0</v>
      </c>
      <c r="AJ77" s="238">
        <f>'MOH DATA RABAI'!X141</f>
        <v>0</v>
      </c>
      <c r="AK77" s="226" t="str">
        <f>'MOH DATA RABAI'!Y141</f>
        <v>IPTP 3 MONTHLY AVERAGE</v>
      </c>
      <c r="AL77" s="253">
        <f>'MOH DATA RABAI'!Z141</f>
        <v>8.9166666666666661</v>
      </c>
      <c r="AM77" s="253">
        <f>'MOH DATA RABAI'!AA141</f>
        <v>1</v>
      </c>
      <c r="AN77" s="253">
        <f>'MOH DATA RABAI'!AB141</f>
        <v>7.4</v>
      </c>
      <c r="AO77" s="253">
        <f>'MOH DATA RABAI'!AC141</f>
        <v>7.4444444444444446</v>
      </c>
      <c r="AP77" s="226">
        <f>'MOH DATA RABAI'!AD141</f>
        <v>0</v>
      </c>
      <c r="AR77" s="439">
        <f>'MOH DATA KALOLENI'!W141</f>
        <v>0</v>
      </c>
      <c r="AS77" s="238">
        <f>'MOH DATA KALOLENI'!X141</f>
        <v>0</v>
      </c>
      <c r="AT77" s="226" t="str">
        <f>'MOH DATA KALOLENI'!Y141</f>
        <v>IPTP 3 MONTHLY AVERAGE</v>
      </c>
      <c r="AU77" s="253">
        <f>'MOH DATA KALOLENI'!Z141</f>
        <v>4.75</v>
      </c>
      <c r="AV77" s="253">
        <f>'MOH DATA KALOLENI'!AA141</f>
        <v>6</v>
      </c>
      <c r="AW77" s="253">
        <f>'MOH DATA KALOLENI'!AB141</f>
        <v>4.2666666666666666</v>
      </c>
      <c r="AX77" s="253">
        <f>'MOH DATA KALOLENI'!AC141</f>
        <v>3.3333333333333335</v>
      </c>
      <c r="AY77" s="226">
        <f>'MOH DATA KALOLENI'!AD141</f>
        <v>0</v>
      </c>
      <c r="BA77" s="439">
        <f>'MOH DATA GANZE'!X141</f>
        <v>0</v>
      </c>
      <c r="BB77" s="238">
        <f>'MOH DATA GANZE'!Y141</f>
        <v>0</v>
      </c>
      <c r="BC77" s="226" t="str">
        <f>'MOH DATA GANZE'!Z141</f>
        <v>IPTP 3 MONTHLY AVERAGE</v>
      </c>
      <c r="BD77" s="253">
        <f>'MOH DATA GANZE'!AA141</f>
        <v>12.083333333333334</v>
      </c>
      <c r="BE77" s="253">
        <f>'MOH DATA GANZE'!AB141</f>
        <v>14.2</v>
      </c>
      <c r="BF77" s="253">
        <f>'MOH DATA GANZE'!AC141</f>
        <v>13.133333333333333</v>
      </c>
      <c r="BG77" s="253">
        <f>'MOH DATA GANZE'!AD141</f>
        <v>13.444444444444445</v>
      </c>
      <c r="BH77" s="226">
        <f>'MOH DATA GANZE'!AE141</f>
        <v>0</v>
      </c>
    </row>
    <row r="78" spans="2:60" x14ac:dyDescent="0.2">
      <c r="Q78" s="440" t="str">
        <f>'MOH DATA KF NORTH'!W142</f>
        <v>I.R.1.2</v>
      </c>
      <c r="R78" s="237">
        <f>'MOH DATA KF NORTH'!X142</f>
        <v>0</v>
      </c>
      <c r="S78" s="227" t="str">
        <f>'MOH DATA KF NORTH'!Y142</f>
        <v>Sleep Net / Sensitized</v>
      </c>
      <c r="T78" s="272">
        <f>'MOH DATA KF NORTH'!Z142</f>
        <v>0.5757575757575758</v>
      </c>
      <c r="U78" s="272">
        <f>'MOH DATA KF NORTH'!AA142</f>
        <v>0</v>
      </c>
      <c r="V78" s="272">
        <f>'MOH DATA KF NORTH'!AB142</f>
        <v>0.70365722481176052</v>
      </c>
      <c r="W78" s="272">
        <f>'MOH DATA KF NORTH'!AC142</f>
        <v>0.87599569429494084</v>
      </c>
      <c r="X78" s="272">
        <f>'MOH DATA KF NORTH'!AD142</f>
        <v>0</v>
      </c>
      <c r="Z78" s="440" t="str">
        <f>'MOH DATA KF SUD'!W142</f>
        <v>I.R.1.2</v>
      </c>
      <c r="AA78" s="237">
        <f>'MOH DATA KF SUD'!X142</f>
        <v>0</v>
      </c>
      <c r="AB78" s="227" t="str">
        <f>'MOH DATA KF SUD'!Y142</f>
        <v>Sleep Net / Sensitized</v>
      </c>
      <c r="AC78" s="272">
        <f>'MOH DATA KF SUD'!Z142</f>
        <v>0.18421052631578946</v>
      </c>
      <c r="AD78" s="272">
        <f>'MOH DATA KF SUD'!AA142</f>
        <v>0</v>
      </c>
      <c r="AE78" s="272">
        <f>'MOH DATA KF SUD'!AB142</f>
        <v>0.31925645190398844</v>
      </c>
      <c r="AF78" s="272">
        <f>'MOH DATA KF SUD'!AC142</f>
        <v>0.8402652200120555</v>
      </c>
      <c r="AG78" s="227">
        <f>'MOH DATA KF SUD'!AD142</f>
        <v>0</v>
      </c>
      <c r="AI78" s="440" t="str">
        <f>'MOH DATA RABAI'!W142</f>
        <v>I.R.1.2</v>
      </c>
      <c r="AJ78" s="237">
        <f>'MOH DATA RABAI'!X142</f>
        <v>0</v>
      </c>
      <c r="AK78" s="227" t="str">
        <f>'MOH DATA RABAI'!Y142</f>
        <v>Sleep Net / Sensitized</v>
      </c>
      <c r="AL78" s="272">
        <f>'MOH DATA RABAI'!Z142</f>
        <v>0.38448275862068965</v>
      </c>
      <c r="AM78" s="272">
        <f>'MOH DATA RABAI'!AA142</f>
        <v>0</v>
      </c>
      <c r="AN78" s="272">
        <f>'MOH DATA RABAI'!AB142</f>
        <v>0.46455466112698002</v>
      </c>
      <c r="AO78" s="272">
        <f>'MOH DATA RABAI'!AC142</f>
        <v>0.80711488250652741</v>
      </c>
      <c r="AP78" s="227">
        <f>'MOH DATA RABAI'!AD142</f>
        <v>0</v>
      </c>
      <c r="AR78" s="440" t="str">
        <f>'MOH DATA KALOLENI'!W142</f>
        <v>I.R.1.2</v>
      </c>
      <c r="AS78" s="237">
        <f>'MOH DATA KALOLENI'!X142</f>
        <v>0</v>
      </c>
      <c r="AT78" s="227" t="str">
        <f>'MOH DATA KALOLENI'!Y142</f>
        <v>Sleep Net / Sensitized</v>
      </c>
      <c r="AU78" s="272">
        <f>'MOH DATA KALOLENI'!Z142</f>
        <v>0.54058577405857744</v>
      </c>
      <c r="AV78" s="272">
        <f>'MOH DATA KALOLENI'!AA142</f>
        <v>0</v>
      </c>
      <c r="AW78" s="272">
        <f>'MOH DATA KALOLENI'!AB142</f>
        <v>0.56499586890663733</v>
      </c>
      <c r="AX78" s="272">
        <f>'MOH DATA KALOLENI'!AC142</f>
        <v>0.75532163742690062</v>
      </c>
      <c r="AY78" s="227">
        <f>'MOH DATA KALOLENI'!AD142</f>
        <v>0</v>
      </c>
      <c r="BA78" s="440" t="str">
        <f>'MOH DATA GANZE'!X142</f>
        <v>I.R.1.2</v>
      </c>
      <c r="BB78" s="237">
        <f>'MOH DATA GANZE'!Y142</f>
        <v>0</v>
      </c>
      <c r="BC78" s="227" t="str">
        <f>'MOH DATA GANZE'!Z142</f>
        <v>Sleep Net / Sensitized</v>
      </c>
      <c r="BD78" s="272">
        <f>'MOH DATA GANZE'!AA142</f>
        <v>0.48103792415169661</v>
      </c>
      <c r="BE78" s="272">
        <f>'MOH DATA GANZE'!AB142</f>
        <v>0</v>
      </c>
      <c r="BF78" s="272">
        <f>'MOH DATA GANZE'!AC142</f>
        <v>0.60444704505558811</v>
      </c>
      <c r="BG78" s="272">
        <f>'MOH DATA GANZE'!AD142</f>
        <v>0.8947128532360985</v>
      </c>
      <c r="BH78" s="227">
        <f>'MOH DATA GANZE'!AE142</f>
        <v>0</v>
      </c>
    </row>
    <row r="79" spans="2:60" x14ac:dyDescent="0.2">
      <c r="Q79" s="440">
        <f>'MOH DATA KF NORTH'!W143</f>
        <v>0</v>
      </c>
      <c r="R79" s="237">
        <f>'MOH DATA KF NORTH'!X143</f>
        <v>0</v>
      </c>
      <c r="S79" s="227" t="str">
        <f>'MOH DATA KF NORTH'!Y143</f>
        <v>Sleep Net</v>
      </c>
      <c r="T79" s="227">
        <f>'MOH DATA KF NORTH'!Z143</f>
        <v>779</v>
      </c>
      <c r="U79" s="227">
        <f>'MOH DATA KF NORTH'!AA143</f>
        <v>0</v>
      </c>
      <c r="V79" s="227">
        <f>'MOH DATA KF NORTH'!AB143</f>
        <v>11775</v>
      </c>
      <c r="W79" s="227">
        <f>'MOH DATA KF NORTH'!AC143</f>
        <v>8138</v>
      </c>
      <c r="X79" s="227">
        <f>'MOH DATA KF NORTH'!AD143</f>
        <v>0</v>
      </c>
      <c r="Z79" s="440">
        <f>'MOH DATA KF SUD'!W143</f>
        <v>0</v>
      </c>
      <c r="AA79" s="237">
        <f>'MOH DATA KF SUD'!X143</f>
        <v>0</v>
      </c>
      <c r="AB79" s="227" t="str">
        <f>'MOH DATA KF SUD'!Y143</f>
        <v>Sleep Net</v>
      </c>
      <c r="AC79" s="227">
        <f>'MOH DATA KF SUD'!Z143</f>
        <v>273</v>
      </c>
      <c r="AD79" s="227">
        <f>'MOH DATA KF SUD'!AA143</f>
        <v>0</v>
      </c>
      <c r="AE79" s="227">
        <f>'MOH DATA KF SUD'!AB143</f>
        <v>3538</v>
      </c>
      <c r="AF79" s="227">
        <f>'MOH DATA KF SUD'!AC143</f>
        <v>5576</v>
      </c>
      <c r="AG79" s="227">
        <f>'MOH DATA KF SUD'!AD143</f>
        <v>0</v>
      </c>
      <c r="AI79" s="440">
        <f>'MOH DATA RABAI'!W143</f>
        <v>0</v>
      </c>
      <c r="AJ79" s="237">
        <f>'MOH DATA RABAI'!X143</f>
        <v>0</v>
      </c>
      <c r="AK79" s="227" t="str">
        <f>'MOH DATA RABAI'!Y143</f>
        <v>Sleep Net</v>
      </c>
      <c r="AL79" s="227">
        <f>'MOH DATA RABAI'!Z143</f>
        <v>669</v>
      </c>
      <c r="AM79" s="227">
        <f>'MOH DATA RABAI'!AA143</f>
        <v>0</v>
      </c>
      <c r="AN79" s="227">
        <f>'MOH DATA RABAI'!AB143</f>
        <v>5367</v>
      </c>
      <c r="AO79" s="227">
        <f>'MOH DATA RABAI'!AC143</f>
        <v>9892</v>
      </c>
      <c r="AP79" s="227">
        <f>'MOH DATA RABAI'!AD143</f>
        <v>0</v>
      </c>
      <c r="AR79" s="440">
        <f>'MOH DATA KALOLENI'!W143</f>
        <v>0</v>
      </c>
      <c r="AS79" s="237">
        <f>'MOH DATA KALOLENI'!X143</f>
        <v>0</v>
      </c>
      <c r="AT79" s="227" t="str">
        <f>'MOH DATA KALOLENI'!Y143</f>
        <v>Sleep Net</v>
      </c>
      <c r="AU79" s="227">
        <f>'MOH DATA KALOLENI'!Z143</f>
        <v>646</v>
      </c>
      <c r="AV79" s="227">
        <f>'MOH DATA KALOLENI'!AA143</f>
        <v>0</v>
      </c>
      <c r="AW79" s="227">
        <f>'MOH DATA KALOLENI'!AB143</f>
        <v>4103</v>
      </c>
      <c r="AX79" s="227">
        <f>'MOH DATA KALOLENI'!AC143</f>
        <v>3229</v>
      </c>
      <c r="AY79" s="227">
        <f>'MOH DATA KALOLENI'!AD143</f>
        <v>0</v>
      </c>
      <c r="BA79" s="440">
        <f>'MOH DATA GANZE'!X143</f>
        <v>0</v>
      </c>
      <c r="BB79" s="237">
        <f>'MOH DATA GANZE'!Y143</f>
        <v>0</v>
      </c>
      <c r="BC79" s="227" t="str">
        <f>'MOH DATA GANZE'!Z143</f>
        <v>Sleep Net</v>
      </c>
      <c r="BD79" s="227">
        <f>'MOH DATA GANZE'!AA143</f>
        <v>241</v>
      </c>
      <c r="BE79" s="227">
        <f>'MOH DATA GANZE'!AB143</f>
        <v>0</v>
      </c>
      <c r="BF79" s="227">
        <f>'MOH DATA GANZE'!AC143</f>
        <v>2066</v>
      </c>
      <c r="BG79" s="227">
        <f>'MOH DATA GANZE'!AD143</f>
        <v>1963</v>
      </c>
      <c r="BH79" s="227">
        <f>'MOH DATA GANZE'!AE143</f>
        <v>0</v>
      </c>
    </row>
    <row r="80" spans="2:60" x14ac:dyDescent="0.2">
      <c r="Q80" s="440">
        <f>'MOH DATA KF NORTH'!W144</f>
        <v>0</v>
      </c>
      <c r="R80" s="237">
        <f>'MOH DATA KF NORTH'!X144</f>
        <v>0</v>
      </c>
      <c r="S80" s="227" t="str">
        <f>'MOH DATA KF NORTH'!Y144</f>
        <v>Sensitised</v>
      </c>
      <c r="T80" s="227">
        <f>'MOH DATA KF NORTH'!Z144</f>
        <v>1353</v>
      </c>
      <c r="U80" s="227">
        <f>'MOH DATA KF NORTH'!AA144</f>
        <v>0</v>
      </c>
      <c r="V80" s="227">
        <f>'MOH DATA KF NORTH'!AB144</f>
        <v>16734</v>
      </c>
      <c r="W80" s="227">
        <f>'MOH DATA KF NORTH'!AC144</f>
        <v>9290</v>
      </c>
      <c r="X80" s="227">
        <f>'MOH DATA KF NORTH'!AD144</f>
        <v>0</v>
      </c>
      <c r="Z80" s="440">
        <f>'MOH DATA KF SUD'!W144</f>
        <v>0</v>
      </c>
      <c r="AA80" s="237">
        <f>'MOH DATA KF SUD'!X144</f>
        <v>0</v>
      </c>
      <c r="AB80" s="227" t="str">
        <f>'MOH DATA KF SUD'!Y144</f>
        <v>Sensitised</v>
      </c>
      <c r="AC80" s="227">
        <f>'MOH DATA KF SUD'!Z144</f>
        <v>1482</v>
      </c>
      <c r="AD80" s="227">
        <f>'MOH DATA KF SUD'!AA144</f>
        <v>0</v>
      </c>
      <c r="AE80" s="227">
        <f>'MOH DATA KF SUD'!AB144</f>
        <v>11082</v>
      </c>
      <c r="AF80" s="227">
        <f>'MOH DATA KF SUD'!AC144</f>
        <v>6636</v>
      </c>
      <c r="AG80" s="227">
        <f>'MOH DATA KF SUD'!AD144</f>
        <v>0</v>
      </c>
      <c r="AI80" s="440">
        <f>'MOH DATA RABAI'!W144</f>
        <v>0</v>
      </c>
      <c r="AJ80" s="237">
        <f>'MOH DATA RABAI'!X144</f>
        <v>0</v>
      </c>
      <c r="AK80" s="227" t="str">
        <f>'MOH DATA RABAI'!Y144</f>
        <v>Sensitised</v>
      </c>
      <c r="AL80" s="227">
        <f>'MOH DATA RABAI'!Z144</f>
        <v>1740</v>
      </c>
      <c r="AM80" s="227">
        <f>'MOH DATA RABAI'!AA144</f>
        <v>0</v>
      </c>
      <c r="AN80" s="227">
        <f>'MOH DATA RABAI'!AB144</f>
        <v>11553</v>
      </c>
      <c r="AO80" s="227">
        <f>'MOH DATA RABAI'!AC144</f>
        <v>12256</v>
      </c>
      <c r="AP80" s="227">
        <f>'MOH DATA RABAI'!AD144</f>
        <v>0</v>
      </c>
      <c r="AR80" s="440">
        <f>'MOH DATA KALOLENI'!W144</f>
        <v>0</v>
      </c>
      <c r="AS80" s="237">
        <f>'MOH DATA KALOLENI'!X144</f>
        <v>0</v>
      </c>
      <c r="AT80" s="227" t="str">
        <f>'MOH DATA KALOLENI'!Y144</f>
        <v>Sensitised</v>
      </c>
      <c r="AU80" s="227">
        <f>'MOH DATA KALOLENI'!Z144</f>
        <v>1195</v>
      </c>
      <c r="AV80" s="227">
        <f>'MOH DATA KALOLENI'!AA144</f>
        <v>0</v>
      </c>
      <c r="AW80" s="227">
        <f>'MOH DATA KALOLENI'!AB144</f>
        <v>7262</v>
      </c>
      <c r="AX80" s="227">
        <f>'MOH DATA KALOLENI'!AC144</f>
        <v>4275</v>
      </c>
      <c r="AY80" s="227">
        <f>'MOH DATA KALOLENI'!AD144</f>
        <v>0</v>
      </c>
      <c r="BA80" s="440">
        <f>'MOH DATA GANZE'!X144</f>
        <v>0</v>
      </c>
      <c r="BB80" s="237">
        <f>'MOH DATA GANZE'!Y144</f>
        <v>0</v>
      </c>
      <c r="BC80" s="227" t="str">
        <f>'MOH DATA GANZE'!Z144</f>
        <v>Sensitised</v>
      </c>
      <c r="BD80" s="227">
        <f>'MOH DATA GANZE'!AA144</f>
        <v>501</v>
      </c>
      <c r="BE80" s="227">
        <f>'MOH DATA GANZE'!AB144</f>
        <v>0</v>
      </c>
      <c r="BF80" s="227">
        <f>'MOH DATA GANZE'!AC144</f>
        <v>3418</v>
      </c>
      <c r="BG80" s="227">
        <f>'MOH DATA GANZE'!AD144</f>
        <v>2194</v>
      </c>
      <c r="BH80" s="227">
        <f>'MOH DATA GANZE'!AE144</f>
        <v>0</v>
      </c>
    </row>
    <row r="81" spans="17:60" x14ac:dyDescent="0.2">
      <c r="Q81" s="441" t="str">
        <f>'MOH DATA KF NORTH'!W145</f>
        <v>I.R.1.3</v>
      </c>
      <c r="R81" s="239">
        <f>'MOH DATA KF NORTH'!X145</f>
        <v>0</v>
      </c>
      <c r="S81" s="228" t="str">
        <f>'MOH DATA KF NORTH'!Y145</f>
        <v>Access Net / Sensitized</v>
      </c>
      <c r="T81" s="274">
        <f>'MOH DATA KF NORTH'!Z145</f>
        <v>0.33185513673318551</v>
      </c>
      <c r="U81" s="274">
        <f>'MOH DATA KF NORTH'!AA145</f>
        <v>0</v>
      </c>
      <c r="V81" s="274">
        <f>'MOH DATA KF NORTH'!AB145</f>
        <v>0.50746982191944545</v>
      </c>
      <c r="W81" s="274">
        <f>'MOH DATA KF NORTH'!AC145</f>
        <v>0.78223896663078574</v>
      </c>
      <c r="X81" s="274">
        <f>'MOH DATA KF NORTH'!AD145</f>
        <v>0</v>
      </c>
      <c r="Z81" s="441" t="str">
        <f>'MOH DATA KF SUD'!W145</f>
        <v>I.R.1.3</v>
      </c>
      <c r="AA81" s="239">
        <f>'MOH DATA KF SUD'!X145</f>
        <v>0</v>
      </c>
      <c r="AB81" s="228" t="str">
        <f>'MOH DATA KF SUD'!Y145</f>
        <v>Access Net / Sensitized</v>
      </c>
      <c r="AC81" s="274">
        <f>'MOH DATA KF SUD'!Z145</f>
        <v>0.12213225371120108</v>
      </c>
      <c r="AD81" s="274">
        <f>'MOH DATA KF SUD'!AA145</f>
        <v>0</v>
      </c>
      <c r="AE81" s="274">
        <f>'MOH DATA KF SUD'!AB145</f>
        <v>0.27486013354990074</v>
      </c>
      <c r="AF81" s="274">
        <f>'MOH DATA KF SUD'!AC145</f>
        <v>0.49442435201928875</v>
      </c>
      <c r="AG81" s="228">
        <f>'MOH DATA KF SUD'!AD145</f>
        <v>0</v>
      </c>
      <c r="AI81" s="441" t="str">
        <f>'MOH DATA RABAI'!W145</f>
        <v>I.R.1.3</v>
      </c>
      <c r="AJ81" s="239">
        <f>'MOH DATA RABAI'!X145</f>
        <v>0</v>
      </c>
      <c r="AK81" s="228" t="str">
        <f>'MOH DATA RABAI'!Y145</f>
        <v>Access Net / Sensitized</v>
      </c>
      <c r="AL81" s="274">
        <f>'MOH DATA RABAI'!Z145</f>
        <v>0.13333333333333333</v>
      </c>
      <c r="AM81" s="274">
        <f>'MOH DATA RABAI'!AA145</f>
        <v>0</v>
      </c>
      <c r="AN81" s="274">
        <f>'MOH DATA RABAI'!AB145</f>
        <v>0.31039556825067083</v>
      </c>
      <c r="AO81" s="274">
        <f>'MOH DATA RABAI'!AC145</f>
        <v>0.54381527415143605</v>
      </c>
      <c r="AP81" s="228">
        <f>'MOH DATA RABAI'!AD145</f>
        <v>0</v>
      </c>
      <c r="AR81" s="441" t="str">
        <f>'MOH DATA KALOLENI'!W145</f>
        <v>I.R.1.3</v>
      </c>
      <c r="AS81" s="239">
        <f>'MOH DATA KALOLENI'!X145</f>
        <v>0</v>
      </c>
      <c r="AT81" s="228" t="str">
        <f>'MOH DATA KALOLENI'!Y145</f>
        <v>Access Net / Sensitized</v>
      </c>
      <c r="AU81" s="274">
        <f>'MOH DATA KALOLENI'!Z145</f>
        <v>0.53054393305439329</v>
      </c>
      <c r="AV81" s="274">
        <f>'MOH DATA KALOLENI'!AA145</f>
        <v>0</v>
      </c>
      <c r="AW81" s="274">
        <f>'MOH DATA KALOLENI'!AB145</f>
        <v>0.57009088405397967</v>
      </c>
      <c r="AX81" s="274">
        <f>'MOH DATA KALOLENI'!AC145</f>
        <v>0.59157894736842109</v>
      </c>
      <c r="AY81" s="228">
        <f>'MOH DATA KALOLENI'!AD145</f>
        <v>0</v>
      </c>
      <c r="BA81" s="441" t="str">
        <f>'MOH DATA GANZE'!X145</f>
        <v>I.R.1.3</v>
      </c>
      <c r="BB81" s="239">
        <f>'MOH DATA GANZE'!Y145</f>
        <v>0</v>
      </c>
      <c r="BC81" s="228" t="str">
        <f>'MOH DATA GANZE'!Z145</f>
        <v>Access Net / Sensitized</v>
      </c>
      <c r="BD81" s="274">
        <f>'MOH DATA GANZE'!AA145</f>
        <v>0.40119760479041916</v>
      </c>
      <c r="BE81" s="274">
        <f>'MOH DATA GANZE'!AB145</f>
        <v>0</v>
      </c>
      <c r="BF81" s="274">
        <f>'MOH DATA GANZE'!AC145</f>
        <v>0.45348156816851959</v>
      </c>
      <c r="BG81" s="274">
        <f>'MOH DATA GANZE'!AD145</f>
        <v>0.77894257064721972</v>
      </c>
      <c r="BH81" s="228">
        <f>'MOH DATA GANZE'!AE145</f>
        <v>0</v>
      </c>
    </row>
    <row r="82" spans="17:60" x14ac:dyDescent="0.2">
      <c r="Q82" s="441">
        <f>'MOH DATA KF NORTH'!W146</f>
        <v>0</v>
      </c>
      <c r="R82" s="239">
        <f>'MOH DATA KF NORTH'!X146</f>
        <v>0</v>
      </c>
      <c r="S82" s="228" t="str">
        <f>'MOH DATA KF NORTH'!Y146</f>
        <v>Access Net</v>
      </c>
      <c r="T82" s="228">
        <f>'MOH DATA KF NORTH'!Z146</f>
        <v>449</v>
      </c>
      <c r="U82" s="228">
        <f>'MOH DATA KF NORTH'!AA146</f>
        <v>0</v>
      </c>
      <c r="V82" s="228">
        <f>'MOH DATA KF NORTH'!AB146</f>
        <v>8492</v>
      </c>
      <c r="W82" s="228">
        <f>'MOH DATA KF NORTH'!AC146</f>
        <v>7267</v>
      </c>
      <c r="X82" s="228">
        <f>'MOH DATA KF NORTH'!AD146</f>
        <v>0</v>
      </c>
      <c r="Z82" s="441">
        <f>'MOH DATA KF SUD'!W146</f>
        <v>0</v>
      </c>
      <c r="AA82" s="239">
        <f>'MOH DATA KF SUD'!X146</f>
        <v>0</v>
      </c>
      <c r="AB82" s="228" t="str">
        <f>'MOH DATA KF SUD'!Y146</f>
        <v>Access Net</v>
      </c>
      <c r="AC82" s="228">
        <f>'MOH DATA KF SUD'!Z146</f>
        <v>181</v>
      </c>
      <c r="AD82" s="228">
        <f>'MOH DATA KF SUD'!AA146</f>
        <v>0</v>
      </c>
      <c r="AE82" s="228">
        <f>'MOH DATA KF SUD'!AB146</f>
        <v>3046</v>
      </c>
      <c r="AF82" s="228">
        <f>'MOH DATA KF SUD'!AC146</f>
        <v>3281</v>
      </c>
      <c r="AG82" s="228">
        <f>'MOH DATA KF SUD'!AD146</f>
        <v>0</v>
      </c>
      <c r="AI82" s="441">
        <f>'MOH DATA RABAI'!W146</f>
        <v>0</v>
      </c>
      <c r="AJ82" s="239">
        <f>'MOH DATA RABAI'!X146</f>
        <v>0</v>
      </c>
      <c r="AK82" s="228" t="str">
        <f>'MOH DATA RABAI'!Y146</f>
        <v>Access Net</v>
      </c>
      <c r="AL82" s="228">
        <f>'MOH DATA RABAI'!Z146</f>
        <v>232</v>
      </c>
      <c r="AM82" s="228">
        <f>'MOH DATA RABAI'!AA146</f>
        <v>0</v>
      </c>
      <c r="AN82" s="228">
        <f>'MOH DATA RABAI'!AB146</f>
        <v>3586</v>
      </c>
      <c r="AO82" s="228">
        <f>'MOH DATA RABAI'!AC146</f>
        <v>6665</v>
      </c>
      <c r="AP82" s="228">
        <f>'MOH DATA RABAI'!AD146</f>
        <v>0</v>
      </c>
      <c r="AR82" s="441">
        <f>'MOH DATA KALOLENI'!W146</f>
        <v>0</v>
      </c>
      <c r="AS82" s="239">
        <f>'MOH DATA KALOLENI'!X146</f>
        <v>0</v>
      </c>
      <c r="AT82" s="228" t="str">
        <f>'MOH DATA KALOLENI'!Y146</f>
        <v>Access Net</v>
      </c>
      <c r="AU82" s="228">
        <f>'MOH DATA KALOLENI'!Z146</f>
        <v>634</v>
      </c>
      <c r="AV82" s="228">
        <f>'MOH DATA KALOLENI'!AA146</f>
        <v>0</v>
      </c>
      <c r="AW82" s="228">
        <f>'MOH DATA KALOLENI'!AB146</f>
        <v>4140</v>
      </c>
      <c r="AX82" s="228">
        <f>'MOH DATA KALOLENI'!AC146</f>
        <v>2529</v>
      </c>
      <c r="AY82" s="228">
        <f>'MOH DATA KALOLENI'!AD146</f>
        <v>0</v>
      </c>
      <c r="BA82" s="441">
        <f>'MOH DATA GANZE'!X146</f>
        <v>0</v>
      </c>
      <c r="BB82" s="239">
        <f>'MOH DATA GANZE'!Y146</f>
        <v>0</v>
      </c>
      <c r="BC82" s="228" t="str">
        <f>'MOH DATA GANZE'!Z146</f>
        <v>Access Net</v>
      </c>
      <c r="BD82" s="228">
        <f>'MOH DATA GANZE'!AA146</f>
        <v>201</v>
      </c>
      <c r="BE82" s="228">
        <f>'MOH DATA GANZE'!AB146</f>
        <v>0</v>
      </c>
      <c r="BF82" s="228">
        <f>'MOH DATA GANZE'!AC146</f>
        <v>1550</v>
      </c>
      <c r="BG82" s="228">
        <f>'MOH DATA GANZE'!AD146</f>
        <v>1709</v>
      </c>
      <c r="BH82" s="228">
        <f>'MOH DATA GANZE'!AE146</f>
        <v>0</v>
      </c>
    </row>
    <row r="83" spans="17:60" x14ac:dyDescent="0.2">
      <c r="Q83" s="441">
        <f>'MOH DATA KF NORTH'!W147</f>
        <v>0</v>
      </c>
      <c r="R83" s="239">
        <f>'MOH DATA KF NORTH'!X147</f>
        <v>0</v>
      </c>
      <c r="S83" s="228" t="str">
        <f>'MOH DATA KF NORTH'!Y147</f>
        <v>Sensitised</v>
      </c>
      <c r="T83" s="228">
        <f>'MOH DATA KF NORTH'!Z147</f>
        <v>1353</v>
      </c>
      <c r="U83" s="228">
        <f>'MOH DATA KF NORTH'!AA147</f>
        <v>0</v>
      </c>
      <c r="V83" s="228">
        <f>'MOH DATA KF NORTH'!AB147</f>
        <v>16734</v>
      </c>
      <c r="W83" s="228">
        <f>'MOH DATA KF NORTH'!AC147</f>
        <v>9290</v>
      </c>
      <c r="X83" s="228">
        <f>'MOH DATA KF NORTH'!AD147</f>
        <v>0</v>
      </c>
      <c r="Z83" s="441">
        <f>'MOH DATA KF SUD'!W147</f>
        <v>0</v>
      </c>
      <c r="AA83" s="239">
        <f>'MOH DATA KF SUD'!X147</f>
        <v>0</v>
      </c>
      <c r="AB83" s="228" t="str">
        <f>'MOH DATA KF SUD'!Y147</f>
        <v>Sensitised</v>
      </c>
      <c r="AC83" s="228">
        <f>'MOH DATA KF SUD'!Z147</f>
        <v>1482</v>
      </c>
      <c r="AD83" s="228">
        <f>'MOH DATA KF SUD'!AA147</f>
        <v>0</v>
      </c>
      <c r="AE83" s="228">
        <f>'MOH DATA KF SUD'!AB147</f>
        <v>11082</v>
      </c>
      <c r="AF83" s="228">
        <f>'MOH DATA KF SUD'!AC147</f>
        <v>6636</v>
      </c>
      <c r="AG83" s="228">
        <f>'MOH DATA KF SUD'!AD147</f>
        <v>0</v>
      </c>
      <c r="AI83" s="441">
        <f>'MOH DATA RABAI'!W147</f>
        <v>0</v>
      </c>
      <c r="AJ83" s="239">
        <f>'MOH DATA RABAI'!X147</f>
        <v>0</v>
      </c>
      <c r="AK83" s="228" t="str">
        <f>'MOH DATA RABAI'!Y147</f>
        <v>Sensitised</v>
      </c>
      <c r="AL83" s="228">
        <f>'MOH DATA RABAI'!Z147</f>
        <v>1740</v>
      </c>
      <c r="AM83" s="228">
        <f>'MOH DATA RABAI'!AA147</f>
        <v>0</v>
      </c>
      <c r="AN83" s="228">
        <f>'MOH DATA RABAI'!AB147</f>
        <v>11553</v>
      </c>
      <c r="AO83" s="228">
        <f>'MOH DATA RABAI'!AC147</f>
        <v>12256</v>
      </c>
      <c r="AP83" s="228">
        <f>'MOH DATA RABAI'!AD147</f>
        <v>0</v>
      </c>
      <c r="AR83" s="441">
        <f>'MOH DATA KALOLENI'!W147</f>
        <v>0</v>
      </c>
      <c r="AS83" s="239">
        <f>'MOH DATA KALOLENI'!X147</f>
        <v>0</v>
      </c>
      <c r="AT83" s="228" t="str">
        <f>'MOH DATA KALOLENI'!Y147</f>
        <v>Sensitised</v>
      </c>
      <c r="AU83" s="228">
        <f>'MOH DATA KALOLENI'!Z147</f>
        <v>1195</v>
      </c>
      <c r="AV83" s="228">
        <f>'MOH DATA KALOLENI'!AA147</f>
        <v>0</v>
      </c>
      <c r="AW83" s="228">
        <f>'MOH DATA KALOLENI'!AB147</f>
        <v>7262</v>
      </c>
      <c r="AX83" s="228">
        <f>'MOH DATA KALOLENI'!AC147</f>
        <v>4275</v>
      </c>
      <c r="AY83" s="228">
        <f>'MOH DATA KALOLENI'!AD147</f>
        <v>0</v>
      </c>
      <c r="BA83" s="441">
        <f>'MOH DATA GANZE'!X147</f>
        <v>0</v>
      </c>
      <c r="BB83" s="239">
        <f>'MOH DATA GANZE'!Y147</f>
        <v>0</v>
      </c>
      <c r="BC83" s="228" t="str">
        <f>'MOH DATA GANZE'!Z147</f>
        <v>Sensitised</v>
      </c>
      <c r="BD83" s="228">
        <f>'MOH DATA GANZE'!AA147</f>
        <v>501</v>
      </c>
      <c r="BE83" s="228">
        <f>'MOH DATA GANZE'!AB147</f>
        <v>0</v>
      </c>
      <c r="BF83" s="228">
        <f>'MOH DATA GANZE'!AC147</f>
        <v>3418</v>
      </c>
      <c r="BG83" s="228">
        <f>'MOH DATA GANZE'!AD147</f>
        <v>2194</v>
      </c>
      <c r="BH83" s="228">
        <f>'MOH DATA GANZE'!AE147</f>
        <v>0</v>
      </c>
    </row>
    <row r="84" spans="17:60" x14ac:dyDescent="0.2">
      <c r="Q84" s="442" t="str">
        <f>'MOH DATA KF NORTH'!W148</f>
        <v>I.R.2.1</v>
      </c>
      <c r="R84" s="240">
        <f>'MOH DATA KF NORTH'!X148</f>
        <v>0</v>
      </c>
      <c r="S84" s="229" t="str">
        <f>'MOH DATA KF NORTH'!Y148</f>
        <v>705 Tested / 705 Suspected</v>
      </c>
      <c r="T84" s="254">
        <f>'MOH DATA KF NORTH'!Z148</f>
        <v>0.38020833333333331</v>
      </c>
      <c r="U84" s="254">
        <f>'MOH DATA KF NORTH'!AA148</f>
        <v>0.59545454545454546</v>
      </c>
      <c r="V84" s="254">
        <f>'MOH DATA KF NORTH'!AB148</f>
        <v>0.89618922470433637</v>
      </c>
      <c r="W84" s="254">
        <f>'MOH DATA KF NORTH'!AC148</f>
        <v>1</v>
      </c>
      <c r="X84" s="254">
        <f>'MOH DATA KF NORTH'!AD148</f>
        <v>1</v>
      </c>
      <c r="Z84" s="442" t="str">
        <f>'MOH DATA KF SUD'!W148</f>
        <v>I.R.2.1</v>
      </c>
      <c r="AA84" s="240">
        <f>'MOH DATA KF SUD'!X148</f>
        <v>0</v>
      </c>
      <c r="AB84" s="229" t="str">
        <f>'MOH DATA KF SUD'!Y148</f>
        <v>705 Tested / 705 Suspected</v>
      </c>
      <c r="AC84" s="254">
        <f>'MOH DATA KF SUD'!Z148</f>
        <v>0.26449475427940367</v>
      </c>
      <c r="AD84" s="254">
        <f>'MOH DATA KF SUD'!AA148</f>
        <v>0.41765704584040747</v>
      </c>
      <c r="AE84" s="254">
        <f>'MOH DATA KF SUD'!AB148</f>
        <v>0.8714338643942201</v>
      </c>
      <c r="AF84" s="254">
        <f>'MOH DATA KF SUD'!AC148</f>
        <v>0.99133517132729421</v>
      </c>
      <c r="AG84" s="254">
        <f>'MOH DATA KF SUD'!AD148</f>
        <v>0.99133517132729421</v>
      </c>
      <c r="AI84" s="442" t="str">
        <f>'MOH DATA RABAI'!W148</f>
        <v>I.R.2.1</v>
      </c>
      <c r="AJ84" s="240">
        <f>'MOH DATA RABAI'!X148</f>
        <v>0</v>
      </c>
      <c r="AK84" s="229" t="str">
        <f>'MOH DATA RABAI'!Y148</f>
        <v>705 Tested / 705 Suspected</v>
      </c>
      <c r="AL84" s="254">
        <f>'MOH DATA RABAI'!Z148</f>
        <v>6.1705989110707807E-2</v>
      </c>
      <c r="AM84" s="254">
        <f>'MOH DATA RABAI'!AA148</f>
        <v>2.7692307692307693E-2</v>
      </c>
      <c r="AN84" s="254">
        <f>'MOH DATA RABAI'!AB148</f>
        <v>0.1781150159744409</v>
      </c>
      <c r="AO84" s="254">
        <f>'MOH DATA RABAI'!AC148</f>
        <v>0.9664902998236331</v>
      </c>
      <c r="AP84" s="254">
        <f>'MOH DATA RABAI'!AD148</f>
        <v>0.9664902998236331</v>
      </c>
      <c r="AR84" s="442" t="str">
        <f>'MOH DATA KALOLENI'!W148</f>
        <v>I.R.2.1</v>
      </c>
      <c r="AS84" s="240">
        <f>'MOH DATA KALOLENI'!X148</f>
        <v>0</v>
      </c>
      <c r="AT84" s="229" t="str">
        <f>'MOH DATA KALOLENI'!Y148</f>
        <v>705 Tested / 705 Suspected</v>
      </c>
      <c r="AU84" s="254">
        <f>'MOH DATA KALOLENI'!Z148</f>
        <v>0.32329401853411965</v>
      </c>
      <c r="AV84" s="254">
        <f>'MOH DATA KALOLENI'!AA148</f>
        <v>0.13321277878239904</v>
      </c>
      <c r="AW84" s="254">
        <f>'MOH DATA KALOLENI'!AB148</f>
        <v>0.35806953814218995</v>
      </c>
      <c r="AX84" s="254">
        <f>'MOH DATA KALOLENI'!AC148</f>
        <v>0.90077177508269024</v>
      </c>
      <c r="AY84" s="254">
        <f>'MOH DATA KALOLENI'!AD148</f>
        <v>0.90077177508269024</v>
      </c>
      <c r="BA84" s="442" t="str">
        <f>'MOH DATA GANZE'!X148</f>
        <v>I.R.2.1</v>
      </c>
      <c r="BB84" s="240">
        <f>'MOH DATA GANZE'!Y148</f>
        <v>0</v>
      </c>
      <c r="BC84" s="229" t="str">
        <f>'MOH DATA GANZE'!Z148</f>
        <v>705 Tested / 705 Suspected</v>
      </c>
      <c r="BD84" s="254">
        <f>'MOH DATA GANZE'!AA148</f>
        <v>0.20966093822573154</v>
      </c>
      <c r="BE84" s="254">
        <f>'MOH DATA GANZE'!AB148</f>
        <v>0.23398157625383828</v>
      </c>
      <c r="BF84" s="254">
        <f>'MOH DATA GANZE'!AC148</f>
        <v>0.74931956827780388</v>
      </c>
      <c r="BG84" s="254">
        <f>'MOH DATA GANZE'!AD148</f>
        <v>0.73151750972762641</v>
      </c>
      <c r="BH84" s="254">
        <f>'MOH DATA GANZE'!AE148</f>
        <v>0.73151750972762641</v>
      </c>
    </row>
    <row r="85" spans="17:60" x14ac:dyDescent="0.2">
      <c r="Q85" s="442">
        <f>'MOH DATA KF NORTH'!W149</f>
        <v>0</v>
      </c>
      <c r="R85" s="240">
        <f>'MOH DATA KF NORTH'!X149</f>
        <v>0</v>
      </c>
      <c r="S85" s="229" t="str">
        <f>'MOH DATA KF NORTH'!Y149</f>
        <v>705 Tested</v>
      </c>
      <c r="T85" s="255">
        <f>'MOH DATA KF NORTH'!Z149</f>
        <v>73</v>
      </c>
      <c r="U85" s="255">
        <f>'MOH DATA KF NORTH'!AA149</f>
        <v>131</v>
      </c>
      <c r="V85" s="255">
        <f>'MOH DATA KF NORTH'!AB149</f>
        <v>1364</v>
      </c>
      <c r="W85" s="255">
        <f>'MOH DATA KF NORTH'!AC149</f>
        <v>1707</v>
      </c>
      <c r="X85" s="255">
        <f>'MOH DATA KF NORTH'!AD149</f>
        <v>1707</v>
      </c>
      <c r="Z85" s="442">
        <f>'MOH DATA KF SUD'!W149</f>
        <v>0</v>
      </c>
      <c r="AA85" s="240">
        <f>'MOH DATA KF SUD'!X149</f>
        <v>0</v>
      </c>
      <c r="AB85" s="229" t="str">
        <f>'MOH DATA KF SUD'!Y149</f>
        <v>705 Tested</v>
      </c>
      <c r="AC85" s="255">
        <f>'MOH DATA KF SUD'!Z149</f>
        <v>958</v>
      </c>
      <c r="AD85" s="255">
        <f>'MOH DATA KF SUD'!AA149</f>
        <v>492</v>
      </c>
      <c r="AE85" s="255">
        <f>'MOH DATA KF SUD'!AB149</f>
        <v>2352</v>
      </c>
      <c r="AF85" s="255">
        <f>'MOH DATA KF SUD'!AC149</f>
        <v>2517</v>
      </c>
      <c r="AG85" s="255">
        <f>'MOH DATA KF SUD'!AD149</f>
        <v>2517</v>
      </c>
      <c r="AI85" s="442">
        <f>'MOH DATA RABAI'!W149</f>
        <v>0</v>
      </c>
      <c r="AJ85" s="240">
        <f>'MOH DATA RABAI'!X149</f>
        <v>0</v>
      </c>
      <c r="AK85" s="229" t="str">
        <f>'MOH DATA RABAI'!Y149</f>
        <v>705 Tested</v>
      </c>
      <c r="AL85" s="255">
        <f>'MOH DATA RABAI'!Z149</f>
        <v>34</v>
      </c>
      <c r="AM85" s="255">
        <f>'MOH DATA RABAI'!AA149</f>
        <v>9</v>
      </c>
      <c r="AN85" s="255">
        <f>'MOH DATA RABAI'!AB149</f>
        <v>223</v>
      </c>
      <c r="AO85" s="255">
        <f>'MOH DATA RABAI'!AC149</f>
        <v>548</v>
      </c>
      <c r="AP85" s="255">
        <f>'MOH DATA RABAI'!AD149</f>
        <v>548</v>
      </c>
      <c r="AR85" s="442">
        <f>'MOH DATA KALOLENI'!W149</f>
        <v>0</v>
      </c>
      <c r="AS85" s="240">
        <f>'MOH DATA KALOLENI'!X149</f>
        <v>0</v>
      </c>
      <c r="AT85" s="229" t="str">
        <f>'MOH DATA KALOLENI'!Y149</f>
        <v>705 Tested</v>
      </c>
      <c r="AU85" s="255">
        <f>'MOH DATA KALOLENI'!Z149</f>
        <v>1535</v>
      </c>
      <c r="AV85" s="255">
        <f>'MOH DATA KALOLENI'!AA149</f>
        <v>221</v>
      </c>
      <c r="AW85" s="255">
        <f>'MOH DATA KALOLENI'!AB149</f>
        <v>1380</v>
      </c>
      <c r="AX85" s="255">
        <f>'MOH DATA KALOLENI'!AC149</f>
        <v>3268</v>
      </c>
      <c r="AY85" s="255">
        <f>'MOH DATA KALOLENI'!AD149</f>
        <v>3268</v>
      </c>
      <c r="BA85" s="442">
        <f>'MOH DATA GANZE'!X149</f>
        <v>0</v>
      </c>
      <c r="BB85" s="240">
        <f>'MOH DATA GANZE'!Y149</f>
        <v>0</v>
      </c>
      <c r="BC85" s="229" t="str">
        <f>'MOH DATA GANZE'!Z149</f>
        <v>705 Tested</v>
      </c>
      <c r="BD85" s="255">
        <f>'MOH DATA GANZE'!AA149</f>
        <v>2257</v>
      </c>
      <c r="BE85" s="255">
        <f>'MOH DATA GANZE'!AB149</f>
        <v>1143</v>
      </c>
      <c r="BF85" s="255">
        <f>'MOH DATA GANZE'!AC149</f>
        <v>7984</v>
      </c>
      <c r="BG85" s="255">
        <f>'MOH DATA GANZE'!AD149</f>
        <v>4700</v>
      </c>
      <c r="BH85" s="255">
        <f>'MOH DATA GANZE'!AE149</f>
        <v>4700</v>
      </c>
    </row>
    <row r="86" spans="17:60" x14ac:dyDescent="0.2">
      <c r="Q86" s="442">
        <f>'MOH DATA KF NORTH'!W150</f>
        <v>0</v>
      </c>
      <c r="R86" s="240">
        <f>'MOH DATA KF NORTH'!X150</f>
        <v>0</v>
      </c>
      <c r="S86" s="229" t="str">
        <f>'MOH DATA KF NORTH'!Y150</f>
        <v>705 Suspected</v>
      </c>
      <c r="T86" s="255">
        <f>'MOH DATA KF NORTH'!Z150</f>
        <v>192</v>
      </c>
      <c r="U86" s="255">
        <f>'MOH DATA KF NORTH'!AA150</f>
        <v>220</v>
      </c>
      <c r="V86" s="255">
        <f>'MOH DATA KF NORTH'!AB150</f>
        <v>1522</v>
      </c>
      <c r="W86" s="255">
        <f>'MOH DATA KF NORTH'!AC150</f>
        <v>1707</v>
      </c>
      <c r="X86" s="255">
        <f>'MOH DATA KF NORTH'!AD150</f>
        <v>1707</v>
      </c>
      <c r="Z86" s="442">
        <f>'MOH DATA KF SUD'!W150</f>
        <v>0</v>
      </c>
      <c r="AA86" s="240">
        <f>'MOH DATA KF SUD'!X150</f>
        <v>0</v>
      </c>
      <c r="AB86" s="229" t="str">
        <f>'MOH DATA KF SUD'!Y150</f>
        <v>705 Suspected</v>
      </c>
      <c r="AC86" s="255">
        <f>'MOH DATA KF SUD'!Z150</f>
        <v>3622</v>
      </c>
      <c r="AD86" s="255">
        <f>'MOH DATA KF SUD'!AA150</f>
        <v>1178</v>
      </c>
      <c r="AE86" s="255">
        <f>'MOH DATA KF SUD'!AB150</f>
        <v>2699</v>
      </c>
      <c r="AF86" s="255">
        <f>'MOH DATA KF SUD'!AC150</f>
        <v>2539</v>
      </c>
      <c r="AG86" s="255">
        <f>'MOH DATA KF SUD'!AD150</f>
        <v>2539</v>
      </c>
      <c r="AI86" s="442">
        <f>'MOH DATA RABAI'!W150</f>
        <v>0</v>
      </c>
      <c r="AJ86" s="240">
        <f>'MOH DATA RABAI'!X150</f>
        <v>0</v>
      </c>
      <c r="AK86" s="229" t="str">
        <f>'MOH DATA RABAI'!Y150</f>
        <v>705 Suspected</v>
      </c>
      <c r="AL86" s="255">
        <f>'MOH DATA RABAI'!Z150</f>
        <v>551</v>
      </c>
      <c r="AM86" s="255">
        <f>'MOH DATA RABAI'!AA150</f>
        <v>325</v>
      </c>
      <c r="AN86" s="255">
        <f>'MOH DATA RABAI'!AB150</f>
        <v>1252</v>
      </c>
      <c r="AO86" s="255">
        <f>'MOH DATA RABAI'!AC150</f>
        <v>567</v>
      </c>
      <c r="AP86" s="255">
        <f>'MOH DATA RABAI'!AD150</f>
        <v>567</v>
      </c>
      <c r="AR86" s="442">
        <f>'MOH DATA KALOLENI'!W150</f>
        <v>0</v>
      </c>
      <c r="AS86" s="240">
        <f>'MOH DATA KALOLENI'!X150</f>
        <v>0</v>
      </c>
      <c r="AT86" s="229" t="str">
        <f>'MOH DATA KALOLENI'!Y150</f>
        <v>705 Suspected</v>
      </c>
      <c r="AU86" s="255">
        <f>'MOH DATA KALOLENI'!Z150</f>
        <v>4748</v>
      </c>
      <c r="AV86" s="255">
        <f>'MOH DATA KALOLENI'!AA150</f>
        <v>1659</v>
      </c>
      <c r="AW86" s="255">
        <f>'MOH DATA KALOLENI'!AB150</f>
        <v>3854</v>
      </c>
      <c r="AX86" s="255">
        <f>'MOH DATA KALOLENI'!AC150</f>
        <v>3628</v>
      </c>
      <c r="AY86" s="255">
        <f>'MOH DATA KALOLENI'!AD150</f>
        <v>3628</v>
      </c>
      <c r="BA86" s="442">
        <f>'MOH DATA GANZE'!X150</f>
        <v>0</v>
      </c>
      <c r="BB86" s="240">
        <f>'MOH DATA GANZE'!Y150</f>
        <v>0</v>
      </c>
      <c r="BC86" s="229" t="str">
        <f>'MOH DATA GANZE'!Z150</f>
        <v>705 Suspected</v>
      </c>
      <c r="BD86" s="255">
        <f>'MOH DATA GANZE'!AA150</f>
        <v>10765</v>
      </c>
      <c r="BE86" s="255">
        <f>'MOH DATA GANZE'!AB150</f>
        <v>4885</v>
      </c>
      <c r="BF86" s="255">
        <f>'MOH DATA GANZE'!AC150</f>
        <v>10655</v>
      </c>
      <c r="BG86" s="255">
        <f>'MOH DATA GANZE'!AD150</f>
        <v>6425</v>
      </c>
      <c r="BH86" s="255">
        <f>'MOH DATA GANZE'!AE150</f>
        <v>6425</v>
      </c>
    </row>
    <row r="87" spans="17:60" x14ac:dyDescent="0.2">
      <c r="Q87" s="423" t="str">
        <f>'MOH DATA KF NORTH'!W151</f>
        <v>I.R.2.2</v>
      </c>
      <c r="R87" s="241">
        <f>'MOH DATA KF NORTH'!X151</f>
        <v>0</v>
      </c>
      <c r="S87" s="230" t="str">
        <f>'MOH DATA KF NORTH'!Y151</f>
        <v>Treatment 743</v>
      </c>
      <c r="T87" s="256">
        <f>'MOH DATA KF NORTH'!Z151</f>
        <v>59</v>
      </c>
      <c r="U87" s="256">
        <f>'MOH DATA KF NORTH'!AA151</f>
        <v>2071</v>
      </c>
      <c r="V87" s="256">
        <f>'MOH DATA KF NORTH'!AB151</f>
        <v>87</v>
      </c>
      <c r="W87" s="256">
        <f>'MOH DATA KF NORTH'!AC151</f>
        <v>64</v>
      </c>
      <c r="X87" s="256">
        <f>'MOH DATA KF NORTH'!AD151</f>
        <v>64</v>
      </c>
      <c r="Z87" s="423" t="str">
        <f>'MOH DATA KF SUD'!W151</f>
        <v>I.R.2.2</v>
      </c>
      <c r="AA87" s="241">
        <f>'MOH DATA KF SUD'!X151</f>
        <v>0</v>
      </c>
      <c r="AB87" s="230" t="str">
        <f>'MOH DATA KF SUD'!Y151</f>
        <v>Treatment 743</v>
      </c>
      <c r="AC87" s="256">
        <f>'MOH DATA KF SUD'!Z151</f>
        <v>2122</v>
      </c>
      <c r="AD87" s="256">
        <f>'MOH DATA KF SUD'!AA151</f>
        <v>556</v>
      </c>
      <c r="AE87" s="256">
        <f>'MOH DATA KF SUD'!AB151</f>
        <v>1236</v>
      </c>
      <c r="AF87" s="256">
        <f>'MOH DATA KF SUD'!AC151</f>
        <v>726</v>
      </c>
      <c r="AG87" s="256">
        <f>'MOH DATA KF SUD'!AD151</f>
        <v>726</v>
      </c>
      <c r="AI87" s="423" t="str">
        <f>'MOH DATA RABAI'!W151</f>
        <v>I.R.2.2</v>
      </c>
      <c r="AJ87" s="241">
        <f>'MOH DATA RABAI'!X151</f>
        <v>0</v>
      </c>
      <c r="AK87" s="230" t="str">
        <f>'MOH DATA RABAI'!Y151</f>
        <v>Treatment 743</v>
      </c>
      <c r="AL87" s="256">
        <f>'MOH DATA RABAI'!Z151</f>
        <v>156</v>
      </c>
      <c r="AM87" s="256">
        <f>'MOH DATA RABAI'!AA151</f>
        <v>46</v>
      </c>
      <c r="AN87" s="256">
        <f>'MOH DATA RABAI'!AB151</f>
        <v>183</v>
      </c>
      <c r="AO87" s="256">
        <f>'MOH DATA RABAI'!AC151</f>
        <v>74</v>
      </c>
      <c r="AP87" s="256">
        <f>'MOH DATA RABAI'!AD151</f>
        <v>74</v>
      </c>
      <c r="AR87" s="423" t="str">
        <f>'MOH DATA KALOLENI'!W151</f>
        <v>I.R.2.2</v>
      </c>
      <c r="AS87" s="241">
        <f>'MOH DATA KALOLENI'!X151</f>
        <v>0</v>
      </c>
      <c r="AT87" s="230" t="str">
        <f>'MOH DATA KALOLENI'!Y151</f>
        <v>Treatment 743</v>
      </c>
      <c r="AU87" s="256">
        <f>'MOH DATA KALOLENI'!Z151</f>
        <v>2971</v>
      </c>
      <c r="AV87" s="256">
        <f>'MOH DATA KALOLENI'!AA151</f>
        <v>700</v>
      </c>
      <c r="AW87" s="256">
        <f>'MOH DATA KALOLENI'!AB151</f>
        <v>1425</v>
      </c>
      <c r="AX87" s="256">
        <f>'MOH DATA KALOLENI'!AC151</f>
        <v>1692</v>
      </c>
      <c r="AY87" s="256">
        <f>'MOH DATA KALOLENI'!AD151</f>
        <v>1692</v>
      </c>
      <c r="BA87" s="423" t="str">
        <f>'MOH DATA GANZE'!X151</f>
        <v>I.R.2.2</v>
      </c>
      <c r="BB87" s="241">
        <f>'MOH DATA GANZE'!Y151</f>
        <v>0</v>
      </c>
      <c r="BC87" s="230" t="str">
        <f>'MOH DATA GANZE'!Z151</f>
        <v>Treatment 743</v>
      </c>
      <c r="BD87" s="256">
        <f>'MOH DATA GANZE'!AA151</f>
        <v>3715</v>
      </c>
      <c r="BE87" s="256">
        <f>'MOH DATA GANZE'!AB151</f>
        <v>1679</v>
      </c>
      <c r="BF87" s="256">
        <f>'MOH DATA GANZE'!AC151</f>
        <v>6081</v>
      </c>
      <c r="BG87" s="256">
        <f>'MOH DATA GANZE'!AD151</f>
        <v>1620</v>
      </c>
      <c r="BH87" s="256">
        <f>'MOH DATA GANZE'!AE151</f>
        <v>1620</v>
      </c>
    </row>
    <row r="88" spans="17:60" x14ac:dyDescent="0.2">
      <c r="Q88" s="423">
        <f>'MOH DATA KF NORTH'!W152</f>
        <v>0</v>
      </c>
      <c r="R88" s="241">
        <f>'MOH DATA KF NORTH'!X152</f>
        <v>0</v>
      </c>
      <c r="S88" s="230" t="str">
        <f>'MOH DATA KF NORTH'!Y152</f>
        <v>Treatment 743 Monthly AVG</v>
      </c>
      <c r="T88" s="260">
        <f>'MOH DATA KF NORTH'!Z152</f>
        <v>4.916666666666667</v>
      </c>
      <c r="U88" s="260">
        <f>'MOH DATA KF NORTH'!AA152</f>
        <v>414.2</v>
      </c>
      <c r="V88" s="260">
        <f>'MOH DATA KF NORTH'!AB152</f>
        <v>5.8</v>
      </c>
      <c r="W88" s="260">
        <f>'MOH DATA KF NORTH'!AC152</f>
        <v>7.1111111111111107</v>
      </c>
      <c r="X88" s="230">
        <f>'MOH DATA KF NORTH'!AD152</f>
        <v>0</v>
      </c>
      <c r="Z88" s="423">
        <f>'MOH DATA KF SUD'!W152</f>
        <v>0</v>
      </c>
      <c r="AA88" s="241">
        <f>'MOH DATA KF SUD'!X152</f>
        <v>0</v>
      </c>
      <c r="AB88" s="230" t="str">
        <f>'MOH DATA KF SUD'!Y152</f>
        <v>Treatment 743 Monthly AVG</v>
      </c>
      <c r="AC88" s="260">
        <f>'MOH DATA KF SUD'!Z152</f>
        <v>176.83333333333334</v>
      </c>
      <c r="AD88" s="260">
        <f>'MOH DATA KF SUD'!AA152</f>
        <v>111.2</v>
      </c>
      <c r="AE88" s="260">
        <f>'MOH DATA KF SUD'!AB152</f>
        <v>82.4</v>
      </c>
      <c r="AF88" s="260">
        <f>'MOH DATA KF SUD'!AC152</f>
        <v>80.666666666666671</v>
      </c>
      <c r="AG88" s="230">
        <f>'MOH DATA KF SUD'!AD152</f>
        <v>0</v>
      </c>
      <c r="AI88" s="423">
        <f>'MOH DATA RABAI'!W152</f>
        <v>0</v>
      </c>
      <c r="AJ88" s="241">
        <f>'MOH DATA RABAI'!X152</f>
        <v>0</v>
      </c>
      <c r="AK88" s="230" t="str">
        <f>'MOH DATA RABAI'!Y152</f>
        <v>Treatment 743 Monthly AVG</v>
      </c>
      <c r="AL88" s="260">
        <f>'MOH DATA RABAI'!Z152</f>
        <v>13</v>
      </c>
      <c r="AM88" s="260">
        <f>'MOH DATA RABAI'!AA152</f>
        <v>9.1999999999999993</v>
      </c>
      <c r="AN88" s="260">
        <f>'MOH DATA RABAI'!AB152</f>
        <v>12.2</v>
      </c>
      <c r="AO88" s="260">
        <f>'MOH DATA RABAI'!AC152</f>
        <v>8.2222222222222214</v>
      </c>
      <c r="AP88" s="230">
        <f>'MOH DATA RABAI'!AD152</f>
        <v>0</v>
      </c>
      <c r="AR88" s="423">
        <f>'MOH DATA KALOLENI'!W152</f>
        <v>0</v>
      </c>
      <c r="AS88" s="241">
        <f>'MOH DATA KALOLENI'!X152</f>
        <v>0</v>
      </c>
      <c r="AT88" s="230" t="str">
        <f>'MOH DATA KALOLENI'!Y152</f>
        <v>Treatment 743 Monthly AVG</v>
      </c>
      <c r="AU88" s="260">
        <f>'MOH DATA KALOLENI'!Z152</f>
        <v>247.58333333333334</v>
      </c>
      <c r="AV88" s="260">
        <f>'MOH DATA KALOLENI'!AA152</f>
        <v>140</v>
      </c>
      <c r="AW88" s="260">
        <f>'MOH DATA KALOLENI'!AB152</f>
        <v>95</v>
      </c>
      <c r="AX88" s="260">
        <f>'MOH DATA KALOLENI'!AC152</f>
        <v>188</v>
      </c>
      <c r="AY88" s="230">
        <f>'MOH DATA KALOLENI'!AD152</f>
        <v>0</v>
      </c>
      <c r="BA88" s="423">
        <f>'MOH DATA GANZE'!X152</f>
        <v>0</v>
      </c>
      <c r="BB88" s="241">
        <f>'MOH DATA GANZE'!Y152</f>
        <v>0</v>
      </c>
      <c r="BC88" s="230" t="str">
        <f>'MOH DATA GANZE'!Z152</f>
        <v>Treatment 743 Monthly AVG</v>
      </c>
      <c r="BD88" s="260">
        <f>'MOH DATA GANZE'!AA152</f>
        <v>309.58333333333331</v>
      </c>
      <c r="BE88" s="260">
        <f>'MOH DATA GANZE'!AB152</f>
        <v>335.8</v>
      </c>
      <c r="BF88" s="260">
        <f>'MOH DATA GANZE'!AC152</f>
        <v>405.4</v>
      </c>
      <c r="BG88" s="260">
        <f>'MOH DATA GANZE'!AD152</f>
        <v>180</v>
      </c>
      <c r="BH88" s="230">
        <f>'MOH DATA GANZE'!AE152</f>
        <v>0</v>
      </c>
    </row>
    <row r="89" spans="17:60" x14ac:dyDescent="0.2">
      <c r="Q89" s="446" t="str">
        <f>'MOH DATA KF NORTH'!W153</f>
        <v>I.R.2.3</v>
      </c>
      <c r="R89" s="242">
        <f>'MOH DATA KF NORTH'!X153</f>
        <v>0</v>
      </c>
      <c r="S89" s="231" t="str">
        <f>'MOH DATA KF NORTH'!Y153</f>
        <v>Confirmed 705</v>
      </c>
      <c r="T89" s="261">
        <f>'MOH DATA KF NORTH'!Z153</f>
        <v>31</v>
      </c>
      <c r="U89" s="261">
        <f>'MOH DATA KF NORTH'!AA153</f>
        <v>15</v>
      </c>
      <c r="V89" s="261">
        <f>'MOH DATA KF NORTH'!AB153</f>
        <v>67</v>
      </c>
      <c r="W89" s="261">
        <f>'MOH DATA KF NORTH'!AC153</f>
        <v>111</v>
      </c>
      <c r="X89" s="257">
        <f>'MOH DATA KF NORTH'!AD153</f>
        <v>111</v>
      </c>
      <c r="Z89" s="446" t="str">
        <f>'MOH DATA KF SUD'!W153</f>
        <v>I.R.2.3</v>
      </c>
      <c r="AA89" s="242">
        <f>'MOH DATA KF SUD'!X153</f>
        <v>0</v>
      </c>
      <c r="AB89" s="231" t="str">
        <f>'MOH DATA KF SUD'!Y153</f>
        <v>Confirmed 705</v>
      </c>
      <c r="AC89" s="261">
        <f>'MOH DATA KF SUD'!Z153</f>
        <v>1769</v>
      </c>
      <c r="AD89" s="261">
        <f>'MOH DATA KF SUD'!AA153</f>
        <v>561</v>
      </c>
      <c r="AE89" s="261">
        <f>'MOH DATA KF SUD'!AB153</f>
        <v>958</v>
      </c>
      <c r="AF89" s="261">
        <f>'MOH DATA KF SUD'!AC153</f>
        <v>882</v>
      </c>
      <c r="AG89" s="257">
        <f>'MOH DATA KF SUD'!AD153</f>
        <v>882</v>
      </c>
      <c r="AI89" s="446" t="str">
        <f>'MOH DATA RABAI'!W153</f>
        <v>I.R.2.3</v>
      </c>
      <c r="AJ89" s="242">
        <f>'MOH DATA RABAI'!X153</f>
        <v>0</v>
      </c>
      <c r="AK89" s="231" t="str">
        <f>'MOH DATA RABAI'!Y153</f>
        <v>Confirmed 705</v>
      </c>
      <c r="AL89" s="261">
        <f>'MOH DATA RABAI'!Z153</f>
        <v>117</v>
      </c>
      <c r="AM89" s="261">
        <f>'MOH DATA RABAI'!AA153</f>
        <v>46</v>
      </c>
      <c r="AN89" s="261">
        <f>'MOH DATA RABAI'!AB153</f>
        <v>175</v>
      </c>
      <c r="AO89" s="261">
        <f>'MOH DATA RABAI'!AC153</f>
        <v>111</v>
      </c>
      <c r="AP89" s="257">
        <f>'MOH DATA RABAI'!AD153</f>
        <v>111</v>
      </c>
      <c r="AR89" s="446" t="str">
        <f>'MOH DATA KALOLENI'!W153</f>
        <v>I.R.2.3</v>
      </c>
      <c r="AS89" s="242">
        <f>'MOH DATA KALOLENI'!X153</f>
        <v>0</v>
      </c>
      <c r="AT89" s="231" t="str">
        <f>'MOH DATA KALOLENI'!Y153</f>
        <v>Confirmed 705</v>
      </c>
      <c r="AU89" s="261">
        <f>'MOH DATA KALOLENI'!Z153</f>
        <v>2627</v>
      </c>
      <c r="AV89" s="261">
        <f>'MOH DATA KALOLENI'!AA153</f>
        <v>695</v>
      </c>
      <c r="AW89" s="261">
        <f>'MOH DATA KALOLENI'!AB153</f>
        <v>1178</v>
      </c>
      <c r="AX89" s="261">
        <f>'MOH DATA KALOLENI'!AC153</f>
        <v>1957</v>
      </c>
      <c r="AY89" s="257">
        <f>'MOH DATA KALOLENI'!AD153</f>
        <v>1957</v>
      </c>
      <c r="BA89" s="446" t="str">
        <f>'MOH DATA GANZE'!X153</f>
        <v>I.R.2.3</v>
      </c>
      <c r="BB89" s="242">
        <f>'MOH DATA GANZE'!Y153</f>
        <v>0</v>
      </c>
      <c r="BC89" s="231" t="str">
        <f>'MOH DATA GANZE'!Z153</f>
        <v>Confirmed 705</v>
      </c>
      <c r="BD89" s="261">
        <f>'MOH DATA GANZE'!AA153</f>
        <v>3531</v>
      </c>
      <c r="BE89" s="261">
        <f>'MOH DATA GANZE'!AB153</f>
        <v>1629</v>
      </c>
      <c r="BF89" s="261">
        <f>'MOH DATA GANZE'!AC153</f>
        <v>2917</v>
      </c>
      <c r="BG89" s="261">
        <f>'MOH DATA GANZE'!AD153</f>
        <v>2215</v>
      </c>
      <c r="BH89" s="257">
        <f>'MOH DATA GANZE'!AE153</f>
        <v>2215</v>
      </c>
    </row>
    <row r="90" spans="17:60" x14ac:dyDescent="0.2">
      <c r="Q90" s="446">
        <f>'MOH DATA KF NORTH'!W154</f>
        <v>0</v>
      </c>
      <c r="R90" s="242">
        <f>'MOH DATA KF NORTH'!X154</f>
        <v>0</v>
      </c>
      <c r="S90" s="231" t="str">
        <f>'MOH DATA KF NORTH'!Y154</f>
        <v>Confirmed 705 MONTHLY AVG</v>
      </c>
      <c r="T90" s="262">
        <f>'MOH DATA KF NORTH'!Z154</f>
        <v>2.5833333333333335</v>
      </c>
      <c r="U90" s="262">
        <f>'MOH DATA KF NORTH'!AA154</f>
        <v>3</v>
      </c>
      <c r="V90" s="262">
        <f>'MOH DATA KF NORTH'!AB154</f>
        <v>4.4666666666666668</v>
      </c>
      <c r="W90" s="262">
        <f>'MOH DATA KF NORTH'!AC154</f>
        <v>12.333333333333334</v>
      </c>
      <c r="X90" s="231">
        <f>'MOH DATA KF NORTH'!AD154</f>
        <v>0</v>
      </c>
      <c r="Z90" s="446">
        <f>'MOH DATA KF SUD'!W154</f>
        <v>0</v>
      </c>
      <c r="AA90" s="242">
        <f>'MOH DATA KF SUD'!X154</f>
        <v>0</v>
      </c>
      <c r="AB90" s="231" t="str">
        <f>'MOH DATA KF SUD'!Y154</f>
        <v>Confirmed 705 MONTHLY AVG</v>
      </c>
      <c r="AC90" s="262">
        <f>'MOH DATA KF SUD'!Z154</f>
        <v>147.41666666666666</v>
      </c>
      <c r="AD90" s="262">
        <f>'MOH DATA KF SUD'!AA154</f>
        <v>112.2</v>
      </c>
      <c r="AE90" s="262">
        <f>'MOH DATA KF SUD'!AB154</f>
        <v>63.866666666666667</v>
      </c>
      <c r="AF90" s="262">
        <f>'MOH DATA KF SUD'!AC154</f>
        <v>98</v>
      </c>
      <c r="AG90" s="231">
        <f>'MOH DATA KF SUD'!AD154</f>
        <v>0</v>
      </c>
      <c r="AI90" s="446">
        <f>'MOH DATA RABAI'!W154</f>
        <v>0</v>
      </c>
      <c r="AJ90" s="242">
        <f>'MOH DATA RABAI'!X154</f>
        <v>0</v>
      </c>
      <c r="AK90" s="231" t="str">
        <f>'MOH DATA RABAI'!Y154</f>
        <v>Confirmed 705 MONTHLY AVG</v>
      </c>
      <c r="AL90" s="262">
        <f>'MOH DATA RABAI'!Z154</f>
        <v>9.75</v>
      </c>
      <c r="AM90" s="262">
        <f>'MOH DATA RABAI'!AA154</f>
        <v>9.1999999999999993</v>
      </c>
      <c r="AN90" s="262">
        <f>'MOH DATA RABAI'!AB154</f>
        <v>11.666666666666666</v>
      </c>
      <c r="AO90" s="262">
        <f>'MOH DATA RABAI'!AC154</f>
        <v>12.333333333333334</v>
      </c>
      <c r="AP90" s="231">
        <f>'MOH DATA RABAI'!AD154</f>
        <v>0</v>
      </c>
      <c r="AR90" s="446">
        <f>'MOH DATA KALOLENI'!W154</f>
        <v>0</v>
      </c>
      <c r="AS90" s="242">
        <f>'MOH DATA KALOLENI'!X154</f>
        <v>0</v>
      </c>
      <c r="AT90" s="231" t="str">
        <f>'MOH DATA KALOLENI'!Y154</f>
        <v>Confirmed 705 MONTHLY AVG</v>
      </c>
      <c r="AU90" s="262">
        <f>'MOH DATA KALOLENI'!Z154</f>
        <v>218.91666666666666</v>
      </c>
      <c r="AV90" s="262">
        <f>'MOH DATA KALOLENI'!AA154</f>
        <v>139</v>
      </c>
      <c r="AW90" s="262">
        <f>'MOH DATA KALOLENI'!AB154</f>
        <v>78.533333333333331</v>
      </c>
      <c r="AX90" s="262">
        <f>'MOH DATA KALOLENI'!AC154</f>
        <v>217.44444444444446</v>
      </c>
      <c r="AY90" s="231">
        <f>'MOH DATA KALOLENI'!AD154</f>
        <v>0</v>
      </c>
      <c r="BA90" s="446">
        <f>'MOH DATA GANZE'!X154</f>
        <v>0</v>
      </c>
      <c r="BB90" s="242">
        <f>'MOH DATA GANZE'!Y154</f>
        <v>0</v>
      </c>
      <c r="BC90" s="231" t="str">
        <f>'MOH DATA GANZE'!Z154</f>
        <v>Confirmed 705 MONTHLY AVG</v>
      </c>
      <c r="BD90" s="262">
        <f>'MOH DATA GANZE'!AA154</f>
        <v>294.25</v>
      </c>
      <c r="BE90" s="262">
        <f>'MOH DATA GANZE'!AB154</f>
        <v>325.8</v>
      </c>
      <c r="BF90" s="262">
        <f>'MOH DATA GANZE'!AC154</f>
        <v>194.46666666666667</v>
      </c>
      <c r="BG90" s="262">
        <f>'MOH DATA GANZE'!AD154</f>
        <v>246.11111111111111</v>
      </c>
      <c r="BH90" s="231">
        <f>'MOH DATA GANZE'!AE154</f>
        <v>0</v>
      </c>
    </row>
    <row r="91" spans="17:60" x14ac:dyDescent="0.2">
      <c r="Q91" s="446">
        <f>'MOH DATA KF NORTH'!W155</f>
        <v>0</v>
      </c>
      <c r="R91" s="242">
        <f>'MOH DATA KF NORTH'!X155</f>
        <v>0</v>
      </c>
      <c r="S91" s="231" t="str">
        <f>'MOH DATA KF NORTH'!Y155</f>
        <v>Confirmed 743</v>
      </c>
      <c r="T91" s="261">
        <f>'MOH DATA KF NORTH'!Z155</f>
        <v>27</v>
      </c>
      <c r="U91" s="261">
        <f>'MOH DATA KF NORTH'!AA155</f>
        <v>2071</v>
      </c>
      <c r="V91" s="261">
        <f>'MOH DATA KF NORTH'!AB155</f>
        <v>87</v>
      </c>
      <c r="W91" s="261">
        <f>'MOH DATA KF NORTH'!AC155</f>
        <v>111</v>
      </c>
      <c r="X91" s="257">
        <f>'MOH DATA KF NORTH'!AD155</f>
        <v>111</v>
      </c>
      <c r="Z91" s="446">
        <f>'MOH DATA KF SUD'!W155</f>
        <v>0</v>
      </c>
      <c r="AA91" s="242">
        <f>'MOH DATA KF SUD'!X155</f>
        <v>0</v>
      </c>
      <c r="AB91" s="231" t="str">
        <f>'MOH DATA KF SUD'!Y155</f>
        <v>Confirmed 743</v>
      </c>
      <c r="AC91" s="261">
        <f>'MOH DATA KF SUD'!Z155</f>
        <v>1761</v>
      </c>
      <c r="AD91" s="261">
        <f>'MOH DATA KF SUD'!AA155</f>
        <v>551</v>
      </c>
      <c r="AE91" s="261">
        <f>'MOH DATA KF SUD'!AB155</f>
        <v>981</v>
      </c>
      <c r="AF91" s="261">
        <f>'MOH DATA KF SUD'!AC155</f>
        <v>806</v>
      </c>
      <c r="AG91" s="257">
        <f>'MOH DATA KF SUD'!AD155</f>
        <v>806</v>
      </c>
      <c r="AI91" s="446">
        <f>'MOH DATA RABAI'!W155</f>
        <v>0</v>
      </c>
      <c r="AJ91" s="242">
        <f>'MOH DATA RABAI'!X155</f>
        <v>0</v>
      </c>
      <c r="AK91" s="231" t="str">
        <f>'MOH DATA RABAI'!Y155</f>
        <v>Confirmed 743</v>
      </c>
      <c r="AL91" s="261">
        <f>'MOH DATA RABAI'!Z155</f>
        <v>157</v>
      </c>
      <c r="AM91" s="261">
        <f>'MOH DATA RABAI'!AA155</f>
        <v>46</v>
      </c>
      <c r="AN91" s="261">
        <f>'MOH DATA RABAI'!AB155</f>
        <v>176</v>
      </c>
      <c r="AO91" s="261">
        <f>'MOH DATA RABAI'!AC155</f>
        <v>113</v>
      </c>
      <c r="AP91" s="257">
        <f>'MOH DATA RABAI'!AD155</f>
        <v>113</v>
      </c>
      <c r="AR91" s="446">
        <f>'MOH DATA KALOLENI'!W155</f>
        <v>0</v>
      </c>
      <c r="AS91" s="242">
        <f>'MOH DATA KALOLENI'!X155</f>
        <v>0</v>
      </c>
      <c r="AT91" s="231" t="str">
        <f>'MOH DATA KALOLENI'!Y155</f>
        <v>Confirmed 743</v>
      </c>
      <c r="AU91" s="261">
        <f>'MOH DATA KALOLENI'!Z155</f>
        <v>2965</v>
      </c>
      <c r="AV91" s="261">
        <f>'MOH DATA KALOLENI'!AA155</f>
        <v>700</v>
      </c>
      <c r="AW91" s="261">
        <f>'MOH DATA KALOLENI'!AB155</f>
        <v>1283</v>
      </c>
      <c r="AX91" s="261">
        <f>'MOH DATA KALOLENI'!AC155</f>
        <v>2272</v>
      </c>
      <c r="AY91" s="257">
        <f>'MOH DATA KALOLENI'!AD155</f>
        <v>2272</v>
      </c>
      <c r="BA91" s="446">
        <f>'MOH DATA GANZE'!X155</f>
        <v>0</v>
      </c>
      <c r="BB91" s="242">
        <f>'MOH DATA GANZE'!Y155</f>
        <v>0</v>
      </c>
      <c r="BC91" s="231" t="str">
        <f>'MOH DATA GANZE'!Z155</f>
        <v>Confirmed 743</v>
      </c>
      <c r="BD91" s="261">
        <f>'MOH DATA GANZE'!AA155</f>
        <v>4422</v>
      </c>
      <c r="BE91" s="261">
        <f>'MOH DATA GANZE'!AB155</f>
        <v>1679</v>
      </c>
      <c r="BF91" s="261">
        <f>'MOH DATA GANZE'!AC155</f>
        <v>3288</v>
      </c>
      <c r="BG91" s="261">
        <f>'MOH DATA GANZE'!AD155</f>
        <v>2292</v>
      </c>
      <c r="BH91" s="257">
        <f>'MOH DATA GANZE'!AE155</f>
        <v>2292</v>
      </c>
    </row>
    <row r="92" spans="17:60" x14ac:dyDescent="0.2">
      <c r="Q92" s="446">
        <f>'MOH DATA KF NORTH'!W156</f>
        <v>0</v>
      </c>
      <c r="R92" s="242">
        <f>'MOH DATA KF NORTH'!X156</f>
        <v>0</v>
      </c>
      <c r="S92" s="231" t="str">
        <f>'MOH DATA KF NORTH'!Y156</f>
        <v>Confirmed 743 MONTHLY AVG</v>
      </c>
      <c r="T92" s="261">
        <f>'MOH DATA KF NORTH'!Z156</f>
        <v>2.25</v>
      </c>
      <c r="U92" s="261">
        <f>'MOH DATA KF NORTH'!AA156</f>
        <v>414.2</v>
      </c>
      <c r="V92" s="261">
        <f>'MOH DATA KF NORTH'!AB156</f>
        <v>5.8</v>
      </c>
      <c r="W92" s="261">
        <f>'MOH DATA KF NORTH'!AC156</f>
        <v>12.333333333333334</v>
      </c>
      <c r="X92" s="257">
        <f>'MOH DATA KF NORTH'!AD156</f>
        <v>0</v>
      </c>
      <c r="Z92" s="446">
        <f>'MOH DATA KF SUD'!W156</f>
        <v>0</v>
      </c>
      <c r="AA92" s="242">
        <f>'MOH DATA KF SUD'!X156</f>
        <v>0</v>
      </c>
      <c r="AB92" s="231" t="str">
        <f>'MOH DATA KF SUD'!Y156</f>
        <v>Confirmed 743 MONTHLY AVG</v>
      </c>
      <c r="AC92" s="261">
        <f>'MOH DATA KF SUD'!Z156</f>
        <v>146.75</v>
      </c>
      <c r="AD92" s="261">
        <f>'MOH DATA KF SUD'!AA156</f>
        <v>110.2</v>
      </c>
      <c r="AE92" s="261">
        <f>'MOH DATA KF SUD'!AB156</f>
        <v>65.400000000000006</v>
      </c>
      <c r="AF92" s="261">
        <f>'MOH DATA KF SUD'!AC156</f>
        <v>89.555555555555557</v>
      </c>
      <c r="AG92" s="257">
        <f>'MOH DATA KF SUD'!AD156</f>
        <v>0</v>
      </c>
      <c r="AI92" s="446">
        <f>'MOH DATA RABAI'!W156</f>
        <v>0</v>
      </c>
      <c r="AJ92" s="242">
        <f>'MOH DATA RABAI'!X156</f>
        <v>0</v>
      </c>
      <c r="AK92" s="231" t="str">
        <f>'MOH DATA RABAI'!Y156</f>
        <v>Confirmed 743 MONTHLY AVG</v>
      </c>
      <c r="AL92" s="261">
        <f>'MOH DATA RABAI'!Z156</f>
        <v>13.083333333333334</v>
      </c>
      <c r="AM92" s="261">
        <f>'MOH DATA RABAI'!AA156</f>
        <v>9.1999999999999993</v>
      </c>
      <c r="AN92" s="261">
        <f>'MOH DATA RABAI'!AB156</f>
        <v>11.733333333333333</v>
      </c>
      <c r="AO92" s="261">
        <f>'MOH DATA RABAI'!AC156</f>
        <v>12.555555555555555</v>
      </c>
      <c r="AP92" s="257">
        <f>'MOH DATA RABAI'!AD156</f>
        <v>0</v>
      </c>
      <c r="AR92" s="446">
        <f>'MOH DATA KALOLENI'!W156</f>
        <v>0</v>
      </c>
      <c r="AS92" s="242">
        <f>'MOH DATA KALOLENI'!X156</f>
        <v>0</v>
      </c>
      <c r="AT92" s="231" t="str">
        <f>'MOH DATA KALOLENI'!Y156</f>
        <v>Confirmed 743 MONTHLY AVG</v>
      </c>
      <c r="AU92" s="261">
        <f>'MOH DATA KALOLENI'!Z156</f>
        <v>247.08333333333334</v>
      </c>
      <c r="AV92" s="261">
        <f>'MOH DATA KALOLENI'!AA156</f>
        <v>140</v>
      </c>
      <c r="AW92" s="261">
        <f>'MOH DATA KALOLENI'!AB156</f>
        <v>85.533333333333331</v>
      </c>
      <c r="AX92" s="261">
        <f>'MOH DATA KALOLENI'!AC156</f>
        <v>252.44444444444446</v>
      </c>
      <c r="AY92" s="257">
        <f>'MOH DATA KALOLENI'!AD156</f>
        <v>0</v>
      </c>
      <c r="BA92" s="446">
        <f>'MOH DATA GANZE'!X156</f>
        <v>0</v>
      </c>
      <c r="BB92" s="242">
        <f>'MOH DATA GANZE'!Y156</f>
        <v>0</v>
      </c>
      <c r="BC92" s="231" t="str">
        <f>'MOH DATA GANZE'!Z156</f>
        <v>Confirmed 743 MONTHLY AVG</v>
      </c>
      <c r="BD92" s="261">
        <f>'MOH DATA GANZE'!AA156</f>
        <v>368.5</v>
      </c>
      <c r="BE92" s="261">
        <f>'MOH DATA GANZE'!AB156</f>
        <v>335.8</v>
      </c>
      <c r="BF92" s="261">
        <f>'MOH DATA GANZE'!AC156</f>
        <v>219.2</v>
      </c>
      <c r="BG92" s="261">
        <f>'MOH DATA GANZE'!AD156</f>
        <v>254.66666666666666</v>
      </c>
      <c r="BH92" s="257">
        <f>'MOH DATA GANZE'!AE156</f>
        <v>0</v>
      </c>
    </row>
    <row r="93" spans="17:60" x14ac:dyDescent="0.2">
      <c r="Q93" s="232" t="str">
        <f>'MOH DATA KF NORTH'!W157</f>
        <v>I.R.3.1</v>
      </c>
      <c r="R93" s="232">
        <f>'MOH DATA KF NORTH'!X157</f>
        <v>0</v>
      </c>
      <c r="S93" s="233" t="str">
        <f>'MOH DATA KF NORTH'!Y157</f>
        <v>Actual/Expected 705 A/B</v>
      </c>
      <c r="T93" s="263" t="str">
        <f>'MOH DATA KF NORTH'!Z157</f>
        <v>24/24</v>
      </c>
      <c r="U93" s="263" t="str">
        <f>'MOH DATA KF NORTH'!AA157</f>
        <v>10/10</v>
      </c>
      <c r="V93" s="264" t="str">
        <f>'MOH DATA KF NORTH'!AB157</f>
        <v>30/30</v>
      </c>
      <c r="W93" s="263" t="str">
        <f>'MOH DATA KF NORTH'!AC157</f>
        <v>14/18</v>
      </c>
      <c r="X93" s="258">
        <f>'MOH DATA KF NORTH'!AD157</f>
        <v>0</v>
      </c>
      <c r="Z93" s="232" t="str">
        <f>'MOH DATA KF SUD'!W157</f>
        <v>I.R.3.1</v>
      </c>
      <c r="AA93" s="232">
        <f>'MOH DATA KF SUD'!X157</f>
        <v>0</v>
      </c>
      <c r="AB93" s="233" t="str">
        <f>'MOH DATA KF SUD'!Y157</f>
        <v>Actual/Expected 705 A/B</v>
      </c>
      <c r="AC93" s="263" t="str">
        <f>'MOH DATA KF SUD'!Z157</f>
        <v>22/24</v>
      </c>
      <c r="AD93" s="263" t="str">
        <f>'MOH DATA KF SUD'!AA157</f>
        <v>10/10</v>
      </c>
      <c r="AE93" s="264" t="str">
        <f>'MOH DATA KF SUD'!AB157</f>
        <v>28/30</v>
      </c>
      <c r="AF93" s="263" t="str">
        <f>'MOH DATA KF SUD'!AC157</f>
        <v>18/18</v>
      </c>
      <c r="AG93" s="258">
        <f>'MOH DATA KF SUD'!AD157</f>
        <v>0</v>
      </c>
      <c r="AI93" s="232" t="str">
        <f>'MOH DATA RABAI'!W157</f>
        <v>I.R.3.1</v>
      </c>
      <c r="AJ93" s="232">
        <f>'MOH DATA RABAI'!X157</f>
        <v>0</v>
      </c>
      <c r="AK93" s="233" t="str">
        <f>'MOH DATA RABAI'!Y157</f>
        <v>Actual/Expected 705 A/B</v>
      </c>
      <c r="AL93" s="263" t="str">
        <f>'MOH DATA RABAI'!Z157</f>
        <v>24/24</v>
      </c>
      <c r="AM93" s="263" t="str">
        <f>'MOH DATA RABAI'!AA157</f>
        <v>10/10</v>
      </c>
      <c r="AN93" s="264" t="str">
        <f>'MOH DATA RABAI'!AB157</f>
        <v>30/30</v>
      </c>
      <c r="AO93" s="263" t="str">
        <f>'MOH DATA RABAI'!AC157</f>
        <v>14/18</v>
      </c>
      <c r="AP93" s="258">
        <f>'MOH DATA RABAI'!AD157</f>
        <v>0</v>
      </c>
      <c r="AR93" s="232" t="str">
        <f>'MOH DATA KALOLENI'!W157</f>
        <v>I.R.3.1</v>
      </c>
      <c r="AS93" s="232">
        <f>'MOH DATA KALOLENI'!X157</f>
        <v>0</v>
      </c>
      <c r="AT93" s="233" t="str">
        <f>'MOH DATA KALOLENI'!Y157</f>
        <v>Actual/Expected 705 A/B</v>
      </c>
      <c r="AU93" s="263" t="str">
        <f>'MOH DATA KALOLENI'!Z157</f>
        <v>22/24</v>
      </c>
      <c r="AV93" s="263" t="str">
        <f>'MOH DATA KALOLENI'!AA157</f>
        <v>10/10</v>
      </c>
      <c r="AW93" s="264" t="str">
        <f>'MOH DATA KALOLENI'!AB157</f>
        <v>30/30</v>
      </c>
      <c r="AX93" s="263" t="str">
        <f>'MOH DATA KALOLENI'!AC157</f>
        <v>16/18</v>
      </c>
      <c r="AY93" s="258">
        <f>'MOH DATA KALOLENI'!AD157</f>
        <v>0</v>
      </c>
      <c r="BA93" s="232" t="str">
        <f>'MOH DATA GANZE'!X157</f>
        <v>I.R.3.1</v>
      </c>
      <c r="BB93" s="232">
        <f>'MOH DATA GANZE'!Y157</f>
        <v>0</v>
      </c>
      <c r="BC93" s="233" t="str">
        <f>'MOH DATA GANZE'!Z157</f>
        <v>Actual/Expected 705 A/B</v>
      </c>
      <c r="BD93" s="263" t="str">
        <f>'MOH DATA GANZE'!AA157</f>
        <v>24/24</v>
      </c>
      <c r="BE93" s="263" t="str">
        <f>'MOH DATA GANZE'!AB157</f>
        <v>10/10</v>
      </c>
      <c r="BF93" s="264" t="str">
        <f>'MOH DATA GANZE'!AC157</f>
        <v>28/30</v>
      </c>
      <c r="BG93" s="263" t="str">
        <f>'MOH DATA GANZE'!AD157</f>
        <v>16/18</v>
      </c>
      <c r="BH93" s="258">
        <f>'MOH DATA GANZE'!AE157</f>
        <v>0</v>
      </c>
    </row>
    <row r="94" spans="17:60" x14ac:dyDescent="0.2">
      <c r="Q94" s="234" t="str">
        <f>'MOH DATA KF NORTH'!W158</f>
        <v>I.R.3.2</v>
      </c>
      <c r="R94" s="234">
        <f>'MOH DATA KF NORTH'!X158</f>
        <v>0</v>
      </c>
      <c r="S94" s="235" t="str">
        <f>'MOH DATA KF NORTH'!Y158</f>
        <v>Actual/Expected 515</v>
      </c>
      <c r="T94" s="265" t="str">
        <f>'MOH DATA KF NORTH'!Z158</f>
        <v>12/12</v>
      </c>
      <c r="U94" s="265" t="str">
        <f>'MOH DATA KF NORTH'!AA158</f>
        <v>5/5</v>
      </c>
      <c r="V94" s="265" t="str">
        <f>'MOH DATA KF NORTH'!AB158</f>
        <v>15/15</v>
      </c>
      <c r="W94" s="265" t="str">
        <f>'MOH DATA KF NORTH'!AC158</f>
        <v>8/9</v>
      </c>
      <c r="X94" s="259">
        <f>'MOH DATA KF NORTH'!AD158</f>
        <v>0</v>
      </c>
      <c r="Z94" s="234" t="str">
        <f>'MOH DATA KF SUD'!W158</f>
        <v>I.R.3.2</v>
      </c>
      <c r="AA94" s="234">
        <f>'MOH DATA KF SUD'!X158</f>
        <v>0</v>
      </c>
      <c r="AB94" s="235" t="str">
        <f>'MOH DATA KF SUD'!Y158</f>
        <v>Actual/Expected 515</v>
      </c>
      <c r="AC94" s="265" t="str">
        <f>'MOH DATA KF SUD'!Z158</f>
        <v>12/12</v>
      </c>
      <c r="AD94" s="265" t="str">
        <f>'MOH DATA KF SUD'!AA158</f>
        <v>5/5</v>
      </c>
      <c r="AE94" s="265" t="str">
        <f>'MOH DATA KF SUD'!AB158</f>
        <v>14/15</v>
      </c>
      <c r="AF94" s="265" t="str">
        <f>'MOH DATA KF SUD'!AC158</f>
        <v>9/9</v>
      </c>
      <c r="AG94" s="259">
        <f>'MOH DATA KF SUD'!AD158</f>
        <v>0</v>
      </c>
      <c r="AI94" s="234" t="str">
        <f>'MOH DATA RABAI'!W158</f>
        <v>I.R.3.2</v>
      </c>
      <c r="AJ94" s="234">
        <f>'MOH DATA RABAI'!X158</f>
        <v>0</v>
      </c>
      <c r="AK94" s="235" t="str">
        <f>'MOH DATA RABAI'!Y158</f>
        <v>Actual/Expected 515</v>
      </c>
      <c r="AL94" s="265" t="str">
        <f>'MOH DATA RABAI'!Z158</f>
        <v>11/12</v>
      </c>
      <c r="AM94" s="265" t="str">
        <f>'MOH DATA RABAI'!AA158</f>
        <v>2/5</v>
      </c>
      <c r="AN94" s="265" t="str">
        <f>'MOH DATA RABAI'!AB158</f>
        <v>15/15</v>
      </c>
      <c r="AO94" s="265" t="str">
        <f>'MOH DATA RABAI'!AC158</f>
        <v>8/9</v>
      </c>
      <c r="AP94" s="259">
        <f>'MOH DATA RABAI'!AD158</f>
        <v>0</v>
      </c>
      <c r="AR94" s="234" t="str">
        <f>'MOH DATA KALOLENI'!W158</f>
        <v>I.R.3.2</v>
      </c>
      <c r="AS94" s="234">
        <f>'MOH DATA KALOLENI'!X158</f>
        <v>0</v>
      </c>
      <c r="AT94" s="235" t="str">
        <f>'MOH DATA KALOLENI'!Y158</f>
        <v>Actual/Expected 515</v>
      </c>
      <c r="AU94" s="265" t="str">
        <f>'MOH DATA KALOLENI'!Z158</f>
        <v>11/12</v>
      </c>
      <c r="AV94" s="265" t="str">
        <f>'MOH DATA KALOLENI'!AA158</f>
        <v>5/5</v>
      </c>
      <c r="AW94" s="265" t="str">
        <f>'MOH DATA KALOLENI'!AB158</f>
        <v>15/15</v>
      </c>
      <c r="AX94" s="265" t="str">
        <f>'MOH DATA KALOLENI'!AC158</f>
        <v>7/9</v>
      </c>
      <c r="AY94" s="259">
        <f>'MOH DATA KALOLENI'!AD158</f>
        <v>0</v>
      </c>
      <c r="BA94" s="234" t="str">
        <f>'MOH DATA GANZE'!X158</f>
        <v>I.R.3.2</v>
      </c>
      <c r="BB94" s="234">
        <f>'MOH DATA GANZE'!Y158</f>
        <v>0</v>
      </c>
      <c r="BC94" s="235" t="str">
        <f>'MOH DATA GANZE'!Z158</f>
        <v>Actual/Expected 515</v>
      </c>
      <c r="BD94" s="265" t="str">
        <f>'MOH DATA GANZE'!AA158</f>
        <v>0/12</v>
      </c>
      <c r="BE94" s="265" t="str">
        <f>'MOH DATA GANZE'!AB158</f>
        <v>0/5</v>
      </c>
      <c r="BF94" s="265" t="str">
        <f>'MOH DATA GANZE'!AC158</f>
        <v>9/15</v>
      </c>
      <c r="BG94" s="265" t="str">
        <f>'MOH DATA GANZE'!AD158</f>
        <v>7/9</v>
      </c>
      <c r="BH94" s="259">
        <f>'MOH DATA GANZE'!AE158</f>
        <v>0</v>
      </c>
    </row>
  </sheetData>
  <mergeCells count="217">
    <mergeCell ref="L67:L70"/>
    <mergeCell ref="K53:L53"/>
    <mergeCell ref="K59:K61"/>
    <mergeCell ref="K62:K64"/>
    <mergeCell ref="L56:L58"/>
    <mergeCell ref="L59:L61"/>
    <mergeCell ref="L62:L64"/>
    <mergeCell ref="K65:K66"/>
    <mergeCell ref="L65:L66"/>
    <mergeCell ref="BA78:BA80"/>
    <mergeCell ref="BA81:BA83"/>
    <mergeCell ref="BA84:BA86"/>
    <mergeCell ref="BA87:BA88"/>
    <mergeCell ref="BA89:BA92"/>
    <mergeCell ref="L21:L32"/>
    <mergeCell ref="L54:L55"/>
    <mergeCell ref="AR89:AR92"/>
    <mergeCell ref="BA53:BC53"/>
    <mergeCell ref="BA54:BA55"/>
    <mergeCell ref="BA56:BA58"/>
    <mergeCell ref="BA59:BA61"/>
    <mergeCell ref="BA62:BA64"/>
    <mergeCell ref="BA65:BA66"/>
    <mergeCell ref="BA67:BA70"/>
    <mergeCell ref="BA75:BC75"/>
    <mergeCell ref="BA76:BA77"/>
    <mergeCell ref="AR75:AT75"/>
    <mergeCell ref="AR76:AR77"/>
    <mergeCell ref="AR78:AR80"/>
    <mergeCell ref="AR81:AR83"/>
    <mergeCell ref="AR84:AR86"/>
    <mergeCell ref="AR87:AR88"/>
    <mergeCell ref="AI76:AI77"/>
    <mergeCell ref="AI87:AI88"/>
    <mergeCell ref="AI89:AI92"/>
    <mergeCell ref="Z87:Z88"/>
    <mergeCell ref="Z89:Z92"/>
    <mergeCell ref="AI53:AK53"/>
    <mergeCell ref="AI54:AI55"/>
    <mergeCell ref="AI56:AI58"/>
    <mergeCell ref="AI59:AI61"/>
    <mergeCell ref="AI62:AI64"/>
    <mergeCell ref="AI65:AI66"/>
    <mergeCell ref="AI67:AI70"/>
    <mergeCell ref="AI75:AK75"/>
    <mergeCell ref="Q87:Q88"/>
    <mergeCell ref="Q89:Q92"/>
    <mergeCell ref="Z53:AB53"/>
    <mergeCell ref="Z54:Z55"/>
    <mergeCell ref="Z56:Z58"/>
    <mergeCell ref="Z59:Z61"/>
    <mergeCell ref="Z62:Z64"/>
    <mergeCell ref="Z65:Z66"/>
    <mergeCell ref="Z67:Z70"/>
    <mergeCell ref="Z75:AB75"/>
    <mergeCell ref="AR67:AR70"/>
    <mergeCell ref="Q75:S75"/>
    <mergeCell ref="Q76:Q77"/>
    <mergeCell ref="Q78:Q80"/>
    <mergeCell ref="Q81:Q83"/>
    <mergeCell ref="Q84:Q86"/>
    <mergeCell ref="Z76:Z77"/>
    <mergeCell ref="Z78:Z80"/>
    <mergeCell ref="Z81:Z83"/>
    <mergeCell ref="Z84:Z86"/>
    <mergeCell ref="AI78:AI80"/>
    <mergeCell ref="AI81:AI83"/>
    <mergeCell ref="AI84:AI86"/>
    <mergeCell ref="AR53:AT53"/>
    <mergeCell ref="AR54:AR55"/>
    <mergeCell ref="AR56:AR58"/>
    <mergeCell ref="AR59:AR61"/>
    <mergeCell ref="AR62:AR64"/>
    <mergeCell ref="AR65:AR66"/>
    <mergeCell ref="B67:B70"/>
    <mergeCell ref="Q53:S53"/>
    <mergeCell ref="Q54:Q55"/>
    <mergeCell ref="Q56:Q58"/>
    <mergeCell ref="Q59:Q61"/>
    <mergeCell ref="Q62:Q64"/>
    <mergeCell ref="Q65:Q66"/>
    <mergeCell ref="Q67:Q70"/>
    <mergeCell ref="K54:K55"/>
    <mergeCell ref="K56:K58"/>
    <mergeCell ref="B53:E53"/>
    <mergeCell ref="B54:B55"/>
    <mergeCell ref="B56:B58"/>
    <mergeCell ref="B59:B61"/>
    <mergeCell ref="B62:B64"/>
    <mergeCell ref="B65:B66"/>
    <mergeCell ref="C54:D55"/>
    <mergeCell ref="C56:D58"/>
    <mergeCell ref="BA21:BA32"/>
    <mergeCell ref="BB21:BB24"/>
    <mergeCell ref="BB25:BB28"/>
    <mergeCell ref="BB29:BB32"/>
    <mergeCell ref="BA33:BA41"/>
    <mergeCell ref="BB33:BB35"/>
    <mergeCell ref="BB36:BB38"/>
    <mergeCell ref="BB39:BB41"/>
    <mergeCell ref="BA2:BC2"/>
    <mergeCell ref="BA3:BA11"/>
    <mergeCell ref="BB3:BB5"/>
    <mergeCell ref="BB6:BB8"/>
    <mergeCell ref="BB9:BB11"/>
    <mergeCell ref="BA12:BA20"/>
    <mergeCell ref="BB12:BB14"/>
    <mergeCell ref="BB15:BB17"/>
    <mergeCell ref="BB18:BB20"/>
    <mergeCell ref="AR21:AR32"/>
    <mergeCell ref="AS21:AS24"/>
    <mergeCell ref="AS25:AS28"/>
    <mergeCell ref="AS29:AS32"/>
    <mergeCell ref="AR33:AR41"/>
    <mergeCell ref="AS33:AS35"/>
    <mergeCell ref="AS36:AS38"/>
    <mergeCell ref="AS39:AS41"/>
    <mergeCell ref="AR2:AT2"/>
    <mergeCell ref="AR3:AR11"/>
    <mergeCell ref="AS3:AS5"/>
    <mergeCell ref="AS6:AS8"/>
    <mergeCell ref="AS9:AS11"/>
    <mergeCell ref="AR12:AR20"/>
    <mergeCell ref="AS12:AS14"/>
    <mergeCell ref="AS15:AS17"/>
    <mergeCell ref="AS18:AS20"/>
    <mergeCell ref="AI21:AI32"/>
    <mergeCell ref="AJ21:AJ24"/>
    <mergeCell ref="AJ25:AJ28"/>
    <mergeCell ref="AJ29:AJ32"/>
    <mergeCell ref="AI33:AI41"/>
    <mergeCell ref="AJ33:AJ35"/>
    <mergeCell ref="AJ36:AJ38"/>
    <mergeCell ref="AJ39:AJ41"/>
    <mergeCell ref="AI2:AK2"/>
    <mergeCell ref="AI3:AI11"/>
    <mergeCell ref="AJ3:AJ5"/>
    <mergeCell ref="AJ6:AJ8"/>
    <mergeCell ref="AJ9:AJ11"/>
    <mergeCell ref="AI12:AI20"/>
    <mergeCell ref="AJ12:AJ14"/>
    <mergeCell ref="AJ15:AJ17"/>
    <mergeCell ref="AJ18:AJ20"/>
    <mergeCell ref="Z21:Z32"/>
    <mergeCell ref="AA21:AA24"/>
    <mergeCell ref="AA25:AA28"/>
    <mergeCell ref="AA29:AA32"/>
    <mergeCell ref="Z33:Z41"/>
    <mergeCell ref="AA33:AA35"/>
    <mergeCell ref="AA36:AA38"/>
    <mergeCell ref="AA39:AA41"/>
    <mergeCell ref="Z2:AB2"/>
    <mergeCell ref="Z3:Z11"/>
    <mergeCell ref="AA3:AA5"/>
    <mergeCell ref="AA6:AA8"/>
    <mergeCell ref="AA9:AA11"/>
    <mergeCell ref="Z12:Z20"/>
    <mergeCell ref="AA12:AA14"/>
    <mergeCell ref="AA15:AA17"/>
    <mergeCell ref="AA18:AA20"/>
    <mergeCell ref="D21:D24"/>
    <mergeCell ref="D25:D28"/>
    <mergeCell ref="D29:D32"/>
    <mergeCell ref="Q33:Q41"/>
    <mergeCell ref="Q3:Q11"/>
    <mergeCell ref="Q12:Q20"/>
    <mergeCell ref="Q21:Q32"/>
    <mergeCell ref="R21:R24"/>
    <mergeCell ref="R25:R28"/>
    <mergeCell ref="R29:R32"/>
    <mergeCell ref="R33:R35"/>
    <mergeCell ref="R36:R38"/>
    <mergeCell ref="R39:R41"/>
    <mergeCell ref="K22:K23"/>
    <mergeCell ref="K25:K26"/>
    <mergeCell ref="K28:K29"/>
    <mergeCell ref="K31:K32"/>
    <mergeCell ref="L33:L41"/>
    <mergeCell ref="K33:K34"/>
    <mergeCell ref="K35:K41"/>
    <mergeCell ref="K3:K11"/>
    <mergeCell ref="L3:L11"/>
    <mergeCell ref="L12:L20"/>
    <mergeCell ref="C21:C32"/>
    <mergeCell ref="C33:C41"/>
    <mergeCell ref="Q2:S2"/>
    <mergeCell ref="R3:R5"/>
    <mergeCell ref="R6:R8"/>
    <mergeCell ref="R9:R11"/>
    <mergeCell ref="R12:R14"/>
    <mergeCell ref="R15:R17"/>
    <mergeCell ref="R18:R20"/>
    <mergeCell ref="K2:L2"/>
    <mergeCell ref="K13:K15"/>
    <mergeCell ref="K17:K20"/>
    <mergeCell ref="B2:E2"/>
    <mergeCell ref="B3:B11"/>
    <mergeCell ref="D3:D5"/>
    <mergeCell ref="D6:D8"/>
    <mergeCell ref="D9:D11"/>
    <mergeCell ref="B12:B20"/>
    <mergeCell ref="D12:D14"/>
    <mergeCell ref="D15:D17"/>
    <mergeCell ref="D18:D20"/>
    <mergeCell ref="C3:C11"/>
    <mergeCell ref="C12:C20"/>
    <mergeCell ref="B21:B32"/>
    <mergeCell ref="C59:D61"/>
    <mergeCell ref="C62:D64"/>
    <mergeCell ref="C65:D66"/>
    <mergeCell ref="C67:D70"/>
    <mergeCell ref="C71:D71"/>
    <mergeCell ref="C72:D72"/>
    <mergeCell ref="B33:B41"/>
    <mergeCell ref="D33:D35"/>
    <mergeCell ref="D36:D38"/>
    <mergeCell ref="D39:D41"/>
  </mergeCells>
  <conditionalFormatting sqref="K3:K11">
    <cfRule type="cellIs" dxfId="158" priority="34" operator="lessThan">
      <formula>$J$3</formula>
    </cfRule>
    <cfRule type="cellIs" dxfId="157" priority="33" operator="greaterThan">
      <formula>$J$3</formula>
    </cfRule>
  </conditionalFormatting>
  <conditionalFormatting sqref="K13:K15">
    <cfRule type="cellIs" dxfId="156" priority="32" operator="lessThan">
      <formula>$J$15</formula>
    </cfRule>
    <cfRule type="cellIs" dxfId="155" priority="31" operator="greaterThan">
      <formula>$J$15</formula>
    </cfRule>
  </conditionalFormatting>
  <conditionalFormatting sqref="K17:K20">
    <cfRule type="cellIs" dxfId="154" priority="30" operator="greaterThan">
      <formula>$J$18</formula>
    </cfRule>
    <cfRule type="cellIs" dxfId="153" priority="29" operator="lessThan">
      <formula>$J$18</formula>
    </cfRule>
  </conditionalFormatting>
  <conditionalFormatting sqref="K22:K23">
    <cfRule type="cellIs" dxfId="152" priority="28" operator="lessThan">
      <formula>$J$21</formula>
    </cfRule>
    <cfRule type="cellIs" dxfId="151" priority="27" operator="greaterThan">
      <formula>$J$21</formula>
    </cfRule>
  </conditionalFormatting>
  <conditionalFormatting sqref="K25:K26">
    <cfRule type="cellIs" dxfId="150" priority="26" operator="lessThan">
      <formula>$J$22</formula>
    </cfRule>
    <cfRule type="cellIs" dxfId="149" priority="25" operator="greaterThan">
      <formula>$J$22</formula>
    </cfRule>
  </conditionalFormatting>
  <conditionalFormatting sqref="K28:K29">
    <cfRule type="cellIs" dxfId="148" priority="24" operator="lessThan">
      <formula>$J$23</formula>
    </cfRule>
    <cfRule type="cellIs" dxfId="147" priority="23" operator="greaterThan">
      <formula>$J$23</formula>
    </cfRule>
  </conditionalFormatting>
  <conditionalFormatting sqref="K31:K32">
    <cfRule type="cellIs" dxfId="146" priority="22" operator="greaterThan">
      <formula>$J$24</formula>
    </cfRule>
    <cfRule type="cellIs" dxfId="145" priority="21" operator="lessThan">
      <formula>$J$24</formula>
    </cfRule>
  </conditionalFormatting>
  <conditionalFormatting sqref="K35:K41">
    <cfRule type="cellIs" dxfId="144" priority="20" operator="greaterThan">
      <formula>$J$33</formula>
    </cfRule>
    <cfRule type="cellIs" dxfId="143" priority="19" operator="lessThan">
      <formula>$J$33</formula>
    </cfRule>
  </conditionalFormatting>
  <conditionalFormatting sqref="K54:K55">
    <cfRule type="cellIs" dxfId="142" priority="18" operator="greaterThan">
      <formula>$J$55</formula>
    </cfRule>
    <cfRule type="cellIs" dxfId="141" priority="17" operator="lessThan">
      <formula>$J$55</formula>
    </cfRule>
  </conditionalFormatting>
  <conditionalFormatting sqref="K56:K58">
    <cfRule type="cellIs" dxfId="140" priority="16" operator="greaterThan">
      <formula>$J$56</formula>
    </cfRule>
    <cfRule type="cellIs" dxfId="139" priority="15" operator="lessThan">
      <formula>$J$56</formula>
    </cfRule>
  </conditionalFormatting>
  <conditionalFormatting sqref="K59:K61">
    <cfRule type="cellIs" dxfId="138" priority="14" operator="greaterThan">
      <formula>$J$59</formula>
    </cfRule>
    <cfRule type="cellIs" dxfId="137" priority="13" operator="lessThan">
      <formula>$J$59</formula>
    </cfRule>
  </conditionalFormatting>
  <conditionalFormatting sqref="K62:K64">
    <cfRule type="cellIs" dxfId="136" priority="12" operator="greaterThan">
      <formula>$J$62</formula>
    </cfRule>
    <cfRule type="cellIs" dxfId="135" priority="11" operator="lessThan">
      <formula>$J$62</formula>
    </cfRule>
  </conditionalFormatting>
  <conditionalFormatting sqref="K65:K66">
    <cfRule type="cellIs" dxfId="134" priority="10" operator="greaterThan">
      <formula>$J$66</formula>
    </cfRule>
    <cfRule type="cellIs" dxfId="133" priority="9" operator="lessThan">
      <formula>$J$66</formula>
    </cfRule>
  </conditionalFormatting>
  <conditionalFormatting sqref="K68">
    <cfRule type="cellIs" dxfId="132" priority="8" operator="greaterThan">
      <formula>$J$68</formula>
    </cfRule>
    <cfRule type="cellIs" dxfId="131" priority="7" operator="lessThan">
      <formula>1723</formula>
    </cfRule>
  </conditionalFormatting>
  <conditionalFormatting sqref="K70">
    <cfRule type="cellIs" dxfId="130" priority="6" operator="greaterThan">
      <formula>$J$70</formula>
    </cfRule>
    <cfRule type="cellIs" dxfId="129" priority="5" operator="lessThan">
      <formula>$J$70</formula>
    </cfRule>
  </conditionalFormatting>
  <conditionalFormatting sqref="K71">
    <cfRule type="cellIs" dxfId="128" priority="4" operator="greaterThan">
      <formula>$J$71</formula>
    </cfRule>
    <cfRule type="cellIs" dxfId="127" priority="3" operator="lessThan">
      <formula>$J$71</formula>
    </cfRule>
  </conditionalFormatting>
  <conditionalFormatting sqref="K72">
    <cfRule type="cellIs" dxfId="126" priority="2" operator="greaterThan">
      <formula>$J$72</formula>
    </cfRule>
    <cfRule type="cellIs" dxfId="125" priority="1" operator="lessThan">
      <formula>$J$72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7962-D6E7-476F-B01B-EB97F02B482B}">
  <dimension ref="A1:AE173"/>
  <sheetViews>
    <sheetView topLeftCell="S124" zoomScale="70" zoomScaleNormal="70" workbookViewId="0">
      <selection activeCell="Z158" sqref="Z158:AB158"/>
    </sheetView>
  </sheetViews>
  <sheetFormatPr baseColWidth="10" defaultColWidth="8.83203125" defaultRowHeight="15" x14ac:dyDescent="0.2"/>
  <cols>
    <col min="1" max="1" width="70.1640625" bestFit="1" customWidth="1"/>
    <col min="15" max="15" width="23.33203125" customWidth="1"/>
    <col min="18" max="18" width="28.5" customWidth="1"/>
    <col min="19" max="19" width="17.33203125" customWidth="1"/>
    <col min="20" max="20" width="28.1640625" customWidth="1"/>
    <col min="21" max="21" width="29" customWidth="1"/>
    <col min="22" max="22" width="27.6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  <col min="31" max="31" width="72.1640625" customWidth="1"/>
    <col min="32" max="32" width="37" customWidth="1"/>
    <col min="33" max="33" width="24.6640625" customWidth="1"/>
  </cols>
  <sheetData>
    <row r="1" spans="1:31" ht="29" thickBot="1" x14ac:dyDescent="0.25">
      <c r="A1" s="1" t="s">
        <v>149</v>
      </c>
      <c r="B1" s="2">
        <v>44866</v>
      </c>
      <c r="C1" s="2">
        <v>44896</v>
      </c>
      <c r="D1" s="184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S1" s="203"/>
      <c r="T1" s="203"/>
      <c r="U1" s="203"/>
      <c r="V1" s="203"/>
      <c r="W1" s="481" t="s">
        <v>245</v>
      </c>
      <c r="X1" s="481"/>
      <c r="Y1" s="481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  <c r="AE1" s="225"/>
    </row>
    <row r="2" spans="1:31" ht="16" thickTop="1" x14ac:dyDescent="0.2">
      <c r="A2" s="29" t="s">
        <v>14</v>
      </c>
      <c r="B2" s="13">
        <v>925</v>
      </c>
      <c r="C2" s="13">
        <v>1032</v>
      </c>
      <c r="D2" s="14">
        <v>13993</v>
      </c>
      <c r="E2" s="40">
        <v>3799</v>
      </c>
      <c r="F2" s="13">
        <v>5048</v>
      </c>
      <c r="G2" s="41">
        <v>3007</v>
      </c>
      <c r="H2" s="20">
        <v>3651</v>
      </c>
      <c r="I2" s="18">
        <f>SUM(E2:H2)</f>
        <v>15505</v>
      </c>
      <c r="J2" s="19">
        <v>4282</v>
      </c>
      <c r="K2" s="20">
        <v>3512</v>
      </c>
      <c r="L2" s="21">
        <v>5354</v>
      </c>
      <c r="M2" s="20">
        <v>3942</v>
      </c>
      <c r="N2" s="18">
        <f>SUM(J2:M2)</f>
        <v>17090</v>
      </c>
      <c r="O2" s="19">
        <v>3289</v>
      </c>
      <c r="P2" s="20"/>
      <c r="Q2" s="21"/>
      <c r="S2" s="203"/>
      <c r="T2" s="203"/>
      <c r="U2" s="203"/>
      <c r="V2" s="203"/>
      <c r="W2" s="387" t="s">
        <v>51</v>
      </c>
      <c r="X2" s="387" t="s">
        <v>226</v>
      </c>
      <c r="Y2" s="243" t="s">
        <v>188</v>
      </c>
      <c r="Z2" s="247">
        <f>((D12+D15)/(D10+D13))*1000</f>
        <v>252.15362526920316</v>
      </c>
      <c r="AA2" s="247">
        <f>((B12+C12+E12+B15+C15+E15)/(B10+C10+E10+B13+C13+E13))*1000</f>
        <v>277.26747979721927</v>
      </c>
      <c r="AB2" s="247">
        <f>((F12+G12+H12+J12+K12+F15+G15+H15+J15+K15)/(F10+G10+H10+J10+K10+F13+G13+H13+J13+K13))*1000</f>
        <v>182.1995019006423</v>
      </c>
      <c r="AC2" s="247">
        <f>((L12+M12+O12+L15+M15+O15)/(L10+M10+O10+L13+M13+O13))*1000</f>
        <v>256.12093752722836</v>
      </c>
      <c r="AD2" s="247">
        <f>((L12+M12+O12+P12+Q12+L15+M15+O15+P15+Q15)/(L10+M10+O10+P10+Q10+L13+M13+O13+P13+Q13))*1000</f>
        <v>256.12093752722836</v>
      </c>
    </row>
    <row r="3" spans="1:31" x14ac:dyDescent="0.2">
      <c r="A3" s="22" t="s">
        <v>10</v>
      </c>
      <c r="B3" s="12">
        <v>78</v>
      </c>
      <c r="C3" s="12">
        <v>104</v>
      </c>
      <c r="D3" s="23">
        <v>1046</v>
      </c>
      <c r="E3" s="24">
        <v>385</v>
      </c>
      <c r="F3" s="12">
        <v>405</v>
      </c>
      <c r="G3" s="25">
        <v>238</v>
      </c>
      <c r="H3" s="26">
        <v>188</v>
      </c>
      <c r="I3" s="18">
        <f t="shared" ref="I3:I9" si="0">SUM(E3:H3)</f>
        <v>1216</v>
      </c>
      <c r="J3" s="27">
        <v>202</v>
      </c>
      <c r="K3" s="26">
        <v>192</v>
      </c>
      <c r="L3" s="28">
        <v>315</v>
      </c>
      <c r="M3" s="26">
        <v>217</v>
      </c>
      <c r="N3" s="18">
        <f t="shared" ref="N3:N9" si="1">SUM(J3:M3)</f>
        <v>926</v>
      </c>
      <c r="O3" s="27">
        <v>124</v>
      </c>
      <c r="P3" s="26"/>
      <c r="Q3" s="28"/>
      <c r="S3" s="203"/>
      <c r="T3" s="203"/>
      <c r="U3" s="203"/>
      <c r="V3" s="203"/>
      <c r="W3" s="388"/>
      <c r="X3" s="388"/>
      <c r="Y3" s="217" t="s">
        <v>229</v>
      </c>
      <c r="Z3" s="236">
        <f>D12+D15</f>
        <v>12645</v>
      </c>
      <c r="AA3" s="236">
        <f>B12+C12+E12+B15+C15+E15</f>
        <v>5524</v>
      </c>
      <c r="AB3" s="236">
        <f>F12+G12+H12+J12+K12+F15+G15+H15+J15+K15</f>
        <v>13900</v>
      </c>
      <c r="AC3" s="236">
        <f>L12+M12+O12+L15+M15+O15</f>
        <v>11758</v>
      </c>
      <c r="AD3" s="236">
        <f>L12+M12+O12+P12+Q12+L15+M15+O15+P15+Q15</f>
        <v>11758</v>
      </c>
    </row>
    <row r="4" spans="1:31" x14ac:dyDescent="0.2">
      <c r="A4" s="22" t="s">
        <v>13</v>
      </c>
      <c r="B4" s="12">
        <v>2869</v>
      </c>
      <c r="C4" s="12">
        <v>2677</v>
      </c>
      <c r="D4" s="23">
        <v>32000</v>
      </c>
      <c r="E4" s="24">
        <v>9235</v>
      </c>
      <c r="F4" s="12">
        <v>15383</v>
      </c>
      <c r="G4" s="25">
        <v>10878</v>
      </c>
      <c r="H4" s="26">
        <v>14028</v>
      </c>
      <c r="I4" s="18">
        <f t="shared" si="0"/>
        <v>49524</v>
      </c>
      <c r="J4" s="27">
        <v>11049</v>
      </c>
      <c r="K4" s="26">
        <v>9701</v>
      </c>
      <c r="L4" s="28">
        <v>10851</v>
      </c>
      <c r="M4" s="26">
        <v>9041</v>
      </c>
      <c r="N4" s="18">
        <f t="shared" si="1"/>
        <v>40642</v>
      </c>
      <c r="O4" s="27">
        <v>8558</v>
      </c>
      <c r="P4" s="26"/>
      <c r="Q4" s="28"/>
      <c r="T4" s="203"/>
      <c r="W4" s="388"/>
      <c r="X4" s="389"/>
      <c r="Y4" s="217" t="s">
        <v>216</v>
      </c>
      <c r="Z4" s="236">
        <f>D10+D13</f>
        <v>50148</v>
      </c>
      <c r="AA4" s="236">
        <f>(B10+C10+E10+B13+C13+E13)</f>
        <v>19923</v>
      </c>
      <c r="AB4" s="236">
        <f>F10+G10+H10+J10+K10+F13+G13+H13+J13+K13</f>
        <v>76290</v>
      </c>
      <c r="AC4" s="236">
        <f>L10+M10+O10+L13+M13+O13</f>
        <v>45908</v>
      </c>
      <c r="AD4" s="236">
        <f>L10+M10+O10+P10+Q10+L13+M13+O13+P13+Q13</f>
        <v>45908</v>
      </c>
    </row>
    <row r="5" spans="1:31" x14ac:dyDescent="0.2">
      <c r="A5" s="22" t="s">
        <v>9</v>
      </c>
      <c r="B5" s="12">
        <v>332</v>
      </c>
      <c r="C5" s="12">
        <v>399</v>
      </c>
      <c r="D5" s="23">
        <v>3637</v>
      </c>
      <c r="E5" s="24">
        <v>1179</v>
      </c>
      <c r="F5" s="12">
        <v>1676</v>
      </c>
      <c r="G5" s="25">
        <v>1120</v>
      </c>
      <c r="H5" s="26">
        <v>771</v>
      </c>
      <c r="I5" s="18">
        <f t="shared" si="0"/>
        <v>4746</v>
      </c>
      <c r="J5" s="27">
        <v>839</v>
      </c>
      <c r="K5" s="26">
        <v>704</v>
      </c>
      <c r="L5" s="28">
        <v>1022</v>
      </c>
      <c r="M5" s="26">
        <v>604</v>
      </c>
      <c r="N5" s="18">
        <f t="shared" si="1"/>
        <v>3169</v>
      </c>
      <c r="O5" s="27">
        <v>476</v>
      </c>
      <c r="P5" s="26"/>
      <c r="Q5" s="28"/>
      <c r="W5" s="388"/>
      <c r="X5" s="387" t="s">
        <v>227</v>
      </c>
      <c r="Y5" s="217" t="s">
        <v>188</v>
      </c>
      <c r="Z5" s="247">
        <f>(D12/D10)*1000</f>
        <v>170.87855501861682</v>
      </c>
      <c r="AA5" s="247">
        <f>((B12+C12+E12)/(B10+C10+E10))*1000</f>
        <v>205.60393790230975</v>
      </c>
      <c r="AB5" s="247">
        <f>((F12+G12+H12+J12+K12)/(F10+G10+H10+J10+K10))*1000</f>
        <v>124.87935656836461</v>
      </c>
      <c r="AC5" s="247">
        <f>((L12+M12+O12)/(L10+M10+O10))*1000</f>
        <v>160.89787525702536</v>
      </c>
      <c r="AD5" s="247">
        <f>((L12+M12+O12+P12+Q12)/(L10+M10+O10+P10+Q10))*1000</f>
        <v>160.89787525702536</v>
      </c>
    </row>
    <row r="6" spans="1:31" x14ac:dyDescent="0.2">
      <c r="A6" s="22" t="s">
        <v>11</v>
      </c>
      <c r="B6" s="12">
        <v>31</v>
      </c>
      <c r="C6" s="12">
        <v>60</v>
      </c>
      <c r="D6" s="23">
        <v>4979</v>
      </c>
      <c r="E6" s="24">
        <v>596</v>
      </c>
      <c r="F6" s="12">
        <v>960</v>
      </c>
      <c r="G6" s="25">
        <v>3010</v>
      </c>
      <c r="H6" s="26">
        <v>744</v>
      </c>
      <c r="I6" s="18">
        <f t="shared" si="0"/>
        <v>5310</v>
      </c>
      <c r="J6" s="27">
        <v>1288</v>
      </c>
      <c r="K6" s="26">
        <v>1292</v>
      </c>
      <c r="L6" s="28">
        <v>2345</v>
      </c>
      <c r="M6" s="26">
        <v>1793</v>
      </c>
      <c r="N6" s="18">
        <f t="shared" si="1"/>
        <v>6718</v>
      </c>
      <c r="O6" s="27">
        <v>2123</v>
      </c>
      <c r="P6" s="26"/>
      <c r="Q6" s="28"/>
      <c r="W6" s="388"/>
      <c r="X6" s="388"/>
      <c r="Y6" s="217" t="s">
        <v>229</v>
      </c>
      <c r="Z6" s="236">
        <f>D12</f>
        <v>2157</v>
      </c>
      <c r="AA6" s="236">
        <f>B12+C12+E12</f>
        <v>1086</v>
      </c>
      <c r="AB6" s="236">
        <f>F12+G12+H12+J12+K12</f>
        <v>2329</v>
      </c>
      <c r="AC6" s="236">
        <f>L12+M12+O12</f>
        <v>1878</v>
      </c>
      <c r="AD6" s="236">
        <f>L12+M12+O12+P12+Q12</f>
        <v>1878</v>
      </c>
    </row>
    <row r="7" spans="1:31" ht="15" customHeight="1" x14ac:dyDescent="0.2">
      <c r="A7" s="11" t="s">
        <v>7</v>
      </c>
      <c r="B7" s="12">
        <v>0</v>
      </c>
      <c r="C7" s="12">
        <v>4</v>
      </c>
      <c r="D7" s="23">
        <v>516</v>
      </c>
      <c r="E7" s="24">
        <v>33</v>
      </c>
      <c r="F7" s="12">
        <v>51</v>
      </c>
      <c r="G7" s="25">
        <v>664</v>
      </c>
      <c r="H7" s="26">
        <v>119</v>
      </c>
      <c r="I7" s="18">
        <f t="shared" si="0"/>
        <v>867</v>
      </c>
      <c r="J7" s="27">
        <v>196</v>
      </c>
      <c r="K7" s="26">
        <v>239</v>
      </c>
      <c r="L7" s="28">
        <v>523</v>
      </c>
      <c r="M7" s="26">
        <v>446</v>
      </c>
      <c r="N7" s="18">
        <f t="shared" si="1"/>
        <v>1404</v>
      </c>
      <c r="O7" s="27">
        <v>544</v>
      </c>
      <c r="P7" s="26"/>
      <c r="Q7" s="28"/>
      <c r="W7" s="388"/>
      <c r="X7" s="389"/>
      <c r="Y7" s="217" t="s">
        <v>216</v>
      </c>
      <c r="Z7" s="236">
        <f>D10</f>
        <v>12623</v>
      </c>
      <c r="AA7" s="236">
        <f>B10+C10+E10</f>
        <v>5282</v>
      </c>
      <c r="AB7" s="236">
        <f>F10+G10+H10+J10+K10</f>
        <v>18650</v>
      </c>
      <c r="AC7" s="236">
        <f>L10+M10+O10</f>
        <v>11672</v>
      </c>
      <c r="AD7" s="236">
        <f>L10+M10+O10+P10+Q10</f>
        <v>11672</v>
      </c>
    </row>
    <row r="8" spans="1:31" ht="29.5" customHeight="1" x14ac:dyDescent="0.2">
      <c r="A8" s="22" t="s">
        <v>12</v>
      </c>
      <c r="B8" s="26">
        <v>311</v>
      </c>
      <c r="C8" s="26">
        <v>498</v>
      </c>
      <c r="D8" s="54">
        <v>2596</v>
      </c>
      <c r="E8" s="27">
        <v>2420</v>
      </c>
      <c r="F8" s="26">
        <v>8293</v>
      </c>
      <c r="G8" s="25">
        <v>3733</v>
      </c>
      <c r="H8" s="26">
        <v>745</v>
      </c>
      <c r="I8" s="18">
        <f t="shared" si="0"/>
        <v>15191</v>
      </c>
      <c r="J8" s="27">
        <v>1746</v>
      </c>
      <c r="K8" s="49">
        <v>4548</v>
      </c>
      <c r="L8" s="37">
        <v>8741</v>
      </c>
      <c r="M8" s="49">
        <v>7932</v>
      </c>
      <c r="N8" s="18">
        <f t="shared" si="1"/>
        <v>22967</v>
      </c>
      <c r="O8" s="27">
        <v>9797</v>
      </c>
      <c r="P8" s="49"/>
      <c r="Q8" s="37"/>
      <c r="W8" s="388"/>
      <c r="X8" s="387" t="s">
        <v>228</v>
      </c>
      <c r="Y8" s="217" t="s">
        <v>188</v>
      </c>
      <c r="Z8" s="247">
        <f>(D15/D13)*1000</f>
        <v>279.49367088607596</v>
      </c>
      <c r="AA8" s="247">
        <f>((B15+C15+E15)/(B13+C13+E13))*1000</f>
        <v>303.12137149101835</v>
      </c>
      <c r="AB8" s="247">
        <f>((F15+G15+H15+J15+K15)/(F13+G13+H13+J13+K13))*1000</f>
        <v>200.74600971547537</v>
      </c>
      <c r="AC8" s="247">
        <f>((L15+M15+O15)/(L13+M13+O13))*1000</f>
        <v>288.5851150835378</v>
      </c>
      <c r="AD8" s="247">
        <f>((L15+M15+O15+P15+Q15)/(L13+M13+O13+P13+Q13))*1000</f>
        <v>288.5851150835378</v>
      </c>
    </row>
    <row r="9" spans="1:31" ht="16" thickBot="1" x14ac:dyDescent="0.25">
      <c r="A9" s="22" t="s">
        <v>8</v>
      </c>
      <c r="B9" s="180">
        <v>11</v>
      </c>
      <c r="C9" s="180">
        <v>19</v>
      </c>
      <c r="D9" s="181">
        <v>73</v>
      </c>
      <c r="E9" s="182">
        <v>555</v>
      </c>
      <c r="F9" s="180">
        <v>2688</v>
      </c>
      <c r="G9" s="183">
        <v>524</v>
      </c>
      <c r="H9" s="180">
        <v>53</v>
      </c>
      <c r="I9" s="18">
        <f t="shared" si="0"/>
        <v>3820</v>
      </c>
      <c r="J9" s="182">
        <v>360</v>
      </c>
      <c r="K9" s="49">
        <v>825</v>
      </c>
      <c r="L9" s="37">
        <v>2567</v>
      </c>
      <c r="M9" s="49">
        <v>2708</v>
      </c>
      <c r="N9" s="18">
        <f t="shared" si="1"/>
        <v>6460</v>
      </c>
      <c r="O9" s="182">
        <v>4040</v>
      </c>
      <c r="P9" s="49"/>
      <c r="Q9" s="37"/>
      <c r="W9" s="388"/>
      <c r="X9" s="388"/>
      <c r="Y9" s="217" t="s">
        <v>229</v>
      </c>
      <c r="Z9" s="236">
        <f>D15</f>
        <v>10488</v>
      </c>
      <c r="AA9" s="236">
        <f>B15+C15+E15</f>
        <v>4438</v>
      </c>
      <c r="AB9" s="236">
        <f>F15+G15+H15+J15+K15</f>
        <v>11571</v>
      </c>
      <c r="AC9" s="236">
        <f>L15+M15+O15</f>
        <v>9880</v>
      </c>
      <c r="AD9" s="236">
        <f>L15+M15+O15+P15+Q15</f>
        <v>9880</v>
      </c>
    </row>
    <row r="10" spans="1:31" ht="16" thickTop="1" x14ac:dyDescent="0.2">
      <c r="A10" s="177" t="s">
        <v>19</v>
      </c>
      <c r="B10" s="13">
        <v>1000</v>
      </c>
      <c r="C10" s="13">
        <v>1173</v>
      </c>
      <c r="D10" s="14">
        <v>12623</v>
      </c>
      <c r="E10" s="40">
        <v>3109</v>
      </c>
      <c r="F10" s="13">
        <v>5290</v>
      </c>
      <c r="G10" s="41">
        <v>3588</v>
      </c>
      <c r="H10" s="20">
        <v>2996</v>
      </c>
      <c r="I10" s="42">
        <f t="shared" ref="I10:I40" si="2">E10+F10+G10+H10</f>
        <v>14983</v>
      </c>
      <c r="J10" s="43">
        <v>3487</v>
      </c>
      <c r="K10" s="17">
        <v>3289</v>
      </c>
      <c r="L10" s="44">
        <v>5012</v>
      </c>
      <c r="M10" s="17">
        <v>4442</v>
      </c>
      <c r="N10" s="18">
        <f t="shared" ref="N10:N40" si="3">SUM(J10:M10)</f>
        <v>16230</v>
      </c>
      <c r="O10" s="43">
        <v>2218</v>
      </c>
      <c r="P10" s="17"/>
      <c r="Q10" s="44"/>
      <c r="W10" s="389"/>
      <c r="X10" s="389"/>
      <c r="Y10" s="217" t="s">
        <v>216</v>
      </c>
      <c r="Z10" s="236">
        <f>D13</f>
        <v>37525</v>
      </c>
      <c r="AA10" s="236">
        <f>B13+C13+E13</f>
        <v>14641</v>
      </c>
      <c r="AB10" s="236">
        <f>F13+G13+H13+J13+K13</f>
        <v>57640</v>
      </c>
      <c r="AC10" s="236">
        <f>L13+M13+O13</f>
        <v>34236</v>
      </c>
      <c r="AD10" s="236">
        <f>L13+M13+O13+P13+Q13</f>
        <v>34236</v>
      </c>
    </row>
    <row r="11" spans="1:31" x14ac:dyDescent="0.2">
      <c r="A11" s="45" t="s">
        <v>16</v>
      </c>
      <c r="B11" s="12">
        <v>985</v>
      </c>
      <c r="C11" s="12">
        <v>1150</v>
      </c>
      <c r="D11" s="23">
        <v>11285</v>
      </c>
      <c r="E11" s="24">
        <v>2938</v>
      </c>
      <c r="F11" s="12">
        <v>5141</v>
      </c>
      <c r="G11" s="25">
        <v>3480</v>
      </c>
      <c r="H11" s="26">
        <v>2755</v>
      </c>
      <c r="I11" s="18">
        <f t="shared" si="2"/>
        <v>14314</v>
      </c>
      <c r="J11" s="27">
        <v>3274</v>
      </c>
      <c r="K11" s="26">
        <v>3221</v>
      </c>
      <c r="L11" s="28">
        <v>5005</v>
      </c>
      <c r="M11" s="26">
        <v>4413</v>
      </c>
      <c r="N11" s="18">
        <f t="shared" si="3"/>
        <v>15913</v>
      </c>
      <c r="O11" s="27">
        <v>1973</v>
      </c>
      <c r="P11" s="26"/>
      <c r="Q11" s="28"/>
      <c r="W11" s="390" t="s">
        <v>46</v>
      </c>
      <c r="X11" s="390" t="s">
        <v>226</v>
      </c>
      <c r="Y11" s="244" t="s">
        <v>191</v>
      </c>
      <c r="Z11" s="245">
        <f>(D3+D7)/(D2+D6)</f>
        <v>8.233185747417246E-2</v>
      </c>
      <c r="AA11" s="245">
        <f>(B3+C3+E3+B7+C7+E7)/(B2+C2+E2+B6+C6+E6)</f>
        <v>9.3745149774949563E-2</v>
      </c>
      <c r="AB11" s="245">
        <f>(F3+G3+H3+J3+K3+F7+G7+H7+J7+K7)/(F2+G2+H2+J2+K2+F6+G6+H6+J6+K6)</f>
        <v>9.3080540419496899E-2</v>
      </c>
      <c r="AC11" s="245">
        <f>(L3+M3+O3+L7+M7+O7)/(L2+M2+O2+L6+M6+O6)</f>
        <v>0.11509073543457497</v>
      </c>
      <c r="AD11" s="245">
        <f>(L3+M3+O3+P3+Q3+L7+M7+O7+P7+Q7)/(L2+M2+O2+P2+Q2+L6+M6+O6+P6+Q6)</f>
        <v>0.11509073543457497</v>
      </c>
    </row>
    <row r="12" spans="1:31" x14ac:dyDescent="0.2">
      <c r="A12" s="177" t="s">
        <v>15</v>
      </c>
      <c r="B12" s="12">
        <v>158</v>
      </c>
      <c r="C12" s="12">
        <v>230</v>
      </c>
      <c r="D12" s="23">
        <v>2157</v>
      </c>
      <c r="E12" s="24">
        <v>698</v>
      </c>
      <c r="F12" s="12">
        <v>927</v>
      </c>
      <c r="G12" s="25">
        <v>452</v>
      </c>
      <c r="H12" s="26">
        <v>242</v>
      </c>
      <c r="I12" s="18">
        <f t="shared" si="2"/>
        <v>2319</v>
      </c>
      <c r="J12" s="27">
        <v>246</v>
      </c>
      <c r="K12" s="26">
        <v>462</v>
      </c>
      <c r="L12" s="28">
        <v>844</v>
      </c>
      <c r="M12" s="26">
        <v>559</v>
      </c>
      <c r="N12" s="18">
        <f t="shared" si="3"/>
        <v>2111</v>
      </c>
      <c r="O12" s="27">
        <v>475</v>
      </c>
      <c r="P12" s="26"/>
      <c r="Q12" s="28"/>
      <c r="W12" s="391"/>
      <c r="X12" s="391"/>
      <c r="Y12" s="218" t="s">
        <v>231</v>
      </c>
      <c r="Z12" s="246">
        <f>D3+D7</f>
        <v>1562</v>
      </c>
      <c r="AA12" s="246">
        <f>B3+C3+E3+B7+C7+E7</f>
        <v>604</v>
      </c>
      <c r="AB12" s="246">
        <f>F3+G3+H3+J3+K3+F7+G7+H7+J7+K7</f>
        <v>2494</v>
      </c>
      <c r="AC12" s="246">
        <f>L3+M3+O3+L7+M7+O7</f>
        <v>2169</v>
      </c>
      <c r="AD12" s="246">
        <f>L3+M3+O3+P3+Q3+L7+M7+O7+P7+Q7</f>
        <v>2169</v>
      </c>
    </row>
    <row r="13" spans="1:31" x14ac:dyDescent="0.2">
      <c r="A13" s="45" t="s">
        <v>20</v>
      </c>
      <c r="B13" s="12">
        <v>2627</v>
      </c>
      <c r="C13" s="12">
        <v>2995</v>
      </c>
      <c r="D13" s="23">
        <v>37525</v>
      </c>
      <c r="E13" s="24">
        <v>9019</v>
      </c>
      <c r="F13" s="12">
        <v>16067</v>
      </c>
      <c r="G13" s="25">
        <v>13382</v>
      </c>
      <c r="H13" s="26">
        <v>8241</v>
      </c>
      <c r="I13" s="18">
        <f t="shared" si="2"/>
        <v>46709</v>
      </c>
      <c r="J13" s="27">
        <v>9360</v>
      </c>
      <c r="K13" s="26">
        <v>10590</v>
      </c>
      <c r="L13" s="28">
        <v>14024</v>
      </c>
      <c r="M13" s="26">
        <v>11838</v>
      </c>
      <c r="N13" s="18">
        <f t="shared" si="3"/>
        <v>45812</v>
      </c>
      <c r="O13" s="27">
        <v>8374</v>
      </c>
      <c r="P13" s="26"/>
      <c r="Q13" s="28"/>
      <c r="W13" s="391"/>
      <c r="X13" s="392"/>
      <c r="Y13" s="218" t="s">
        <v>232</v>
      </c>
      <c r="Z13" s="246">
        <f>D2+D6</f>
        <v>18972</v>
      </c>
      <c r="AA13" s="246">
        <f>(B2+C2+E2+B6+C6+E6)</f>
        <v>6443</v>
      </c>
      <c r="AB13" s="246">
        <f>F2+G2+H2+J2+K2+F6+G6+H6+J6+K6</f>
        <v>26794</v>
      </c>
      <c r="AC13" s="246">
        <f>L2+M2+O2+L6+M6+O6</f>
        <v>18846</v>
      </c>
      <c r="AD13" s="246">
        <f>L2+M2+O2+P2+Q2+L6+M6+O6+P6+Q6</f>
        <v>18846</v>
      </c>
    </row>
    <row r="14" spans="1:31" ht="30" customHeight="1" x14ac:dyDescent="0.2">
      <c r="A14" s="45" t="s">
        <v>18</v>
      </c>
      <c r="B14" s="12">
        <v>2242</v>
      </c>
      <c r="C14" s="12">
        <v>1331</v>
      </c>
      <c r="D14" s="23">
        <v>16396</v>
      </c>
      <c r="E14" s="24">
        <v>3159</v>
      </c>
      <c r="F14" s="12">
        <v>12168</v>
      </c>
      <c r="G14" s="25">
        <v>9676</v>
      </c>
      <c r="H14" s="26">
        <v>7325</v>
      </c>
      <c r="I14" s="18">
        <f t="shared" si="2"/>
        <v>32328</v>
      </c>
      <c r="J14" s="27">
        <v>8797</v>
      </c>
      <c r="K14" s="26">
        <v>8581</v>
      </c>
      <c r="L14" s="28">
        <v>13369</v>
      </c>
      <c r="M14" s="26">
        <v>11570</v>
      </c>
      <c r="N14" s="18">
        <f t="shared" si="3"/>
        <v>42317</v>
      </c>
      <c r="O14" s="27">
        <v>8080</v>
      </c>
      <c r="P14" s="26"/>
      <c r="Q14" s="28"/>
      <c r="W14" s="391"/>
      <c r="X14" s="390" t="s">
        <v>192</v>
      </c>
      <c r="Y14" s="244" t="s">
        <v>193</v>
      </c>
      <c r="Z14" s="245">
        <f>D3/D2</f>
        <v>7.4751661545058246E-2</v>
      </c>
      <c r="AA14" s="245">
        <f>(B3+C3+E3)/(B2+C2+E2)</f>
        <v>9.850590687977763E-2</v>
      </c>
      <c r="AB14" s="245">
        <f>(F3+G3+H3+J3+K3)/(F2+G2+H2+J2+K2)</f>
        <v>6.2820512820512819E-2</v>
      </c>
      <c r="AC14" s="245">
        <f>(L3+M3+O3)/(L2+M2+O2)</f>
        <v>5.2125546285260234E-2</v>
      </c>
      <c r="AD14" s="245">
        <f>(L3+M3+O3+P3+Q3)/(L2+M2+O2+P2+Q2)</f>
        <v>5.2125546285260234E-2</v>
      </c>
    </row>
    <row r="15" spans="1:31" x14ac:dyDescent="0.2">
      <c r="A15" s="45" t="s">
        <v>17</v>
      </c>
      <c r="B15" s="12">
        <v>682</v>
      </c>
      <c r="C15" s="12">
        <v>896</v>
      </c>
      <c r="D15" s="23">
        <v>10488</v>
      </c>
      <c r="E15" s="24">
        <v>2860</v>
      </c>
      <c r="F15" s="12">
        <v>4598</v>
      </c>
      <c r="G15" s="25">
        <v>2511</v>
      </c>
      <c r="H15" s="26">
        <v>1182</v>
      </c>
      <c r="I15" s="18">
        <f t="shared" si="2"/>
        <v>11151</v>
      </c>
      <c r="J15" s="27">
        <v>1488</v>
      </c>
      <c r="K15" s="26">
        <v>1792</v>
      </c>
      <c r="L15" s="28">
        <v>3678</v>
      </c>
      <c r="M15" s="26">
        <v>2642</v>
      </c>
      <c r="N15" s="18">
        <f t="shared" si="3"/>
        <v>9600</v>
      </c>
      <c r="O15" s="27">
        <v>3560</v>
      </c>
      <c r="P15" s="26"/>
      <c r="Q15" s="28"/>
      <c r="W15" s="391"/>
      <c r="X15" s="391"/>
      <c r="Y15" s="218" t="s">
        <v>233</v>
      </c>
      <c r="Z15" s="246">
        <f>D3</f>
        <v>1046</v>
      </c>
      <c r="AA15" s="246">
        <f>B3+C3+E3</f>
        <v>567</v>
      </c>
      <c r="AB15" s="246">
        <f>F3+G3+H3+J3+K3</f>
        <v>1225</v>
      </c>
      <c r="AC15" s="246">
        <f>L3+M3+O3</f>
        <v>656</v>
      </c>
      <c r="AD15" s="246">
        <f>L3+M3+O3+P3+Q3</f>
        <v>656</v>
      </c>
    </row>
    <row r="16" spans="1:31" ht="16" thickBot="1" x14ac:dyDescent="0.25">
      <c r="A16" s="179" t="s">
        <v>21</v>
      </c>
      <c r="B16" s="34">
        <v>1</v>
      </c>
      <c r="C16" s="34">
        <v>2</v>
      </c>
      <c r="D16" s="47">
        <v>227</v>
      </c>
      <c r="E16" s="48">
        <v>37</v>
      </c>
      <c r="F16" s="34">
        <v>18</v>
      </c>
      <c r="G16" s="33">
        <v>16</v>
      </c>
      <c r="H16" s="34">
        <v>2</v>
      </c>
      <c r="I16" s="38">
        <f t="shared" si="2"/>
        <v>73</v>
      </c>
      <c r="J16" s="48">
        <v>7</v>
      </c>
      <c r="K16" s="49">
        <v>11</v>
      </c>
      <c r="L16" s="37">
        <v>11</v>
      </c>
      <c r="M16" s="49">
        <v>8</v>
      </c>
      <c r="N16" s="18">
        <f t="shared" si="3"/>
        <v>37</v>
      </c>
      <c r="O16" s="48">
        <v>9</v>
      </c>
      <c r="P16" s="49"/>
      <c r="Q16" s="37"/>
      <c r="W16" s="391"/>
      <c r="X16" s="392"/>
      <c r="Y16" s="218" t="s">
        <v>234</v>
      </c>
      <c r="Z16" s="246">
        <f>D2</f>
        <v>13993</v>
      </c>
      <c r="AA16" s="246">
        <f>B2+C2+E2</f>
        <v>5756</v>
      </c>
      <c r="AB16" s="246">
        <f>F2+G2+H2+J2+K2</f>
        <v>19500</v>
      </c>
      <c r="AC16" s="246">
        <f>L2+M2+O2</f>
        <v>12585</v>
      </c>
      <c r="AD16" s="246">
        <f>L2+M2+O2+P2+Q2</f>
        <v>12585</v>
      </c>
    </row>
    <row r="17" spans="1:30" ht="16" thickTop="1" x14ac:dyDescent="0.2">
      <c r="A17" s="55" t="s">
        <v>25</v>
      </c>
      <c r="B17" s="13">
        <v>936</v>
      </c>
      <c r="C17" s="13">
        <v>768</v>
      </c>
      <c r="D17" s="14">
        <v>10799</v>
      </c>
      <c r="E17" s="40">
        <v>3133</v>
      </c>
      <c r="F17" s="13">
        <v>2521</v>
      </c>
      <c r="G17" s="41">
        <v>2426</v>
      </c>
      <c r="H17" s="20">
        <v>2490</v>
      </c>
      <c r="I17" s="18">
        <f t="shared" si="2"/>
        <v>10570</v>
      </c>
      <c r="J17" s="19">
        <v>2697</v>
      </c>
      <c r="K17" s="51">
        <v>2156</v>
      </c>
      <c r="L17" s="44">
        <v>2453</v>
      </c>
      <c r="M17" s="51">
        <v>2627</v>
      </c>
      <c r="N17" s="42">
        <f t="shared" si="3"/>
        <v>9933</v>
      </c>
      <c r="O17" s="19">
        <v>2656</v>
      </c>
      <c r="P17" s="51"/>
      <c r="Q17" s="44"/>
      <c r="W17" s="391"/>
      <c r="X17" s="390" t="s">
        <v>230</v>
      </c>
      <c r="Y17" s="244" t="s">
        <v>194</v>
      </c>
      <c r="Z17" s="245">
        <f>D7/D6</f>
        <v>0.10363526812612975</v>
      </c>
      <c r="AA17" s="245">
        <f>(B7+C7+E7)/(B6+C6+E6)</f>
        <v>5.3857350800582245E-2</v>
      </c>
      <c r="AB17" s="245">
        <f>(F7+G7+H7+J7+K7)/(F6+G6+H6+J6+K6)</f>
        <v>0.17397861255826708</v>
      </c>
      <c r="AC17" s="245">
        <f>(L7+M7+O7)/(L6+M6+O6)</f>
        <v>0.24165468774956078</v>
      </c>
      <c r="AD17" s="245">
        <f>(L7+M7+O7+P7+Q7)/(L6+M6+O6+P6+Q6)</f>
        <v>0.24165468774956078</v>
      </c>
    </row>
    <row r="18" spans="1:30" x14ac:dyDescent="0.2">
      <c r="A18" s="52" t="s">
        <v>26</v>
      </c>
      <c r="B18" s="12">
        <v>2580</v>
      </c>
      <c r="C18" s="12">
        <v>2228</v>
      </c>
      <c r="D18" s="23">
        <v>29197</v>
      </c>
      <c r="E18" s="24">
        <v>7973</v>
      </c>
      <c r="F18" s="12">
        <v>7883</v>
      </c>
      <c r="G18" s="25">
        <v>6829</v>
      </c>
      <c r="H18" s="26">
        <v>7150</v>
      </c>
      <c r="I18" s="18">
        <f t="shared" si="2"/>
        <v>29835</v>
      </c>
      <c r="J18" s="27">
        <v>8112</v>
      </c>
      <c r="K18" s="53">
        <v>7365</v>
      </c>
      <c r="L18" s="28">
        <v>7138</v>
      </c>
      <c r="M18" s="53">
        <v>7871</v>
      </c>
      <c r="N18" s="18">
        <f t="shared" si="3"/>
        <v>30486</v>
      </c>
      <c r="O18" s="27">
        <v>8749</v>
      </c>
      <c r="P18" s="53"/>
      <c r="Q18" s="28"/>
      <c r="W18" s="391"/>
      <c r="X18" s="391"/>
      <c r="Y18" s="218" t="s">
        <v>235</v>
      </c>
      <c r="Z18" s="221">
        <f>D7</f>
        <v>516</v>
      </c>
      <c r="AA18" s="221">
        <f>B7+C7+E7</f>
        <v>37</v>
      </c>
      <c r="AB18" s="221">
        <f>F7+G7+H7+J7+K7</f>
        <v>1269</v>
      </c>
      <c r="AC18" s="221">
        <f>L7+M7+O7</f>
        <v>1513</v>
      </c>
      <c r="AD18" s="221">
        <f>L7+M7+O7+P7+Q7</f>
        <v>1513</v>
      </c>
    </row>
    <row r="19" spans="1:30" x14ac:dyDescent="0.2">
      <c r="A19" s="52" t="s">
        <v>27</v>
      </c>
      <c r="B19" s="26">
        <v>694</v>
      </c>
      <c r="C19" s="26">
        <v>592</v>
      </c>
      <c r="D19" s="54">
        <v>6928</v>
      </c>
      <c r="E19" s="27">
        <v>1860</v>
      </c>
      <c r="F19" s="26">
        <v>1987</v>
      </c>
      <c r="G19" s="25">
        <v>1439</v>
      </c>
      <c r="H19" s="26">
        <v>1648</v>
      </c>
      <c r="I19" s="18">
        <f t="shared" si="2"/>
        <v>6934</v>
      </c>
      <c r="J19" s="27">
        <v>1853</v>
      </c>
      <c r="K19" s="53">
        <v>1834</v>
      </c>
      <c r="L19" s="28">
        <v>1638</v>
      </c>
      <c r="M19" s="53">
        <v>1563</v>
      </c>
      <c r="N19" s="18">
        <f t="shared" si="3"/>
        <v>6888</v>
      </c>
      <c r="O19" s="27">
        <v>1774</v>
      </c>
      <c r="P19" s="53"/>
      <c r="Q19" s="28"/>
      <c r="W19" s="392"/>
      <c r="X19" s="392"/>
      <c r="Y19" s="218" t="s">
        <v>236</v>
      </c>
      <c r="Z19" s="221">
        <f>D6</f>
        <v>4979</v>
      </c>
      <c r="AA19" s="221">
        <f>B6+C6+E6</f>
        <v>687</v>
      </c>
      <c r="AB19" s="221">
        <f>F6+G6+H6+J6+K6</f>
        <v>7294</v>
      </c>
      <c r="AC19" s="221">
        <f>L6+M6+O6</f>
        <v>6261</v>
      </c>
      <c r="AD19" s="221">
        <f>L6+M6+O6+P6+Q6</f>
        <v>6261</v>
      </c>
    </row>
    <row r="20" spans="1:30" ht="30" customHeight="1" x14ac:dyDescent="0.2">
      <c r="A20" s="52" t="s">
        <v>28</v>
      </c>
      <c r="B20" s="56">
        <v>18</v>
      </c>
      <c r="C20" s="56">
        <v>49</v>
      </c>
      <c r="D20" s="57">
        <v>256</v>
      </c>
      <c r="E20" s="58">
        <v>47</v>
      </c>
      <c r="F20" s="59">
        <v>39</v>
      </c>
      <c r="G20" s="60">
        <v>62</v>
      </c>
      <c r="H20" s="61">
        <v>82</v>
      </c>
      <c r="I20" s="18">
        <f t="shared" si="2"/>
        <v>230</v>
      </c>
      <c r="J20" s="27">
        <v>60</v>
      </c>
      <c r="K20" s="53">
        <v>114</v>
      </c>
      <c r="L20" s="28">
        <v>76</v>
      </c>
      <c r="M20" s="53">
        <v>108</v>
      </c>
      <c r="N20" s="18">
        <f t="shared" si="3"/>
        <v>358</v>
      </c>
      <c r="O20" s="27">
        <v>109</v>
      </c>
      <c r="P20" s="53"/>
      <c r="Q20" s="28"/>
      <c r="W20" s="421" t="s">
        <v>170</v>
      </c>
      <c r="X20" s="421" t="s">
        <v>226</v>
      </c>
      <c r="Y20" s="219" t="s">
        <v>195</v>
      </c>
      <c r="Z20" s="222">
        <f>D10+D13</f>
        <v>50148</v>
      </c>
      <c r="AA20" s="222">
        <f>B10+C10+E10+B13+C13+E13</f>
        <v>19923</v>
      </c>
      <c r="AB20" s="222">
        <f>F10+G10+H10+J10+K10+F13+G13+H13+J13+K13</f>
        <v>76290</v>
      </c>
      <c r="AC20" s="223">
        <f>L10+M10+O10+L13+M13+O13</f>
        <v>45908</v>
      </c>
      <c r="AD20" s="223">
        <f>L10+M10+O10+P10+Q10+L13+M13+O13+P13+Q13</f>
        <v>45908</v>
      </c>
    </row>
    <row r="21" spans="1:30" x14ac:dyDescent="0.2">
      <c r="A21" s="55" t="s">
        <v>22</v>
      </c>
      <c r="B21" s="56">
        <v>519</v>
      </c>
      <c r="C21" s="56">
        <v>444</v>
      </c>
      <c r="D21" s="57">
        <v>10924</v>
      </c>
      <c r="E21" s="58">
        <v>1383</v>
      </c>
      <c r="F21" s="59">
        <v>1886</v>
      </c>
      <c r="G21" s="60">
        <v>2401</v>
      </c>
      <c r="H21" s="61">
        <v>2445</v>
      </c>
      <c r="I21" s="18">
        <f t="shared" si="2"/>
        <v>8115</v>
      </c>
      <c r="J21" s="27">
        <v>2038</v>
      </c>
      <c r="K21" s="53">
        <v>1827</v>
      </c>
      <c r="L21" s="28">
        <v>2166</v>
      </c>
      <c r="M21" s="53">
        <v>2353</v>
      </c>
      <c r="N21" s="18">
        <f t="shared" si="3"/>
        <v>8384</v>
      </c>
      <c r="O21" s="27">
        <v>2223</v>
      </c>
      <c r="P21" s="53"/>
      <c r="Q21" s="28"/>
      <c r="W21" s="419"/>
      <c r="X21" s="419"/>
      <c r="Y21" s="219" t="s">
        <v>205</v>
      </c>
      <c r="Z21" s="222">
        <f>Z20/12</f>
        <v>4179</v>
      </c>
      <c r="AA21" s="222">
        <f>AA20/5</f>
        <v>3984.6</v>
      </c>
      <c r="AB21" s="222">
        <f>AB20/15</f>
        <v>5086</v>
      </c>
      <c r="AC21" s="223">
        <f>AC20/9</f>
        <v>5100.8888888888887</v>
      </c>
      <c r="AD21" s="223"/>
    </row>
    <row r="22" spans="1:30" x14ac:dyDescent="0.2">
      <c r="A22" s="52" t="s">
        <v>23</v>
      </c>
      <c r="B22" s="56">
        <v>532</v>
      </c>
      <c r="C22" s="56">
        <v>372</v>
      </c>
      <c r="D22" s="57">
        <v>8244</v>
      </c>
      <c r="E22" s="58">
        <v>939</v>
      </c>
      <c r="F22" s="59">
        <v>1183</v>
      </c>
      <c r="G22" s="60">
        <v>1327</v>
      </c>
      <c r="H22" s="61">
        <v>2289</v>
      </c>
      <c r="I22" s="18">
        <f t="shared" si="2"/>
        <v>5738</v>
      </c>
      <c r="J22" s="27">
        <v>2063</v>
      </c>
      <c r="K22" s="53">
        <v>1455</v>
      </c>
      <c r="L22" s="28">
        <v>1674</v>
      </c>
      <c r="M22" s="53">
        <v>2247</v>
      </c>
      <c r="N22" s="18">
        <f t="shared" si="3"/>
        <v>7439</v>
      </c>
      <c r="O22" s="27">
        <v>1746</v>
      </c>
      <c r="P22" s="53"/>
      <c r="Q22" s="28"/>
      <c r="W22" s="419"/>
      <c r="X22" s="419"/>
      <c r="Y22" s="219" t="s">
        <v>196</v>
      </c>
      <c r="Z22" s="223">
        <f>D12+D15</f>
        <v>12645</v>
      </c>
      <c r="AA22" s="223">
        <f>B12+C12+E12+B15+C15+E15</f>
        <v>5524</v>
      </c>
      <c r="AB22" s="223">
        <f>F12+G12+H12+J12+K12+F15+G15+H15+J15+K15</f>
        <v>13900</v>
      </c>
      <c r="AC22" s="223">
        <f>L12+M12+O12+L15+M15+O15</f>
        <v>11758</v>
      </c>
      <c r="AD22" s="223">
        <f>L12+M12+O12+P12+Q12+L15+M15+O15+P15+Q15</f>
        <v>11758</v>
      </c>
    </row>
    <row r="23" spans="1:30" ht="30" customHeight="1" thickBot="1" x14ac:dyDescent="0.25">
      <c r="A23" s="52" t="s">
        <v>24</v>
      </c>
      <c r="B23" s="63">
        <v>469</v>
      </c>
      <c r="C23" s="63">
        <v>335</v>
      </c>
      <c r="D23" s="64">
        <v>5736</v>
      </c>
      <c r="E23" s="65">
        <v>807</v>
      </c>
      <c r="F23" s="66">
        <v>869</v>
      </c>
      <c r="G23" s="67">
        <v>1052</v>
      </c>
      <c r="H23" s="68">
        <v>1861</v>
      </c>
      <c r="I23" s="38">
        <f t="shared" si="2"/>
        <v>4589</v>
      </c>
      <c r="J23" s="35">
        <v>1825</v>
      </c>
      <c r="K23" s="49">
        <v>1253</v>
      </c>
      <c r="L23" s="37">
        <v>1294</v>
      </c>
      <c r="M23" s="49">
        <v>1703</v>
      </c>
      <c r="N23" s="18">
        <f t="shared" si="3"/>
        <v>6075</v>
      </c>
      <c r="O23" s="35">
        <v>1541</v>
      </c>
      <c r="P23" s="49"/>
      <c r="Q23" s="37"/>
      <c r="W23" s="419"/>
      <c r="X23" s="420"/>
      <c r="Y23" s="219" t="s">
        <v>206</v>
      </c>
      <c r="Z23" s="222">
        <f>Z22/12</f>
        <v>1053.75</v>
      </c>
      <c r="AA23" s="222">
        <f>AA22/5</f>
        <v>1104.8</v>
      </c>
      <c r="AB23" s="222">
        <f>AB22/15</f>
        <v>926.66666666666663</v>
      </c>
      <c r="AC23" s="223">
        <f>AC22/9</f>
        <v>1306.4444444444443</v>
      </c>
      <c r="AD23" s="223"/>
    </row>
    <row r="24" spans="1:30" ht="16" thickTop="1" x14ac:dyDescent="0.2">
      <c r="A24" s="69" t="s">
        <v>29</v>
      </c>
      <c r="B24" s="13">
        <v>40</v>
      </c>
      <c r="C24" s="13">
        <v>43</v>
      </c>
      <c r="D24" s="14">
        <v>1104</v>
      </c>
      <c r="E24" s="40">
        <v>145</v>
      </c>
      <c r="F24" s="13">
        <v>462</v>
      </c>
      <c r="G24" s="41">
        <v>221</v>
      </c>
      <c r="H24" s="20">
        <v>222</v>
      </c>
      <c r="I24" s="18">
        <f>E24+F24+G24+H24</f>
        <v>1050</v>
      </c>
      <c r="J24" s="70">
        <v>292</v>
      </c>
      <c r="K24" s="16">
        <v>218</v>
      </c>
      <c r="L24" s="16">
        <v>589</v>
      </c>
      <c r="M24" s="16">
        <v>369</v>
      </c>
      <c r="N24" s="42">
        <f t="shared" si="3"/>
        <v>1468</v>
      </c>
      <c r="O24" s="70">
        <v>392</v>
      </c>
      <c r="P24" s="16"/>
      <c r="Q24" s="16"/>
      <c r="W24" s="419"/>
      <c r="X24" s="421" t="s">
        <v>189</v>
      </c>
      <c r="Y24" s="219" t="s">
        <v>197</v>
      </c>
      <c r="Z24" s="223">
        <f>D10</f>
        <v>12623</v>
      </c>
      <c r="AA24" s="223">
        <f>B10+C10+E10</f>
        <v>5282</v>
      </c>
      <c r="AB24" s="223">
        <f>F10+G10+H10+J10+K10</f>
        <v>18650</v>
      </c>
      <c r="AC24" s="223">
        <f>L10+M10+O10</f>
        <v>11672</v>
      </c>
      <c r="AD24" s="223">
        <f>L10+M10+O10+P10+Q10</f>
        <v>11672</v>
      </c>
    </row>
    <row r="25" spans="1:30" x14ac:dyDescent="0.2">
      <c r="A25" s="71" t="s">
        <v>30</v>
      </c>
      <c r="B25" s="12">
        <v>44</v>
      </c>
      <c r="C25" s="12">
        <v>42</v>
      </c>
      <c r="D25" s="23">
        <v>1688</v>
      </c>
      <c r="E25" s="24">
        <v>149</v>
      </c>
      <c r="F25" s="12">
        <v>679</v>
      </c>
      <c r="G25" s="25">
        <v>318</v>
      </c>
      <c r="H25" s="26">
        <v>244</v>
      </c>
      <c r="I25" s="18">
        <f t="shared" si="2"/>
        <v>1390</v>
      </c>
      <c r="J25" s="27">
        <v>411</v>
      </c>
      <c r="K25" s="27">
        <v>225</v>
      </c>
      <c r="L25" s="27">
        <v>804</v>
      </c>
      <c r="M25" s="27">
        <v>675</v>
      </c>
      <c r="N25" s="18">
        <f t="shared" si="3"/>
        <v>2115</v>
      </c>
      <c r="O25" s="27">
        <v>938</v>
      </c>
      <c r="P25" s="27"/>
      <c r="Q25" s="27"/>
      <c r="W25" s="419"/>
      <c r="X25" s="419"/>
      <c r="Y25" s="219" t="s">
        <v>207</v>
      </c>
      <c r="Z25" s="222">
        <f>Z24/12</f>
        <v>1051.9166666666667</v>
      </c>
      <c r="AA25" s="222">
        <f>AA24/5</f>
        <v>1056.4000000000001</v>
      </c>
      <c r="AB25" s="222">
        <f>AB24/15</f>
        <v>1243.3333333333333</v>
      </c>
      <c r="AC25" s="223">
        <f>AC24/9</f>
        <v>1296.8888888888889</v>
      </c>
      <c r="AD25" s="223"/>
    </row>
    <row r="26" spans="1:30" ht="30" customHeight="1" x14ac:dyDescent="0.2">
      <c r="A26" s="71" t="s">
        <v>31</v>
      </c>
      <c r="B26" s="12">
        <v>22</v>
      </c>
      <c r="C26" s="12">
        <v>25</v>
      </c>
      <c r="D26" s="23">
        <v>1032</v>
      </c>
      <c r="E26" s="24">
        <v>125</v>
      </c>
      <c r="F26" s="12">
        <v>483</v>
      </c>
      <c r="G26" s="25">
        <v>213</v>
      </c>
      <c r="H26" s="26">
        <v>185</v>
      </c>
      <c r="I26" s="18">
        <f t="shared" si="2"/>
        <v>1006</v>
      </c>
      <c r="J26" s="27">
        <v>279</v>
      </c>
      <c r="K26" s="27">
        <v>186</v>
      </c>
      <c r="L26" s="27">
        <v>559</v>
      </c>
      <c r="M26" s="27">
        <v>339</v>
      </c>
      <c r="N26" s="18">
        <f t="shared" si="3"/>
        <v>1363</v>
      </c>
      <c r="O26" s="27">
        <v>743</v>
      </c>
      <c r="P26" s="27"/>
      <c r="Q26" s="27"/>
      <c r="W26" s="419"/>
      <c r="X26" s="419"/>
      <c r="Y26" s="219" t="s">
        <v>199</v>
      </c>
      <c r="Z26" s="223">
        <f>D12</f>
        <v>2157</v>
      </c>
      <c r="AA26" s="223">
        <f>B12+C12+E12</f>
        <v>1086</v>
      </c>
      <c r="AB26" s="223">
        <f>F12+G12+H12+J12+K12</f>
        <v>2329</v>
      </c>
      <c r="AC26" s="223">
        <f>L12+M12+O12</f>
        <v>1878</v>
      </c>
      <c r="AD26" s="223">
        <f>L12+M12+O12+P12+Q12</f>
        <v>1878</v>
      </c>
    </row>
    <row r="27" spans="1:30" x14ac:dyDescent="0.2">
      <c r="A27" s="71" t="s">
        <v>32</v>
      </c>
      <c r="B27" s="12">
        <v>100</v>
      </c>
      <c r="C27" s="12">
        <v>71</v>
      </c>
      <c r="D27" s="23">
        <v>3497</v>
      </c>
      <c r="E27" s="24">
        <v>340</v>
      </c>
      <c r="F27" s="12">
        <v>1571</v>
      </c>
      <c r="G27" s="25">
        <v>627</v>
      </c>
      <c r="H27" s="26">
        <v>493</v>
      </c>
      <c r="I27" s="18">
        <f t="shared" si="2"/>
        <v>3031</v>
      </c>
      <c r="J27" s="27">
        <v>655</v>
      </c>
      <c r="K27" s="27">
        <v>519</v>
      </c>
      <c r="L27" s="27">
        <v>1386</v>
      </c>
      <c r="M27" s="27">
        <v>1003</v>
      </c>
      <c r="N27" s="18">
        <f t="shared" si="3"/>
        <v>3563</v>
      </c>
      <c r="O27" s="27">
        <v>1707</v>
      </c>
      <c r="P27" s="27"/>
      <c r="Q27" s="27"/>
      <c r="W27" s="419"/>
      <c r="X27" s="420"/>
      <c r="Y27" s="219" t="s">
        <v>208</v>
      </c>
      <c r="Z27" s="222">
        <f>Z26/12</f>
        <v>179.75</v>
      </c>
      <c r="AA27" s="222">
        <f>AA26/5</f>
        <v>217.2</v>
      </c>
      <c r="AB27" s="222">
        <f>AB26/15</f>
        <v>155.26666666666668</v>
      </c>
      <c r="AC27" s="223">
        <f>AC26/9</f>
        <v>208.66666666666666</v>
      </c>
      <c r="AD27" s="223"/>
    </row>
    <row r="28" spans="1:30" x14ac:dyDescent="0.2">
      <c r="A28" s="72" t="s">
        <v>33</v>
      </c>
      <c r="B28" s="73">
        <f>SUM(B24:B27)</f>
        <v>206</v>
      </c>
      <c r="C28" s="73">
        <f>SUM(C24:C27)</f>
        <v>181</v>
      </c>
      <c r="D28" s="73">
        <f>SUM(D24:D27)</f>
        <v>7321</v>
      </c>
      <c r="E28" s="73">
        <f t="shared" ref="E28:G28" si="4">SUM(E24:E27)</f>
        <v>759</v>
      </c>
      <c r="F28" s="73">
        <f t="shared" si="4"/>
        <v>3195</v>
      </c>
      <c r="G28" s="73">
        <f t="shared" si="4"/>
        <v>1379</v>
      </c>
      <c r="H28" s="73">
        <f>SUM(H24:H27)</f>
        <v>1144</v>
      </c>
      <c r="I28" s="18">
        <f>E28+F28+G28+H28</f>
        <v>6477</v>
      </c>
      <c r="J28" s="75">
        <f t="shared" ref="J28:M28" si="5">SUM(J24:J27)</f>
        <v>1637</v>
      </c>
      <c r="K28" s="75">
        <f t="shared" si="5"/>
        <v>1148</v>
      </c>
      <c r="L28" s="75">
        <f t="shared" si="5"/>
        <v>3338</v>
      </c>
      <c r="M28" s="75">
        <f t="shared" si="5"/>
        <v>2386</v>
      </c>
      <c r="N28" s="18">
        <f t="shared" si="3"/>
        <v>8509</v>
      </c>
      <c r="O28" s="75"/>
      <c r="P28" s="75"/>
      <c r="Q28" s="75"/>
      <c r="W28" s="419"/>
      <c r="X28" s="421" t="s">
        <v>190</v>
      </c>
      <c r="Y28" s="219" t="s">
        <v>198</v>
      </c>
      <c r="Z28" s="223">
        <f>D13</f>
        <v>37525</v>
      </c>
      <c r="AA28" s="223">
        <f>B13+C13+E13</f>
        <v>14641</v>
      </c>
      <c r="AB28" s="223">
        <f>F13+G13+H13+J13+K13</f>
        <v>57640</v>
      </c>
      <c r="AC28" s="223">
        <f>L13+M13+O13</f>
        <v>34236</v>
      </c>
      <c r="AD28" s="223">
        <f>L13+M13+O13+P13+Q13</f>
        <v>34236</v>
      </c>
    </row>
    <row r="29" spans="1:30" x14ac:dyDescent="0.2">
      <c r="A29" s="71" t="s">
        <v>34</v>
      </c>
      <c r="B29" s="26">
        <v>519</v>
      </c>
      <c r="C29" s="26">
        <v>444</v>
      </c>
      <c r="D29" s="54">
        <v>10924</v>
      </c>
      <c r="E29" s="27">
        <v>1383</v>
      </c>
      <c r="F29" s="26">
        <v>1886</v>
      </c>
      <c r="G29" s="25">
        <v>2401</v>
      </c>
      <c r="H29" s="26">
        <v>2445</v>
      </c>
      <c r="I29" s="18">
        <f t="shared" si="2"/>
        <v>8115</v>
      </c>
      <c r="J29" s="27">
        <v>2038</v>
      </c>
      <c r="K29" s="27">
        <v>1827</v>
      </c>
      <c r="L29" s="27">
        <v>2166</v>
      </c>
      <c r="M29" s="27">
        <v>2353</v>
      </c>
      <c r="N29" s="18">
        <f t="shared" si="3"/>
        <v>8384</v>
      </c>
      <c r="O29" s="27">
        <v>2223</v>
      </c>
      <c r="P29" s="27"/>
      <c r="Q29" s="27"/>
      <c r="W29" s="419"/>
      <c r="X29" s="419"/>
      <c r="Y29" s="219" t="s">
        <v>209</v>
      </c>
      <c r="Z29" s="222">
        <f>Z28/12</f>
        <v>3127.0833333333335</v>
      </c>
      <c r="AA29" s="222">
        <f>AA28/5</f>
        <v>2928.2</v>
      </c>
      <c r="AB29" s="222">
        <f>AB28/15</f>
        <v>3842.6666666666665</v>
      </c>
      <c r="AC29" s="223">
        <f>AC28/9</f>
        <v>3804</v>
      </c>
      <c r="AD29" s="223"/>
    </row>
    <row r="30" spans="1:30" x14ac:dyDescent="0.2">
      <c r="A30" s="71" t="s">
        <v>35</v>
      </c>
      <c r="B30" s="26">
        <v>532</v>
      </c>
      <c r="C30" s="26">
        <v>372</v>
      </c>
      <c r="D30" s="54">
        <v>8244</v>
      </c>
      <c r="E30" s="27">
        <v>939</v>
      </c>
      <c r="F30" s="26">
        <v>1183</v>
      </c>
      <c r="G30" s="25">
        <v>1327</v>
      </c>
      <c r="H30" s="26">
        <v>2289</v>
      </c>
      <c r="I30" s="18">
        <f t="shared" si="2"/>
        <v>5738</v>
      </c>
      <c r="J30" s="27">
        <v>2063</v>
      </c>
      <c r="K30" s="53">
        <v>1455</v>
      </c>
      <c r="L30" s="53">
        <v>1674</v>
      </c>
      <c r="M30" s="53">
        <v>2247</v>
      </c>
      <c r="N30" s="18">
        <f t="shared" si="3"/>
        <v>7439</v>
      </c>
      <c r="O30" s="27">
        <v>1746</v>
      </c>
      <c r="P30" s="53"/>
      <c r="Q30" s="53"/>
      <c r="W30" s="419"/>
      <c r="X30" s="419"/>
      <c r="Y30" s="219" t="s">
        <v>200</v>
      </c>
      <c r="Z30" s="223">
        <f>D15</f>
        <v>10488</v>
      </c>
      <c r="AA30" s="223">
        <f>B15+C15+E15</f>
        <v>4438</v>
      </c>
      <c r="AB30" s="223">
        <f>F15+G15+H15+J15+K15</f>
        <v>11571</v>
      </c>
      <c r="AC30" s="223">
        <f>L15+M15+O15</f>
        <v>9880</v>
      </c>
      <c r="AD30" s="223">
        <f>L15+M15+O15+P15+Q15</f>
        <v>9880</v>
      </c>
    </row>
    <row r="31" spans="1:30" x14ac:dyDescent="0.2">
      <c r="A31" s="71" t="s">
        <v>36</v>
      </c>
      <c r="B31" s="26">
        <v>469</v>
      </c>
      <c r="C31" s="26">
        <v>335</v>
      </c>
      <c r="D31" s="54">
        <v>5736</v>
      </c>
      <c r="E31" s="27">
        <v>807</v>
      </c>
      <c r="F31" s="26">
        <v>869</v>
      </c>
      <c r="G31" s="25">
        <v>1052</v>
      </c>
      <c r="H31" s="26">
        <v>1861</v>
      </c>
      <c r="I31" s="18">
        <f t="shared" si="2"/>
        <v>4589</v>
      </c>
      <c r="J31" s="27">
        <v>1825</v>
      </c>
      <c r="K31" s="53">
        <v>1253</v>
      </c>
      <c r="L31" s="53">
        <v>1294</v>
      </c>
      <c r="M31" s="53">
        <v>1703</v>
      </c>
      <c r="N31" s="18">
        <f t="shared" si="3"/>
        <v>6075</v>
      </c>
      <c r="O31" s="27">
        <v>1541</v>
      </c>
      <c r="P31" s="53"/>
      <c r="Q31" s="53"/>
      <c r="W31" s="420"/>
      <c r="X31" s="420"/>
      <c r="Y31" s="219" t="s">
        <v>210</v>
      </c>
      <c r="Z31" s="222">
        <f>Z30/12</f>
        <v>874</v>
      </c>
      <c r="AA31" s="222">
        <f>AA30/5</f>
        <v>887.6</v>
      </c>
      <c r="AB31" s="222">
        <f>AB30/15</f>
        <v>771.4</v>
      </c>
      <c r="AC31" s="223">
        <f>AC30/9</f>
        <v>1097.7777777777778</v>
      </c>
      <c r="AD31" s="223"/>
    </row>
    <row r="32" spans="1:30" x14ac:dyDescent="0.2">
      <c r="A32" s="71" t="s">
        <v>38</v>
      </c>
      <c r="B32" s="26">
        <v>7</v>
      </c>
      <c r="C32" s="26">
        <v>3</v>
      </c>
      <c r="D32" s="54">
        <v>687</v>
      </c>
      <c r="E32" s="27">
        <v>48</v>
      </c>
      <c r="F32" s="26">
        <v>81</v>
      </c>
      <c r="G32" s="25">
        <v>122</v>
      </c>
      <c r="H32" s="26">
        <v>143</v>
      </c>
      <c r="I32" s="18">
        <f t="shared" si="2"/>
        <v>394</v>
      </c>
      <c r="J32" s="27">
        <v>119</v>
      </c>
      <c r="K32" s="27">
        <v>76</v>
      </c>
      <c r="L32" s="27">
        <v>206</v>
      </c>
      <c r="M32" s="27">
        <v>81</v>
      </c>
      <c r="N32" s="18">
        <f t="shared" si="3"/>
        <v>482</v>
      </c>
      <c r="O32" s="27">
        <v>108</v>
      </c>
      <c r="P32" s="27"/>
      <c r="Q32" s="27"/>
      <c r="W32" s="423" t="s">
        <v>58</v>
      </c>
      <c r="X32" s="378" t="s">
        <v>226</v>
      </c>
      <c r="Y32" s="248" t="s">
        <v>201</v>
      </c>
      <c r="Z32" s="249">
        <f>(D12+D15)/(D11+D14)</f>
        <v>0.45681153137531161</v>
      </c>
      <c r="AA32" s="249">
        <f>(B12+C12+E12+B15+C15+E15)/(B11+C11+E11+B14+C14+E14)</f>
        <v>0.46793731469716221</v>
      </c>
      <c r="AB32" s="249">
        <f>(F12+G12+H12+J12+K12+F15+G15+H15)/(F11+G11+H11+J11+K11+F14+G14+H14+J14+K14+J15+K15)</f>
        <v>0.15687317202871576</v>
      </c>
      <c r="AC32" s="249">
        <f>(L12+M12+O12+L15+M15+O15)/(L11+M11+O11+L14+M14+O14)</f>
        <v>0.26476018914658861</v>
      </c>
      <c r="AD32" s="249">
        <f>(L12+M12+O12+P12+Q12+L15+M15+O15+P15+Q15)/(L11+M11+O11+P11+Q11+L14+M14+O14+P14+Q14)</f>
        <v>0.26476018914658861</v>
      </c>
    </row>
    <row r="33" spans="1:30" x14ac:dyDescent="0.2">
      <c r="A33" s="71" t="s">
        <v>37</v>
      </c>
      <c r="B33" s="26">
        <v>198</v>
      </c>
      <c r="C33" s="26">
        <v>140</v>
      </c>
      <c r="D33" s="54">
        <v>3458</v>
      </c>
      <c r="E33" s="27">
        <v>666</v>
      </c>
      <c r="F33" s="26">
        <v>3177</v>
      </c>
      <c r="G33" s="25">
        <v>1283</v>
      </c>
      <c r="H33" s="26">
        <v>248</v>
      </c>
      <c r="I33" s="18">
        <f t="shared" si="2"/>
        <v>5374</v>
      </c>
      <c r="J33" s="27">
        <v>500</v>
      </c>
      <c r="K33" s="27">
        <v>1046</v>
      </c>
      <c r="L33" s="27">
        <v>3030</v>
      </c>
      <c r="M33" s="27">
        <v>2225</v>
      </c>
      <c r="N33" s="18">
        <f t="shared" si="3"/>
        <v>6801</v>
      </c>
      <c r="O33" s="27">
        <v>3528</v>
      </c>
      <c r="P33" s="27"/>
      <c r="Q33" s="27"/>
      <c r="W33" s="423"/>
      <c r="X33" s="376"/>
      <c r="Y33" s="220" t="s">
        <v>229</v>
      </c>
      <c r="Z33" s="224">
        <f>D12+D15</f>
        <v>12645</v>
      </c>
      <c r="AA33" s="224">
        <f>B12+C12+E12+B15+C15+E15</f>
        <v>5524</v>
      </c>
      <c r="AB33" s="224">
        <f>F12+G12+H12+J12+K12+F15+G15+H15+J15+K15</f>
        <v>13900</v>
      </c>
      <c r="AC33" s="224">
        <f>L12+M12+O12+L15+M15+O15</f>
        <v>11758</v>
      </c>
      <c r="AD33" s="224">
        <f>L12+M12+O12+P12+Q12+L15+M15+O15+P15+Q15</f>
        <v>11758</v>
      </c>
    </row>
    <row r="34" spans="1:30" x14ac:dyDescent="0.2">
      <c r="A34" s="71" t="s">
        <v>40</v>
      </c>
      <c r="B34" s="26">
        <v>196</v>
      </c>
      <c r="C34" s="26">
        <v>31</v>
      </c>
      <c r="D34" s="54">
        <v>14185</v>
      </c>
      <c r="E34" s="27">
        <v>2858</v>
      </c>
      <c r="F34" s="26">
        <v>5727</v>
      </c>
      <c r="G34" s="25">
        <v>4358</v>
      </c>
      <c r="H34" s="26">
        <v>8237</v>
      </c>
      <c r="I34" s="18">
        <f t="shared" si="2"/>
        <v>21180</v>
      </c>
      <c r="J34" s="27">
        <v>3877</v>
      </c>
      <c r="K34" s="27">
        <v>4116</v>
      </c>
      <c r="L34" s="27">
        <v>6538</v>
      </c>
      <c r="M34" s="27">
        <v>3924</v>
      </c>
      <c r="N34" s="18">
        <f t="shared" si="3"/>
        <v>18455</v>
      </c>
      <c r="O34" s="27">
        <v>3659</v>
      </c>
      <c r="P34" s="27"/>
      <c r="Q34" s="27"/>
      <c r="W34" s="423"/>
      <c r="X34" s="377"/>
      <c r="Y34" s="220" t="s">
        <v>215</v>
      </c>
      <c r="Z34" s="224">
        <f>D11+D14</f>
        <v>27681</v>
      </c>
      <c r="AA34" s="224">
        <f>B11+C11+E11+B14+C14+E14</f>
        <v>11805</v>
      </c>
      <c r="AB34" s="224">
        <f>F11+G11+H11+J11+K11+F14+G14+H14+J14+K14+J15+K15</f>
        <v>67698</v>
      </c>
      <c r="AC34" s="224">
        <f>L11+M11+O11+L14+M14+O14</f>
        <v>44410</v>
      </c>
      <c r="AD34" s="224">
        <f>L11+M11+O11+P11+Q11+L14+M14+O14+P14+Q14</f>
        <v>44410</v>
      </c>
    </row>
    <row r="35" spans="1:30" x14ac:dyDescent="0.2">
      <c r="A35" s="71" t="s">
        <v>39</v>
      </c>
      <c r="B35" s="26">
        <v>818</v>
      </c>
      <c r="C35" s="26">
        <v>539</v>
      </c>
      <c r="D35" s="54">
        <v>18158</v>
      </c>
      <c r="E35" s="27">
        <v>4707</v>
      </c>
      <c r="F35" s="26">
        <v>7758</v>
      </c>
      <c r="G35" s="25">
        <v>5748</v>
      </c>
      <c r="H35" s="26">
        <v>1133</v>
      </c>
      <c r="I35" s="18">
        <f t="shared" si="2"/>
        <v>19346</v>
      </c>
      <c r="J35" s="27">
        <v>1833</v>
      </c>
      <c r="K35" s="27">
        <v>3849</v>
      </c>
      <c r="L35" s="27">
        <v>7067</v>
      </c>
      <c r="M35" s="27">
        <v>4135</v>
      </c>
      <c r="N35" s="18">
        <f t="shared" si="3"/>
        <v>16884</v>
      </c>
      <c r="O35" s="27">
        <v>4560</v>
      </c>
      <c r="P35" s="27"/>
      <c r="Q35" s="27"/>
      <c r="W35" s="423"/>
      <c r="X35" s="378" t="s">
        <v>192</v>
      </c>
      <c r="Y35" s="248" t="s">
        <v>193</v>
      </c>
      <c r="Z35" s="249">
        <f>(D3+D5)/(D2+D4)</f>
        <v>0.10181984214989237</v>
      </c>
      <c r="AA35" s="249">
        <f>(B3+C3+E3+B5+C5+E5)/(B2+C2+E2+B4+C4+E4)</f>
        <v>0.12061157910113454</v>
      </c>
      <c r="AB35" s="249">
        <f>(F3+G3+H3+J3+K3+F5+G5+H5+J5+K5)/(F2+G2+H2+J2+K2+F4+G4+H4+J4+K4)</f>
        <v>7.8657544791964143E-2</v>
      </c>
      <c r="AC35" s="249">
        <f>(L3+M3+O3+L5+M5+O5)/(L2+M2+O2+L4+M4+O4)</f>
        <v>6.7210917509443163E-2</v>
      </c>
      <c r="AD35" s="249">
        <f>(L3+M3+O3+P3+Q3+L5+M5+O5+P5+Q5)/(L2+M2+O2+P2+Q2+L4+M4+O4+P4+Q4)</f>
        <v>6.7210917509443163E-2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2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3"/>
        <v>0</v>
      </c>
      <c r="O36" s="27">
        <v>0</v>
      </c>
      <c r="P36" s="27"/>
      <c r="Q36" s="27"/>
      <c r="W36" s="423"/>
      <c r="X36" s="376"/>
      <c r="Y36" s="220" t="s">
        <v>233</v>
      </c>
      <c r="Z36" s="224">
        <f>D3+D5</f>
        <v>4683</v>
      </c>
      <c r="AA36" s="224">
        <f>B3+C3+E3+B5+C5+E5</f>
        <v>2477</v>
      </c>
      <c r="AB36" s="224">
        <f>(F3+G3+H3+J3+K3+F5+G5+H5+J5+K5)</f>
        <v>6335</v>
      </c>
      <c r="AC36" s="224">
        <f>(L3+M3+O3+L5+M5+O5)</f>
        <v>2758</v>
      </c>
      <c r="AD36" s="250">
        <f>(L3+M3+O3+P3+Q3+L5+M5+O5+P5+Q5)</f>
        <v>2758</v>
      </c>
    </row>
    <row r="37" spans="1:30" x14ac:dyDescent="0.2">
      <c r="A37" s="71" t="s">
        <v>41</v>
      </c>
      <c r="B37" s="26">
        <v>0</v>
      </c>
      <c r="C37" s="26">
        <v>0</v>
      </c>
      <c r="D37" s="54">
        <v>49</v>
      </c>
      <c r="E37" s="27">
        <v>130</v>
      </c>
      <c r="F37" s="26">
        <v>25</v>
      </c>
      <c r="G37" s="25">
        <v>30</v>
      </c>
      <c r="H37" s="26">
        <v>101</v>
      </c>
      <c r="I37" s="18">
        <f t="shared" si="2"/>
        <v>286</v>
      </c>
      <c r="J37" s="27">
        <v>2</v>
      </c>
      <c r="K37" s="53">
        <v>12</v>
      </c>
      <c r="L37" s="53">
        <v>17</v>
      </c>
      <c r="M37" s="53">
        <v>3</v>
      </c>
      <c r="N37" s="18">
        <f t="shared" si="3"/>
        <v>34</v>
      </c>
      <c r="O37" s="27">
        <v>0</v>
      </c>
      <c r="P37" s="53"/>
      <c r="Q37" s="53"/>
      <c r="W37" s="423"/>
      <c r="X37" s="377"/>
      <c r="Y37" s="220" t="s">
        <v>234</v>
      </c>
      <c r="Z37" s="224">
        <f>D2+D4</f>
        <v>45993</v>
      </c>
      <c r="AA37" s="224">
        <f>B2+C2+E2+B4+C4+E4</f>
        <v>20537</v>
      </c>
      <c r="AB37" s="224">
        <f>(F2+G2+H2+J2+K2+F4+G4+H4+J4+K4)</f>
        <v>80539</v>
      </c>
      <c r="AC37" s="250">
        <f>(L2+M2+O2+L4+M4+O4)</f>
        <v>41035</v>
      </c>
      <c r="AD37" s="250">
        <f>(L2+M2+O2+P2+Q2+L4+M4+O4+P4+Q4)</f>
        <v>41035</v>
      </c>
    </row>
    <row r="38" spans="1:30" x14ac:dyDescent="0.2">
      <c r="A38" s="71" t="s">
        <v>44</v>
      </c>
      <c r="B38" s="26">
        <v>203</v>
      </c>
      <c r="C38" s="26">
        <v>34</v>
      </c>
      <c r="D38" s="54">
        <v>14872</v>
      </c>
      <c r="E38" s="27">
        <v>2906</v>
      </c>
      <c r="F38" s="26">
        <v>5808</v>
      </c>
      <c r="G38" s="25">
        <v>4480</v>
      </c>
      <c r="H38" s="26">
        <v>8380</v>
      </c>
      <c r="I38" s="18">
        <f t="shared" si="2"/>
        <v>21574</v>
      </c>
      <c r="J38" s="27">
        <v>3996</v>
      </c>
      <c r="K38" s="26">
        <v>4192</v>
      </c>
      <c r="L38" s="26">
        <v>6744</v>
      </c>
      <c r="M38" s="26">
        <v>4005</v>
      </c>
      <c r="N38" s="18">
        <f t="shared" si="3"/>
        <v>18937</v>
      </c>
      <c r="O38" s="27">
        <v>3767</v>
      </c>
      <c r="P38" s="26"/>
      <c r="Q38" s="26"/>
      <c r="W38" s="423"/>
      <c r="X38" s="378" t="s">
        <v>230</v>
      </c>
      <c r="Y38" s="248" t="s">
        <v>194</v>
      </c>
      <c r="Z38" s="249">
        <f>(D7+D9)/(D6+D8)</f>
        <v>7.7755775577557751E-2</v>
      </c>
      <c r="AA38" s="249">
        <f>(B7+C7+E7+B9+C9+E9)/(B6+C6+E6+B8+C8+E8)</f>
        <v>0.1588355464759959</v>
      </c>
      <c r="AB38" s="249">
        <f>(F7+G7+H7+J7+K7+F9+G9+H9+J9+K9)/(F6+G6+H6+J6+K6+F8+G8+H8+J8+K8)</f>
        <v>0.2169657422512235</v>
      </c>
      <c r="AC38" s="249">
        <f>(L7+M7+O7+L9+M9+O9)/(L6+M6+O6+L8+M8+O8)</f>
        <v>0.33081787907488314</v>
      </c>
      <c r="AD38" s="249">
        <f>(L7+M7+O7+P7+Q7+L9+M9+O9+P9+Q9)/(L6+M6+O6+P6+Q6+L8+M8+O8+P8+Q8)</f>
        <v>0.33081787907488314</v>
      </c>
    </row>
    <row r="39" spans="1:30" x14ac:dyDescent="0.2">
      <c r="A39" s="71" t="s">
        <v>43</v>
      </c>
      <c r="B39" s="26">
        <v>1016</v>
      </c>
      <c r="C39" s="26">
        <v>679</v>
      </c>
      <c r="D39" s="54">
        <v>21616</v>
      </c>
      <c r="E39" s="27">
        <v>5373</v>
      </c>
      <c r="F39" s="26">
        <v>10935</v>
      </c>
      <c r="G39" s="25">
        <v>7031</v>
      </c>
      <c r="H39" s="26">
        <v>1381</v>
      </c>
      <c r="I39" s="18">
        <f t="shared" si="2"/>
        <v>24720</v>
      </c>
      <c r="J39" s="27">
        <v>2333</v>
      </c>
      <c r="K39" s="26">
        <v>4895</v>
      </c>
      <c r="L39" s="26">
        <v>10097</v>
      </c>
      <c r="M39" s="26">
        <v>6360</v>
      </c>
      <c r="N39" s="18">
        <f t="shared" si="3"/>
        <v>23685</v>
      </c>
      <c r="O39" s="27">
        <v>8088</v>
      </c>
      <c r="P39" s="26"/>
      <c r="Q39" s="26"/>
      <c r="W39" s="423"/>
      <c r="X39" s="376"/>
      <c r="Y39" s="220" t="s">
        <v>235</v>
      </c>
      <c r="Z39" s="224">
        <f>D7+D9</f>
        <v>589</v>
      </c>
      <c r="AA39" s="224">
        <f>B7+C7+E7+B9+C9+E9</f>
        <v>622</v>
      </c>
      <c r="AB39" s="224">
        <f>(F7+G7+H7+J7+K7+F9+G9+H9+J9+K9)</f>
        <v>5719</v>
      </c>
      <c r="AC39" s="250">
        <f>(L7+M7+O7+L9+M9+O9)</f>
        <v>10828</v>
      </c>
      <c r="AD39" s="250">
        <f>(L7+M7+O7+P7+Q7+L9+M9+O9+P9+Q9)</f>
        <v>10828</v>
      </c>
    </row>
    <row r="40" spans="1:30" ht="16" thickBot="1" x14ac:dyDescent="0.25">
      <c r="A40" s="76" t="s">
        <v>45</v>
      </c>
      <c r="B40" s="34">
        <v>13</v>
      </c>
      <c r="C40" s="34">
        <v>0</v>
      </c>
      <c r="D40" s="47">
        <v>788</v>
      </c>
      <c r="E40" s="48">
        <v>20</v>
      </c>
      <c r="F40" s="34">
        <v>0</v>
      </c>
      <c r="G40" s="33">
        <v>42</v>
      </c>
      <c r="H40" s="34">
        <v>462</v>
      </c>
      <c r="I40" s="38">
        <f t="shared" si="2"/>
        <v>524</v>
      </c>
      <c r="J40" s="48">
        <v>83</v>
      </c>
      <c r="K40" s="77">
        <v>9</v>
      </c>
      <c r="L40" s="77">
        <v>0</v>
      </c>
      <c r="M40" s="77">
        <v>0</v>
      </c>
      <c r="N40" s="18">
        <f t="shared" si="3"/>
        <v>92</v>
      </c>
      <c r="O40" s="48">
        <v>0</v>
      </c>
      <c r="P40" s="77"/>
      <c r="Q40" s="77"/>
      <c r="W40" s="423"/>
      <c r="X40" s="377"/>
      <c r="Y40" s="220" t="s">
        <v>236</v>
      </c>
      <c r="Z40" s="250">
        <f>D6+D8</f>
        <v>7575</v>
      </c>
      <c r="AA40" s="250">
        <f>B6+C6+E6+B8+C8+E8</f>
        <v>3916</v>
      </c>
      <c r="AB40" s="250">
        <f>(F6+G6+H6+J6+K6+F8+G8+H8+J8+K8)</f>
        <v>26359</v>
      </c>
      <c r="AC40" s="250">
        <f>(L6+M6+O6+L8+M8+O8)</f>
        <v>32731</v>
      </c>
      <c r="AD40" s="250">
        <f>(L6+M6+O6+P6+Q6+L8+M8+O8+P8+Q8)</f>
        <v>32731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v>0</v>
      </c>
      <c r="N41" s="167"/>
      <c r="O41" s="194">
        <v>0</v>
      </c>
      <c r="P41" s="194">
        <v>0</v>
      </c>
      <c r="Q41" s="194">
        <v>0</v>
      </c>
      <c r="W41" s="485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0</v>
      </c>
      <c r="N42" s="168"/>
      <c r="O42" s="188">
        <v>0</v>
      </c>
      <c r="P42" s="188">
        <v>0</v>
      </c>
      <c r="Q42" s="188">
        <v>0</v>
      </c>
      <c r="W42" s="485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0</v>
      </c>
      <c r="N43" s="168"/>
      <c r="O43" s="188">
        <v>0</v>
      </c>
      <c r="P43" s="188">
        <v>0</v>
      </c>
      <c r="Q43" s="188">
        <v>0</v>
      </c>
      <c r="W43" s="485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0</v>
      </c>
      <c r="N44" s="168"/>
      <c r="O44" s="188">
        <v>0</v>
      </c>
      <c r="P44" s="188">
        <v>0</v>
      </c>
      <c r="Q44" s="188">
        <v>0</v>
      </c>
      <c r="W44" s="485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0</v>
      </c>
      <c r="N45" s="169"/>
      <c r="O45" s="195">
        <v>0</v>
      </c>
      <c r="P45" s="195">
        <v>0</v>
      </c>
      <c r="Q45" s="195">
        <v>0</v>
      </c>
      <c r="W45" s="485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0</v>
      </c>
      <c r="N46" s="168"/>
      <c r="O46" s="188">
        <v>0</v>
      </c>
      <c r="P46" s="188">
        <v>0</v>
      </c>
      <c r="Q46" s="188">
        <v>0</v>
      </c>
      <c r="W46" s="485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0</v>
      </c>
      <c r="N47" s="170"/>
      <c r="O47" s="195">
        <v>0</v>
      </c>
      <c r="P47" s="195">
        <v>0</v>
      </c>
      <c r="Q47" s="195">
        <v>0</v>
      </c>
      <c r="W47" s="485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0</v>
      </c>
      <c r="N48" s="170"/>
      <c r="O48" s="195">
        <v>0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0</v>
      </c>
      <c r="N49" s="168"/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0</v>
      </c>
      <c r="N50" s="168"/>
      <c r="O50" s="195">
        <v>0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0</v>
      </c>
      <c r="N51" s="168"/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0</v>
      </c>
      <c r="N52" s="168"/>
      <c r="O52" s="195">
        <v>0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0</v>
      </c>
      <c r="N53" s="168"/>
      <c r="O53" s="195">
        <v>0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70"/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0</v>
      </c>
      <c r="N55" s="168"/>
      <c r="O55" s="195">
        <v>0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0</v>
      </c>
      <c r="N56" s="171"/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130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  <c r="S59" s="203"/>
      <c r="T59" s="203"/>
      <c r="U59" s="203"/>
      <c r="V59" s="203"/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64</v>
      </c>
      <c r="E60" s="15">
        <v>0</v>
      </c>
      <c r="F60" s="13">
        <v>0</v>
      </c>
      <c r="G60" s="16">
        <v>0</v>
      </c>
      <c r="H60" s="17">
        <v>0</v>
      </c>
      <c r="I60" s="18">
        <f>E60+F60+G60+H60</f>
        <v>0</v>
      </c>
      <c r="J60" s="19">
        <v>0</v>
      </c>
      <c r="K60" s="20">
        <v>0</v>
      </c>
      <c r="L60" s="20">
        <v>0</v>
      </c>
      <c r="M60" s="20">
        <v>0</v>
      </c>
      <c r="N60" s="18">
        <f t="shared" ref="N60:N98" si="6">SUM(J60:M60)</f>
        <v>0</v>
      </c>
      <c r="O60" s="19">
        <v>0</v>
      </c>
      <c r="P60" s="20"/>
      <c r="Q60" s="21"/>
      <c r="S60" s="203"/>
      <c r="T60" s="203"/>
      <c r="U60" s="203"/>
      <c r="V60" s="203"/>
    </row>
    <row r="61" spans="1:30" x14ac:dyDescent="0.2">
      <c r="A61" s="22" t="s">
        <v>10</v>
      </c>
      <c r="B61" s="12">
        <v>0</v>
      </c>
      <c r="C61" s="12">
        <v>0</v>
      </c>
      <c r="D61" s="23">
        <v>16</v>
      </c>
      <c r="E61" s="24">
        <v>0</v>
      </c>
      <c r="F61" s="12">
        <v>0</v>
      </c>
      <c r="G61" s="25">
        <v>0</v>
      </c>
      <c r="H61" s="26">
        <v>0</v>
      </c>
      <c r="I61" s="18">
        <f t="shared" ref="I61:I81" si="7">E61+F61+G61+H61</f>
        <v>0</v>
      </c>
      <c r="J61" s="27">
        <v>0</v>
      </c>
      <c r="K61" s="26">
        <v>0</v>
      </c>
      <c r="L61" s="26">
        <v>0</v>
      </c>
      <c r="M61" s="26">
        <v>0</v>
      </c>
      <c r="N61" s="18">
        <f t="shared" si="6"/>
        <v>0</v>
      </c>
      <c r="O61" s="27">
        <v>0</v>
      </c>
      <c r="P61" s="26"/>
      <c r="Q61" s="28"/>
      <c r="S61" s="203"/>
      <c r="T61" s="203"/>
      <c r="U61" s="203"/>
      <c r="V61" s="203"/>
    </row>
    <row r="62" spans="1:30" x14ac:dyDescent="0.2">
      <c r="A62" s="22" t="s">
        <v>13</v>
      </c>
      <c r="B62" s="12">
        <v>0</v>
      </c>
      <c r="C62" s="12">
        <v>0</v>
      </c>
      <c r="D62" s="23">
        <v>162</v>
      </c>
      <c r="E62" s="24">
        <v>0</v>
      </c>
      <c r="F62" s="12">
        <v>0</v>
      </c>
      <c r="G62" s="25">
        <v>0</v>
      </c>
      <c r="H62" s="26">
        <v>0</v>
      </c>
      <c r="I62" s="18">
        <f t="shared" si="7"/>
        <v>0</v>
      </c>
      <c r="J62" s="27">
        <v>0</v>
      </c>
      <c r="K62" s="26">
        <v>0</v>
      </c>
      <c r="L62" s="26">
        <v>0</v>
      </c>
      <c r="M62" s="26">
        <v>0</v>
      </c>
      <c r="N62" s="18">
        <f t="shared" si="6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44</v>
      </c>
      <c r="E63" s="24">
        <v>0</v>
      </c>
      <c r="F63" s="12">
        <v>0</v>
      </c>
      <c r="G63" s="25">
        <v>0</v>
      </c>
      <c r="H63" s="26">
        <v>0</v>
      </c>
      <c r="I63" s="18">
        <f t="shared" si="7"/>
        <v>0</v>
      </c>
      <c r="J63" s="27">
        <v>0</v>
      </c>
      <c r="K63" s="26">
        <v>0</v>
      </c>
      <c r="L63" s="26">
        <v>0</v>
      </c>
      <c r="M63" s="26">
        <v>0</v>
      </c>
      <c r="N63" s="18">
        <f t="shared" si="6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0</v>
      </c>
      <c r="D64" s="187">
        <v>894</v>
      </c>
      <c r="E64" s="188">
        <v>933</v>
      </c>
      <c r="F64" s="189">
        <v>3431</v>
      </c>
      <c r="G64" s="191">
        <v>1098</v>
      </c>
      <c r="H64" s="26">
        <v>0</v>
      </c>
      <c r="I64" s="18">
        <f t="shared" si="7"/>
        <v>5462</v>
      </c>
      <c r="J64" s="27">
        <v>53</v>
      </c>
      <c r="K64" s="26">
        <v>415</v>
      </c>
      <c r="L64" s="26">
        <v>719</v>
      </c>
      <c r="M64" s="26">
        <v>675</v>
      </c>
      <c r="N64" s="18">
        <f t="shared" si="6"/>
        <v>1862</v>
      </c>
      <c r="O64" s="27">
        <v>600</v>
      </c>
      <c r="P64" s="26"/>
      <c r="Q64" s="28"/>
      <c r="R64" t="s">
        <v>155</v>
      </c>
    </row>
    <row r="65" spans="1:18" x14ac:dyDescent="0.2">
      <c r="A65" s="11" t="s">
        <v>7</v>
      </c>
      <c r="B65" s="12">
        <v>0</v>
      </c>
      <c r="C65" s="12">
        <v>0</v>
      </c>
      <c r="D65" s="187">
        <v>407</v>
      </c>
      <c r="E65" s="188">
        <v>481</v>
      </c>
      <c r="F65" s="189">
        <v>2076</v>
      </c>
      <c r="G65" s="191">
        <v>488</v>
      </c>
      <c r="H65" s="26">
        <v>0</v>
      </c>
      <c r="I65" s="206">
        <f t="shared" si="7"/>
        <v>3045</v>
      </c>
      <c r="J65" s="27">
        <v>12</v>
      </c>
      <c r="K65" s="26">
        <v>174</v>
      </c>
      <c r="L65" s="26">
        <v>354</v>
      </c>
      <c r="M65" s="26">
        <v>384</v>
      </c>
      <c r="N65" s="207">
        <f t="shared" si="6"/>
        <v>924</v>
      </c>
      <c r="O65" s="27">
        <v>353</v>
      </c>
      <c r="P65" s="26"/>
      <c r="Q65" s="28"/>
      <c r="R65" t="s">
        <v>156</v>
      </c>
    </row>
    <row r="66" spans="1:18" x14ac:dyDescent="0.2">
      <c r="A66" s="22" t="s">
        <v>12</v>
      </c>
      <c r="B66" s="12">
        <v>0</v>
      </c>
      <c r="C66" s="12">
        <v>0</v>
      </c>
      <c r="D66" s="23">
        <v>0</v>
      </c>
      <c r="E66" s="24">
        <v>0</v>
      </c>
      <c r="F66" s="12">
        <v>0</v>
      </c>
      <c r="G66" s="191">
        <v>1250</v>
      </c>
      <c r="H66" s="26">
        <v>0</v>
      </c>
      <c r="I66" s="18">
        <f t="shared" si="7"/>
        <v>1250</v>
      </c>
      <c r="J66" s="27">
        <v>259</v>
      </c>
      <c r="K66" s="26">
        <v>1438</v>
      </c>
      <c r="L66" s="26">
        <v>3327</v>
      </c>
      <c r="M66" s="26">
        <v>3282</v>
      </c>
      <c r="N66" s="18">
        <f t="shared" si="6"/>
        <v>8306</v>
      </c>
      <c r="O66" s="27">
        <v>3530</v>
      </c>
      <c r="P66" s="49"/>
      <c r="Q66" s="37"/>
    </row>
    <row r="67" spans="1:18" ht="16" thickBot="1" x14ac:dyDescent="0.25">
      <c r="A67" s="178" t="s">
        <v>8</v>
      </c>
      <c r="B67" s="30">
        <v>0</v>
      </c>
      <c r="C67" s="30">
        <v>0</v>
      </c>
      <c r="D67" s="31">
        <v>0</v>
      </c>
      <c r="E67" s="32">
        <v>0</v>
      </c>
      <c r="F67" s="30">
        <v>0</v>
      </c>
      <c r="G67" s="192">
        <v>295</v>
      </c>
      <c r="H67" s="34">
        <v>0</v>
      </c>
      <c r="I67" s="207">
        <f t="shared" si="7"/>
        <v>295</v>
      </c>
      <c r="J67" s="35">
        <v>120</v>
      </c>
      <c r="K67" s="36">
        <v>562</v>
      </c>
      <c r="L67" s="26">
        <v>1717</v>
      </c>
      <c r="M67" s="36">
        <v>2240</v>
      </c>
      <c r="N67" s="208">
        <f t="shared" si="6"/>
        <v>4639</v>
      </c>
      <c r="O67" s="182">
        <v>2699</v>
      </c>
      <c r="P67" s="49"/>
      <c r="Q67" s="37"/>
    </row>
    <row r="68" spans="1:18" ht="16" thickTop="1" x14ac:dyDescent="0.2">
      <c r="A68" s="177" t="s">
        <v>19</v>
      </c>
      <c r="B68" s="12">
        <v>114</v>
      </c>
      <c r="C68" s="12">
        <v>209</v>
      </c>
      <c r="D68" s="14">
        <v>1475</v>
      </c>
      <c r="E68" s="40">
        <v>437</v>
      </c>
      <c r="F68" s="13">
        <v>687</v>
      </c>
      <c r="G68" s="41">
        <v>425</v>
      </c>
      <c r="H68" s="20">
        <v>182</v>
      </c>
      <c r="I68" s="42">
        <f t="shared" si="7"/>
        <v>1731</v>
      </c>
      <c r="J68" s="43">
        <v>201</v>
      </c>
      <c r="K68" s="17">
        <v>415</v>
      </c>
      <c r="L68" s="44">
        <v>719</v>
      </c>
      <c r="M68" s="17">
        <v>675</v>
      </c>
      <c r="N68" s="18">
        <f t="shared" si="6"/>
        <v>2010</v>
      </c>
      <c r="O68" s="43">
        <v>479</v>
      </c>
      <c r="P68" s="17"/>
      <c r="Q68" s="44"/>
    </row>
    <row r="69" spans="1:18" x14ac:dyDescent="0.2">
      <c r="A69" s="45" t="s">
        <v>16</v>
      </c>
      <c r="B69" s="12">
        <v>114</v>
      </c>
      <c r="C69" s="12">
        <v>209</v>
      </c>
      <c r="D69" s="23">
        <v>1092</v>
      </c>
      <c r="E69" s="24">
        <v>437</v>
      </c>
      <c r="F69" s="12">
        <v>687</v>
      </c>
      <c r="G69" s="25">
        <v>371</v>
      </c>
      <c r="H69" s="26">
        <v>6</v>
      </c>
      <c r="I69" s="18">
        <f t="shared" si="7"/>
        <v>1501</v>
      </c>
      <c r="J69" s="27">
        <v>57</v>
      </c>
      <c r="K69" s="26">
        <v>415</v>
      </c>
      <c r="L69" s="28">
        <v>719</v>
      </c>
      <c r="M69" s="26">
        <v>675</v>
      </c>
      <c r="N69" s="18">
        <f t="shared" si="6"/>
        <v>1866</v>
      </c>
      <c r="O69" s="27">
        <v>479</v>
      </c>
      <c r="P69" s="26"/>
      <c r="Q69" s="28"/>
    </row>
    <row r="70" spans="1:18" x14ac:dyDescent="0.2">
      <c r="A70" s="177" t="s">
        <v>15</v>
      </c>
      <c r="B70" s="12">
        <v>46</v>
      </c>
      <c r="C70" s="12">
        <v>67</v>
      </c>
      <c r="D70" s="23">
        <v>440</v>
      </c>
      <c r="E70" s="24">
        <v>217</v>
      </c>
      <c r="F70" s="12">
        <v>370</v>
      </c>
      <c r="G70" s="25">
        <v>126</v>
      </c>
      <c r="H70" s="26">
        <v>4</v>
      </c>
      <c r="I70" s="206">
        <f t="shared" si="7"/>
        <v>717</v>
      </c>
      <c r="J70" s="27">
        <v>12</v>
      </c>
      <c r="K70" s="26">
        <v>160</v>
      </c>
      <c r="L70" s="28">
        <v>354</v>
      </c>
      <c r="M70" s="26">
        <v>300</v>
      </c>
      <c r="N70" s="207">
        <f t="shared" si="6"/>
        <v>826</v>
      </c>
      <c r="O70" s="27">
        <v>291</v>
      </c>
      <c r="P70" s="26"/>
      <c r="Q70" s="28"/>
    </row>
    <row r="71" spans="1:18" x14ac:dyDescent="0.2">
      <c r="A71" s="45" t="s">
        <v>20</v>
      </c>
      <c r="B71" s="12">
        <v>407</v>
      </c>
      <c r="C71" s="12">
        <v>637</v>
      </c>
      <c r="D71" s="23">
        <v>7063</v>
      </c>
      <c r="E71" s="24">
        <v>2122</v>
      </c>
      <c r="F71" s="12">
        <v>2717</v>
      </c>
      <c r="G71" s="25">
        <v>2074</v>
      </c>
      <c r="H71" s="26">
        <v>607</v>
      </c>
      <c r="I71" s="18">
        <f t="shared" si="7"/>
        <v>7520</v>
      </c>
      <c r="J71" s="27">
        <v>860</v>
      </c>
      <c r="K71" s="26">
        <v>1438</v>
      </c>
      <c r="L71" s="28">
        <v>3327</v>
      </c>
      <c r="M71" s="26">
        <v>3282</v>
      </c>
      <c r="N71" s="18">
        <f t="shared" si="6"/>
        <v>8907</v>
      </c>
      <c r="O71" s="27">
        <v>2843</v>
      </c>
      <c r="P71" s="26"/>
      <c r="Q71" s="28"/>
    </row>
    <row r="72" spans="1:18" x14ac:dyDescent="0.2">
      <c r="A72" s="45" t="s">
        <v>18</v>
      </c>
      <c r="B72" s="12">
        <v>407</v>
      </c>
      <c r="C72" s="12">
        <v>0</v>
      </c>
      <c r="D72" s="23">
        <v>407</v>
      </c>
      <c r="E72" s="24">
        <v>0</v>
      </c>
      <c r="F72" s="12">
        <v>2096</v>
      </c>
      <c r="G72" s="25">
        <v>559</v>
      </c>
      <c r="H72" s="26">
        <v>0</v>
      </c>
      <c r="I72" s="18">
        <f t="shared" si="7"/>
        <v>2655</v>
      </c>
      <c r="J72" s="27">
        <v>293</v>
      </c>
      <c r="K72" s="26">
        <v>1219</v>
      </c>
      <c r="L72" s="28">
        <v>3327</v>
      </c>
      <c r="M72" s="26">
        <v>3282</v>
      </c>
      <c r="N72" s="18">
        <f t="shared" si="6"/>
        <v>8121</v>
      </c>
      <c r="O72" s="27">
        <v>2596</v>
      </c>
      <c r="P72" s="26"/>
      <c r="Q72" s="28"/>
    </row>
    <row r="73" spans="1:18" x14ac:dyDescent="0.2">
      <c r="A73" s="45" t="s">
        <v>17</v>
      </c>
      <c r="B73" s="12">
        <v>134</v>
      </c>
      <c r="C73" s="12">
        <v>198</v>
      </c>
      <c r="D73" s="23">
        <v>2471</v>
      </c>
      <c r="E73" s="24">
        <v>941</v>
      </c>
      <c r="F73" s="12">
        <v>1707</v>
      </c>
      <c r="G73" s="25">
        <v>657</v>
      </c>
      <c r="H73" s="26">
        <v>17</v>
      </c>
      <c r="I73" s="207">
        <f t="shared" si="7"/>
        <v>3322</v>
      </c>
      <c r="J73" s="27">
        <v>132</v>
      </c>
      <c r="K73" s="26">
        <v>562</v>
      </c>
      <c r="L73" s="28">
        <v>1717</v>
      </c>
      <c r="M73" s="26">
        <v>1590</v>
      </c>
      <c r="N73" s="207">
        <f t="shared" si="6"/>
        <v>4001</v>
      </c>
      <c r="O73" s="27">
        <v>2214</v>
      </c>
      <c r="P73" s="26"/>
      <c r="Q73" s="28"/>
    </row>
    <row r="74" spans="1:18" ht="16" thickBot="1" x14ac:dyDescent="0.25">
      <c r="A74" s="179" t="s">
        <v>21</v>
      </c>
      <c r="B74" s="34">
        <v>0</v>
      </c>
      <c r="C74" s="34">
        <v>1</v>
      </c>
      <c r="D74" s="47">
        <v>25</v>
      </c>
      <c r="E74" s="48">
        <v>2</v>
      </c>
      <c r="F74" s="34">
        <v>2</v>
      </c>
      <c r="G74" s="33">
        <v>0</v>
      </c>
      <c r="H74" s="34">
        <v>0</v>
      </c>
      <c r="I74" s="38">
        <f t="shared" si="7"/>
        <v>4</v>
      </c>
      <c r="J74" s="48">
        <v>1</v>
      </c>
      <c r="K74" s="49">
        <v>0</v>
      </c>
      <c r="L74" s="37">
        <v>2</v>
      </c>
      <c r="M74" s="49">
        <v>2</v>
      </c>
      <c r="N74" s="18">
        <f t="shared" si="6"/>
        <v>5</v>
      </c>
      <c r="O74" s="48">
        <v>1</v>
      </c>
      <c r="P74" s="49"/>
      <c r="Q74" s="37"/>
    </row>
    <row r="75" spans="1:18" ht="16" thickTop="1" x14ac:dyDescent="0.2">
      <c r="A75" s="55" t="s">
        <v>25</v>
      </c>
      <c r="B75" s="12">
        <v>26</v>
      </c>
      <c r="C75" s="13">
        <v>15</v>
      </c>
      <c r="D75" s="14">
        <v>283</v>
      </c>
      <c r="E75" s="40">
        <v>81</v>
      </c>
      <c r="F75" s="13">
        <v>77</v>
      </c>
      <c r="G75" s="41">
        <v>64</v>
      </c>
      <c r="H75" s="20">
        <v>74</v>
      </c>
      <c r="I75" s="18">
        <f t="shared" si="7"/>
        <v>296</v>
      </c>
      <c r="J75" s="19">
        <v>75</v>
      </c>
      <c r="K75" s="51">
        <v>49</v>
      </c>
      <c r="L75" s="44">
        <v>57</v>
      </c>
      <c r="M75" s="51">
        <v>68</v>
      </c>
      <c r="N75" s="42">
        <f t="shared" si="6"/>
        <v>249</v>
      </c>
      <c r="O75" s="19">
        <v>65</v>
      </c>
      <c r="P75" s="51"/>
      <c r="Q75" s="44"/>
    </row>
    <row r="76" spans="1:18" x14ac:dyDescent="0.2">
      <c r="A76" s="52" t="s">
        <v>26</v>
      </c>
      <c r="B76" s="12">
        <v>63</v>
      </c>
      <c r="C76" s="12">
        <v>69</v>
      </c>
      <c r="D76" s="23">
        <v>734</v>
      </c>
      <c r="E76" s="24">
        <v>190</v>
      </c>
      <c r="F76" s="12">
        <v>174</v>
      </c>
      <c r="G76" s="25">
        <v>155</v>
      </c>
      <c r="H76" s="26">
        <v>165</v>
      </c>
      <c r="I76" s="18">
        <f t="shared" si="7"/>
        <v>684</v>
      </c>
      <c r="J76" s="27">
        <v>155</v>
      </c>
      <c r="K76" s="53">
        <v>139</v>
      </c>
      <c r="L76" s="28">
        <v>137</v>
      </c>
      <c r="M76" s="53">
        <v>173</v>
      </c>
      <c r="N76" s="18">
        <f t="shared" si="6"/>
        <v>604</v>
      </c>
      <c r="O76" s="27">
        <v>204</v>
      </c>
      <c r="P76" s="53"/>
      <c r="Q76" s="28"/>
    </row>
    <row r="77" spans="1:18" x14ac:dyDescent="0.2">
      <c r="A77" s="52" t="s">
        <v>27</v>
      </c>
      <c r="B77" s="12">
        <v>12</v>
      </c>
      <c r="C77" s="26">
        <v>12</v>
      </c>
      <c r="D77" s="54">
        <v>167</v>
      </c>
      <c r="E77" s="27">
        <v>44</v>
      </c>
      <c r="F77" s="26">
        <v>37</v>
      </c>
      <c r="G77" s="25">
        <v>32</v>
      </c>
      <c r="H77" s="26">
        <v>33</v>
      </c>
      <c r="I77" s="18">
        <f t="shared" si="7"/>
        <v>146</v>
      </c>
      <c r="J77" s="27">
        <v>46</v>
      </c>
      <c r="K77" s="53">
        <v>35</v>
      </c>
      <c r="L77" s="28">
        <v>25</v>
      </c>
      <c r="M77" s="53">
        <v>46</v>
      </c>
      <c r="N77" s="18">
        <f t="shared" si="6"/>
        <v>152</v>
      </c>
      <c r="O77" s="27">
        <v>46</v>
      </c>
      <c r="P77" s="53"/>
      <c r="Q77" s="28"/>
    </row>
    <row r="78" spans="1:18" x14ac:dyDescent="0.2">
      <c r="A78" s="52" t="s">
        <v>28</v>
      </c>
      <c r="B78" s="12">
        <v>0</v>
      </c>
      <c r="C78" s="56">
        <v>0</v>
      </c>
      <c r="D78" s="57">
        <v>17</v>
      </c>
      <c r="E78" s="58">
        <v>4</v>
      </c>
      <c r="F78" s="59">
        <v>0</v>
      </c>
      <c r="G78" s="60">
        <v>1</v>
      </c>
      <c r="H78" s="61">
        <v>2</v>
      </c>
      <c r="I78" s="18">
        <f t="shared" si="7"/>
        <v>7</v>
      </c>
      <c r="J78" s="27">
        <v>3</v>
      </c>
      <c r="K78" s="53">
        <v>4</v>
      </c>
      <c r="L78" s="28">
        <v>2</v>
      </c>
      <c r="M78" s="53">
        <v>3</v>
      </c>
      <c r="N78" s="18">
        <f t="shared" si="6"/>
        <v>12</v>
      </c>
      <c r="O78" s="27">
        <v>7</v>
      </c>
      <c r="P78" s="53"/>
      <c r="Q78" s="28"/>
    </row>
    <row r="79" spans="1:18" x14ac:dyDescent="0.2">
      <c r="A79" s="55" t="s">
        <v>22</v>
      </c>
      <c r="B79" s="12">
        <v>28</v>
      </c>
      <c r="C79" s="56">
        <v>17</v>
      </c>
      <c r="D79" s="57">
        <v>289</v>
      </c>
      <c r="E79" s="58">
        <v>87</v>
      </c>
      <c r="F79" s="59">
        <v>67</v>
      </c>
      <c r="G79" s="60">
        <v>68</v>
      </c>
      <c r="H79" s="61">
        <v>64</v>
      </c>
      <c r="I79" s="18">
        <f t="shared" si="7"/>
        <v>286</v>
      </c>
      <c r="J79" s="27">
        <v>70</v>
      </c>
      <c r="K79" s="53">
        <v>56</v>
      </c>
      <c r="L79" s="28">
        <v>54</v>
      </c>
      <c r="M79" s="53">
        <v>70</v>
      </c>
      <c r="N79" s="18">
        <f t="shared" si="6"/>
        <v>250</v>
      </c>
      <c r="O79" s="27">
        <v>63</v>
      </c>
      <c r="P79" s="53"/>
      <c r="Q79" s="28"/>
    </row>
    <row r="80" spans="1:18" x14ac:dyDescent="0.2">
      <c r="A80" s="52" t="s">
        <v>23</v>
      </c>
      <c r="B80" s="12">
        <v>21</v>
      </c>
      <c r="C80" s="56">
        <v>23</v>
      </c>
      <c r="D80" s="57">
        <v>220</v>
      </c>
      <c r="E80" s="58">
        <v>65</v>
      </c>
      <c r="F80" s="59">
        <v>60</v>
      </c>
      <c r="G80" s="60">
        <v>47</v>
      </c>
      <c r="H80" s="61">
        <v>54</v>
      </c>
      <c r="I80" s="18">
        <f t="shared" si="7"/>
        <v>226</v>
      </c>
      <c r="J80" s="27">
        <v>44</v>
      </c>
      <c r="K80" s="53">
        <v>52</v>
      </c>
      <c r="L80" s="28">
        <v>41</v>
      </c>
      <c r="M80" s="53">
        <v>59</v>
      </c>
      <c r="N80" s="18">
        <f t="shared" si="6"/>
        <v>196</v>
      </c>
      <c r="O80" s="27">
        <v>53</v>
      </c>
      <c r="P80" s="53"/>
      <c r="Q80" s="28"/>
    </row>
    <row r="81" spans="1:30" ht="17" thickBot="1" x14ac:dyDescent="0.25">
      <c r="A81" s="52" t="s">
        <v>24</v>
      </c>
      <c r="B81" s="34">
        <v>15</v>
      </c>
      <c r="C81" s="63">
        <v>18</v>
      </c>
      <c r="D81" s="64">
        <v>163</v>
      </c>
      <c r="E81" s="65">
        <v>53</v>
      </c>
      <c r="F81" s="66">
        <v>43</v>
      </c>
      <c r="G81" s="67">
        <v>38</v>
      </c>
      <c r="H81" s="68">
        <v>46</v>
      </c>
      <c r="I81" s="38">
        <f t="shared" si="7"/>
        <v>180</v>
      </c>
      <c r="J81" s="35">
        <v>54</v>
      </c>
      <c r="K81" s="49">
        <v>30</v>
      </c>
      <c r="L81" s="37">
        <v>26</v>
      </c>
      <c r="M81" s="49">
        <v>40</v>
      </c>
      <c r="N81" s="18">
        <f t="shared" si="6"/>
        <v>150</v>
      </c>
      <c r="O81" s="35">
        <v>53</v>
      </c>
      <c r="P81" s="49"/>
      <c r="Q81" s="37"/>
      <c r="W81" s="482" t="s">
        <v>130</v>
      </c>
      <c r="X81" s="483"/>
      <c r="Y81" s="484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37</v>
      </c>
      <c r="C82" s="13">
        <v>0</v>
      </c>
      <c r="D82" s="14">
        <v>564</v>
      </c>
      <c r="E82" s="40">
        <v>57</v>
      </c>
      <c r="F82" s="13">
        <v>371</v>
      </c>
      <c r="G82" s="41">
        <v>132</v>
      </c>
      <c r="H82" s="20">
        <v>171</v>
      </c>
      <c r="I82" s="18">
        <f>E82+F82+G82+H82</f>
        <v>731</v>
      </c>
      <c r="J82" s="70">
        <v>147</v>
      </c>
      <c r="K82" s="16">
        <v>174</v>
      </c>
      <c r="L82" s="16">
        <v>352</v>
      </c>
      <c r="M82" s="16">
        <v>286</v>
      </c>
      <c r="N82" s="42">
        <f t="shared" si="6"/>
        <v>959</v>
      </c>
      <c r="O82" s="70">
        <v>222</v>
      </c>
      <c r="P82" s="16"/>
      <c r="Q82" s="16"/>
      <c r="W82" s="439" t="s">
        <v>59</v>
      </c>
      <c r="X82" s="238"/>
      <c r="Y82" s="226" t="s">
        <v>204</v>
      </c>
      <c r="Z82" s="252">
        <f>D81</f>
        <v>163</v>
      </c>
      <c r="AA82" s="252">
        <f>B81+C81+E81</f>
        <v>86</v>
      </c>
      <c r="AB82" s="252">
        <f>F81+G81+H81+J81+K81</f>
        <v>211</v>
      </c>
      <c r="AC82" s="252">
        <f>L81+M81+O81</f>
        <v>119</v>
      </c>
      <c r="AD82" s="252">
        <f>L81+M81+O81+P81+Q81</f>
        <v>119</v>
      </c>
    </row>
    <row r="83" spans="1:30" x14ac:dyDescent="0.2">
      <c r="A83" s="71" t="s">
        <v>30</v>
      </c>
      <c r="B83" s="12">
        <v>42</v>
      </c>
      <c r="C83" s="12">
        <v>0</v>
      </c>
      <c r="D83" s="23">
        <v>924</v>
      </c>
      <c r="E83" s="24">
        <v>87</v>
      </c>
      <c r="F83" s="12">
        <v>476</v>
      </c>
      <c r="G83" s="25">
        <v>190</v>
      </c>
      <c r="H83" s="26">
        <v>157</v>
      </c>
      <c r="I83" s="18">
        <f t="shared" ref="I83:I85" si="8">E83+F83+G83+H83</f>
        <v>910</v>
      </c>
      <c r="J83" s="27">
        <v>226</v>
      </c>
      <c r="K83" s="27">
        <v>162</v>
      </c>
      <c r="L83" s="27">
        <v>540</v>
      </c>
      <c r="M83" s="27">
        <v>586</v>
      </c>
      <c r="N83" s="18">
        <f t="shared" si="6"/>
        <v>1514</v>
      </c>
      <c r="O83" s="27">
        <v>620</v>
      </c>
      <c r="P83" s="27"/>
      <c r="Q83" s="27"/>
      <c r="W83" s="439"/>
      <c r="X83" s="238"/>
      <c r="Y83" s="226" t="s">
        <v>211</v>
      </c>
      <c r="Z83" s="253">
        <f>Z82/12</f>
        <v>13.583333333333334</v>
      </c>
      <c r="AA83" s="253">
        <f>AA82/5</f>
        <v>17.2</v>
      </c>
      <c r="AB83" s="253">
        <f>AB82/15</f>
        <v>14.066666666666666</v>
      </c>
      <c r="AC83" s="253">
        <f>AC82/9</f>
        <v>13.222222222222221</v>
      </c>
      <c r="AD83" s="226"/>
    </row>
    <row r="84" spans="1:30" x14ac:dyDescent="0.2">
      <c r="A84" s="71" t="s">
        <v>31</v>
      </c>
      <c r="B84" s="12">
        <v>19</v>
      </c>
      <c r="C84" s="12">
        <v>0</v>
      </c>
      <c r="D84" s="23">
        <v>581</v>
      </c>
      <c r="E84" s="24">
        <v>56</v>
      </c>
      <c r="F84" s="12">
        <v>289</v>
      </c>
      <c r="G84" s="25">
        <v>113</v>
      </c>
      <c r="H84" s="26">
        <v>101</v>
      </c>
      <c r="I84" s="18">
        <f t="shared" si="8"/>
        <v>559</v>
      </c>
      <c r="J84" s="27">
        <v>121</v>
      </c>
      <c r="K84" s="27">
        <v>125</v>
      </c>
      <c r="L84" s="27">
        <v>363</v>
      </c>
      <c r="M84" s="27">
        <v>266</v>
      </c>
      <c r="N84" s="18">
        <f t="shared" si="6"/>
        <v>875</v>
      </c>
      <c r="O84" s="27">
        <v>394</v>
      </c>
      <c r="P84" s="27"/>
      <c r="Q84" s="27"/>
      <c r="W84" s="440" t="s">
        <v>171</v>
      </c>
      <c r="X84" s="237"/>
      <c r="Y84" s="227" t="s">
        <v>212</v>
      </c>
      <c r="Z84" s="273">
        <f>Z85/Z86</f>
        <v>0.94633408919123208</v>
      </c>
      <c r="AA84" s="273">
        <v>0</v>
      </c>
      <c r="AB84" s="273">
        <f t="shared" ref="AB84:AC84" si="9">AB85/AB86</f>
        <v>0.746500893388922</v>
      </c>
      <c r="AC84" s="273">
        <f t="shared" si="9"/>
        <v>0.85802469135802473</v>
      </c>
      <c r="AD84" s="227"/>
    </row>
    <row r="85" spans="1:30" x14ac:dyDescent="0.2">
      <c r="A85" s="71" t="s">
        <v>32</v>
      </c>
      <c r="B85" s="12">
        <v>95</v>
      </c>
      <c r="C85" s="12">
        <v>0</v>
      </c>
      <c r="D85" s="23">
        <v>1630</v>
      </c>
      <c r="E85" s="24">
        <v>128</v>
      </c>
      <c r="F85" s="12">
        <v>941</v>
      </c>
      <c r="G85" s="25">
        <v>273</v>
      </c>
      <c r="H85" s="26">
        <v>223</v>
      </c>
      <c r="I85" s="18">
        <f t="shared" si="8"/>
        <v>1565</v>
      </c>
      <c r="J85" s="27">
        <v>206</v>
      </c>
      <c r="K85" s="27">
        <v>275</v>
      </c>
      <c r="L85" s="27">
        <v>816</v>
      </c>
      <c r="M85" s="27">
        <v>775</v>
      </c>
      <c r="N85" s="18">
        <f t="shared" si="6"/>
        <v>2072</v>
      </c>
      <c r="O85" s="27">
        <v>929</v>
      </c>
      <c r="P85" s="27"/>
      <c r="Q85" s="27"/>
      <c r="W85" s="440"/>
      <c r="X85" s="237"/>
      <c r="Y85" s="227" t="s">
        <v>217</v>
      </c>
      <c r="Z85" s="227">
        <v>1252</v>
      </c>
      <c r="AA85" s="227">
        <v>0</v>
      </c>
      <c r="AB85" s="227">
        <v>10027</v>
      </c>
      <c r="AC85" s="227">
        <v>8618</v>
      </c>
      <c r="AD85" s="227"/>
    </row>
    <row r="86" spans="1:30" x14ac:dyDescent="0.2">
      <c r="A86" s="72" t="s">
        <v>33</v>
      </c>
      <c r="B86" s="73">
        <f>SUM(B82:B85)</f>
        <v>193</v>
      </c>
      <c r="C86" s="73">
        <f>SUM(C82:C85)</f>
        <v>0</v>
      </c>
      <c r="D86" s="73">
        <f>SUM(D82:D85)</f>
        <v>3699</v>
      </c>
      <c r="E86" s="73">
        <f t="shared" ref="E86:G86" si="10">SUM(E82:E85)</f>
        <v>328</v>
      </c>
      <c r="F86" s="73">
        <f t="shared" si="10"/>
        <v>2077</v>
      </c>
      <c r="G86" s="73">
        <f t="shared" si="10"/>
        <v>708</v>
      </c>
      <c r="H86" s="73">
        <f>SUM(H82:H85)</f>
        <v>652</v>
      </c>
      <c r="I86" s="18">
        <f>E86+F86+G86+H86</f>
        <v>3765</v>
      </c>
      <c r="J86" s="75">
        <f t="shared" ref="J86:M86" si="11">SUM(J82:J85)</f>
        <v>700</v>
      </c>
      <c r="K86" s="75">
        <f t="shared" si="11"/>
        <v>736</v>
      </c>
      <c r="L86" s="75">
        <f t="shared" si="11"/>
        <v>2071</v>
      </c>
      <c r="M86" s="75">
        <f t="shared" si="11"/>
        <v>1913</v>
      </c>
      <c r="N86" s="18">
        <f t="shared" si="6"/>
        <v>5420</v>
      </c>
      <c r="O86" s="75">
        <f>SUM(O82:O85)</f>
        <v>2165</v>
      </c>
      <c r="P86" s="75"/>
      <c r="Q86" s="75"/>
      <c r="W86" s="440"/>
      <c r="X86" s="237"/>
      <c r="Y86" s="227" t="s">
        <v>218</v>
      </c>
      <c r="Z86" s="227">
        <v>1323</v>
      </c>
      <c r="AA86" s="227">
        <v>0</v>
      </c>
      <c r="AB86" s="227">
        <v>13432</v>
      </c>
      <c r="AC86" s="227">
        <v>10044</v>
      </c>
      <c r="AD86" s="227"/>
    </row>
    <row r="87" spans="1:30" x14ac:dyDescent="0.2">
      <c r="A87" s="71" t="s">
        <v>34</v>
      </c>
      <c r="B87" s="26">
        <v>28</v>
      </c>
      <c r="C87" s="26">
        <v>17</v>
      </c>
      <c r="D87" s="54">
        <v>289</v>
      </c>
      <c r="E87" s="27">
        <v>87</v>
      </c>
      <c r="F87" s="26">
        <v>67</v>
      </c>
      <c r="G87" s="25">
        <v>68</v>
      </c>
      <c r="H87" s="26">
        <v>64</v>
      </c>
      <c r="I87" s="18">
        <f t="shared" ref="I87:I98" si="12">E87+F87+G87+H87</f>
        <v>286</v>
      </c>
      <c r="J87" s="27">
        <v>70</v>
      </c>
      <c r="K87" s="27">
        <v>56</v>
      </c>
      <c r="L87" s="27">
        <v>54</v>
      </c>
      <c r="M87" s="27">
        <v>70</v>
      </c>
      <c r="N87" s="18">
        <f t="shared" si="6"/>
        <v>250</v>
      </c>
      <c r="O87" s="27">
        <v>63</v>
      </c>
      <c r="P87" s="27"/>
      <c r="Q87" s="27"/>
      <c r="W87" s="441" t="s">
        <v>180</v>
      </c>
      <c r="X87" s="239"/>
      <c r="Y87" s="228" t="s">
        <v>213</v>
      </c>
      <c r="Z87" s="275">
        <f>Z88/Z89</f>
        <v>0.71579743008314434</v>
      </c>
      <c r="AA87" s="275">
        <v>0</v>
      </c>
      <c r="AB87" s="275">
        <f t="shared" ref="AB87" si="13">AB88/AB89</f>
        <v>0.61070577724836217</v>
      </c>
      <c r="AC87" s="275">
        <f t="shared" ref="AC87" si="14">AC88/AC89</f>
        <v>0.64635603345280768</v>
      </c>
      <c r="AD87" s="228"/>
    </row>
    <row r="88" spans="1:30" x14ac:dyDescent="0.2">
      <c r="A88" s="71" t="s">
        <v>35</v>
      </c>
      <c r="B88" s="26">
        <v>21</v>
      </c>
      <c r="C88" s="26">
        <v>23</v>
      </c>
      <c r="D88" s="54">
        <v>220</v>
      </c>
      <c r="E88" s="27">
        <v>65</v>
      </c>
      <c r="F88" s="26">
        <v>60</v>
      </c>
      <c r="G88" s="25">
        <v>47</v>
      </c>
      <c r="H88" s="26">
        <v>54</v>
      </c>
      <c r="I88" s="18">
        <f t="shared" si="12"/>
        <v>226</v>
      </c>
      <c r="J88" s="27">
        <v>44</v>
      </c>
      <c r="K88" s="53">
        <v>52</v>
      </c>
      <c r="L88" s="53">
        <v>41</v>
      </c>
      <c r="M88" s="53">
        <v>59</v>
      </c>
      <c r="N88" s="18">
        <f t="shared" si="6"/>
        <v>196</v>
      </c>
      <c r="O88" s="27">
        <v>53</v>
      </c>
      <c r="P88" s="53"/>
      <c r="Q88" s="53"/>
      <c r="W88" s="441"/>
      <c r="X88" s="239"/>
      <c r="Y88" s="228" t="s">
        <v>219</v>
      </c>
      <c r="Z88" s="228">
        <v>947</v>
      </c>
      <c r="AA88" s="228">
        <v>0</v>
      </c>
      <c r="AB88" s="228">
        <v>8203</v>
      </c>
      <c r="AC88" s="228">
        <v>6492</v>
      </c>
      <c r="AD88" s="228"/>
    </row>
    <row r="89" spans="1:30" x14ac:dyDescent="0.2">
      <c r="A89" s="71" t="s">
        <v>36</v>
      </c>
      <c r="B89" s="26">
        <v>15</v>
      </c>
      <c r="C89" s="26">
        <v>18</v>
      </c>
      <c r="D89" s="54">
        <v>163</v>
      </c>
      <c r="E89" s="27">
        <v>53</v>
      </c>
      <c r="F89" s="26">
        <v>43</v>
      </c>
      <c r="G89" s="25">
        <v>38</v>
      </c>
      <c r="H89" s="26">
        <v>46</v>
      </c>
      <c r="I89" s="18">
        <f t="shared" si="12"/>
        <v>180</v>
      </c>
      <c r="J89" s="27">
        <v>52</v>
      </c>
      <c r="K89" s="53">
        <v>30</v>
      </c>
      <c r="L89" s="53">
        <v>26</v>
      </c>
      <c r="M89" s="53">
        <v>40</v>
      </c>
      <c r="N89" s="18">
        <f t="shared" si="6"/>
        <v>148</v>
      </c>
      <c r="O89" s="27">
        <v>53</v>
      </c>
      <c r="P89" s="53"/>
      <c r="Q89" s="53"/>
      <c r="W89" s="441"/>
      <c r="X89" s="239"/>
      <c r="Y89" s="228" t="s">
        <v>218</v>
      </c>
      <c r="Z89" s="228">
        <v>1323</v>
      </c>
      <c r="AA89" s="228">
        <v>0</v>
      </c>
      <c r="AB89" s="228">
        <v>13432</v>
      </c>
      <c r="AC89" s="228">
        <v>10044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321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2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6"/>
        <v>0</v>
      </c>
      <c r="O90" s="27">
        <v>0</v>
      </c>
      <c r="P90" s="27"/>
      <c r="Q90" s="27"/>
      <c r="W90" s="442" t="s">
        <v>173</v>
      </c>
      <c r="X90" s="240"/>
      <c r="Y90" s="229" t="s">
        <v>214</v>
      </c>
      <c r="Z90" s="254">
        <f>(D69+D72)/(D68+D71)</f>
        <v>0.17556804872335441</v>
      </c>
      <c r="AA90" s="254">
        <f>(B69+C69+E69+B72+C72+E72)/(B68+C68+E68+B71+C71+E71)</f>
        <v>0.29724910850738667</v>
      </c>
      <c r="AB90" s="254">
        <f>(F69+G69+H69+J69+K69+F72+G72+H72+J72+K72)/(F68+G68+H68+J68+K68+F71+G71+H71+J71+K71)</f>
        <v>0.59369144284821984</v>
      </c>
      <c r="AC90" s="254">
        <f>(L69+M69+O69+L72+M72+O72)/(L68+M68+O68+L71+M71+O71)</f>
        <v>0.97818984547461374</v>
      </c>
      <c r="AD90" s="254">
        <f>(L69+M69+O69+P69+Q69+L72+M72+O72+P72+Q72)/(L68+M68+O68+P68+Q68+L71+M71+O71+P71+Q71)</f>
        <v>0.97818984547461374</v>
      </c>
    </row>
    <row r="91" spans="1:30" x14ac:dyDescent="0.2">
      <c r="A91" s="71" t="s">
        <v>37</v>
      </c>
      <c r="B91" s="26">
        <v>193</v>
      </c>
      <c r="C91" s="26">
        <v>0</v>
      </c>
      <c r="D91" s="54">
        <v>1923</v>
      </c>
      <c r="E91" s="27">
        <v>309</v>
      </c>
      <c r="F91" s="26">
        <v>2077</v>
      </c>
      <c r="G91" s="25">
        <v>783</v>
      </c>
      <c r="H91" s="26">
        <v>21</v>
      </c>
      <c r="I91" s="207">
        <f t="shared" si="12"/>
        <v>3190</v>
      </c>
      <c r="J91" s="27">
        <v>133</v>
      </c>
      <c r="K91" s="27">
        <v>736</v>
      </c>
      <c r="L91" s="27">
        <v>2071</v>
      </c>
      <c r="M91" s="27">
        <v>1913</v>
      </c>
      <c r="N91" s="207">
        <f t="shared" si="6"/>
        <v>4853</v>
      </c>
      <c r="O91" s="27">
        <v>2165</v>
      </c>
      <c r="P91" s="27"/>
      <c r="Q91" s="27"/>
      <c r="W91" s="442"/>
      <c r="X91" s="240"/>
      <c r="Y91" s="229" t="s">
        <v>215</v>
      </c>
      <c r="Z91" s="255">
        <f>(D69+D72)</f>
        <v>1499</v>
      </c>
      <c r="AA91" s="255">
        <f>(B69+C69+E69+B72+C72+E72)</f>
        <v>1167</v>
      </c>
      <c r="AB91" s="255">
        <f>F69+G69+H69+J69+K69+F72+G72+H72+J72+K72</f>
        <v>5703</v>
      </c>
      <c r="AC91" s="255">
        <f>L69+M69+O69+L72+M72+O72</f>
        <v>11078</v>
      </c>
      <c r="AD91" s="255">
        <f>(L69+M69+O69+P69+Q69+L72+M72+O72+P72+Q72)</f>
        <v>11078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835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2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6"/>
        <v>0</v>
      </c>
      <c r="O92" s="27">
        <v>0</v>
      </c>
      <c r="P92" s="27"/>
      <c r="Q92" s="27"/>
      <c r="W92" s="442"/>
      <c r="X92" s="240"/>
      <c r="Y92" s="229" t="s">
        <v>216</v>
      </c>
      <c r="Z92" s="255">
        <f>D68+D71</f>
        <v>8538</v>
      </c>
      <c r="AA92" s="255">
        <f>(B68+C68+E68+B71+C71+E71)</f>
        <v>3926</v>
      </c>
      <c r="AB92" s="255">
        <f>F68+G68+H68+J68+K68+F71+G71+H71+J71+K71</f>
        <v>9606</v>
      </c>
      <c r="AC92" s="255">
        <f>(L68+M68+O68+L71+M71+O71)</f>
        <v>11325</v>
      </c>
      <c r="AD92" s="255">
        <f>(L68+M68+O68+P68+Q68+L71+M71+O71+P71+Q71)</f>
        <v>11325</v>
      </c>
    </row>
    <row r="93" spans="1:30" x14ac:dyDescent="0.2">
      <c r="A93" s="71" t="s">
        <v>39</v>
      </c>
      <c r="B93" s="26">
        <v>248</v>
      </c>
      <c r="C93" s="26">
        <v>0</v>
      </c>
      <c r="D93" s="54">
        <v>2608</v>
      </c>
      <c r="E93" s="27">
        <v>432</v>
      </c>
      <c r="F93" s="26">
        <v>1327</v>
      </c>
      <c r="G93" s="25">
        <v>1554</v>
      </c>
      <c r="H93" s="26">
        <v>52</v>
      </c>
      <c r="I93" s="18">
        <f t="shared" si="12"/>
        <v>3365</v>
      </c>
      <c r="J93" s="27">
        <v>180</v>
      </c>
      <c r="K93" s="27">
        <v>1104</v>
      </c>
      <c r="L93" s="27">
        <v>1975</v>
      </c>
      <c r="M93" s="27">
        <v>953</v>
      </c>
      <c r="N93" s="18">
        <f t="shared" si="6"/>
        <v>4212</v>
      </c>
      <c r="O93" s="27">
        <v>744</v>
      </c>
      <c r="P93" s="27"/>
      <c r="Q93" s="27"/>
      <c r="W93" s="423" t="s">
        <v>174</v>
      </c>
      <c r="X93" s="241"/>
      <c r="Y93" s="230" t="s">
        <v>220</v>
      </c>
      <c r="Z93" s="256">
        <f>D86</f>
        <v>3699</v>
      </c>
      <c r="AA93" s="256">
        <f>B86+C86+E86</f>
        <v>521</v>
      </c>
      <c r="AB93" s="256">
        <f>F86+G86+H86+J86+K86</f>
        <v>4873</v>
      </c>
      <c r="AC93" s="256">
        <f>L86+M86+O86</f>
        <v>6149</v>
      </c>
      <c r="AD93" s="256">
        <f>L86+M86+O86+P86+Q86</f>
        <v>6149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2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6"/>
        <v>0</v>
      </c>
      <c r="O94" s="27">
        <v>0</v>
      </c>
      <c r="P94" s="27"/>
      <c r="Q94" s="27"/>
      <c r="W94" s="423"/>
      <c r="X94" s="241"/>
      <c r="Y94" s="230" t="s">
        <v>221</v>
      </c>
      <c r="Z94" s="260">
        <f>Z93/12</f>
        <v>308.25</v>
      </c>
      <c r="AA94" s="260">
        <f>AA93/5</f>
        <v>104.2</v>
      </c>
      <c r="AB94" s="260">
        <f>AB93/15</f>
        <v>324.86666666666667</v>
      </c>
      <c r="AC94" s="260">
        <f>AC93/9</f>
        <v>683.22222222222217</v>
      </c>
      <c r="AD94" s="230"/>
    </row>
    <row r="95" spans="1:30" x14ac:dyDescent="0.2">
      <c r="A95" s="71" t="s">
        <v>41</v>
      </c>
      <c r="B95" s="26">
        <v>0</v>
      </c>
      <c r="C95" s="26">
        <v>0</v>
      </c>
      <c r="D95" s="54">
        <v>6</v>
      </c>
      <c r="E95" s="27">
        <v>0</v>
      </c>
      <c r="F95" s="26">
        <v>20</v>
      </c>
      <c r="G95" s="25">
        <v>11</v>
      </c>
      <c r="H95" s="26">
        <v>1</v>
      </c>
      <c r="I95" s="18">
        <f t="shared" si="12"/>
        <v>32</v>
      </c>
      <c r="J95" s="27">
        <v>0</v>
      </c>
      <c r="K95" s="53">
        <v>3</v>
      </c>
      <c r="L95" s="53">
        <v>0</v>
      </c>
      <c r="M95" s="53">
        <v>0</v>
      </c>
      <c r="N95" s="18">
        <f t="shared" si="6"/>
        <v>3</v>
      </c>
      <c r="O95" s="27">
        <v>0</v>
      </c>
      <c r="P95" s="53"/>
      <c r="Q95" s="53"/>
      <c r="W95" s="446" t="s">
        <v>175</v>
      </c>
      <c r="X95" s="242"/>
      <c r="Y95" s="231" t="s">
        <v>178</v>
      </c>
      <c r="Z95" s="261">
        <f>D70+D73</f>
        <v>2911</v>
      </c>
      <c r="AA95" s="261">
        <f>B70+C70+E70+B73+C73+E73</f>
        <v>1603</v>
      </c>
      <c r="AB95" s="261">
        <f>F70+G70+H70+J70+K70+F73+G73+H73+J73+K73</f>
        <v>3747</v>
      </c>
      <c r="AC95" s="261">
        <f>L70+M70+O70+L73+M73+O73</f>
        <v>6466</v>
      </c>
      <c r="AD95" s="257">
        <f>L70+M70+O70+P70+Q70+L73+M73+O73+P73+Q73</f>
        <v>6466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1156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2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6"/>
        <v>0</v>
      </c>
      <c r="O96" s="27">
        <v>0</v>
      </c>
      <c r="P96" s="26"/>
      <c r="Q96" s="26"/>
      <c r="W96" s="446"/>
      <c r="X96" s="242"/>
      <c r="Y96" s="231" t="s">
        <v>222</v>
      </c>
      <c r="Z96" s="262">
        <f>Z95/12</f>
        <v>242.58333333333334</v>
      </c>
      <c r="AA96" s="262">
        <f>AA95/5</f>
        <v>320.60000000000002</v>
      </c>
      <c r="AB96" s="262">
        <f>AB95/15</f>
        <v>249.8</v>
      </c>
      <c r="AC96" s="262">
        <f>AC95/9</f>
        <v>718.44444444444446</v>
      </c>
      <c r="AD96" s="231"/>
    </row>
    <row r="97" spans="1:30" x14ac:dyDescent="0.2">
      <c r="A97" s="71" t="s">
        <v>43</v>
      </c>
      <c r="B97" s="26">
        <v>441</v>
      </c>
      <c r="C97" s="26">
        <v>0</v>
      </c>
      <c r="D97" s="54">
        <v>4531</v>
      </c>
      <c r="E97" s="27">
        <v>741</v>
      </c>
      <c r="F97" s="26">
        <v>3404</v>
      </c>
      <c r="G97" s="25">
        <v>2337</v>
      </c>
      <c r="H97" s="26">
        <v>73</v>
      </c>
      <c r="I97" s="18">
        <f t="shared" si="12"/>
        <v>6555</v>
      </c>
      <c r="J97" s="27">
        <v>313</v>
      </c>
      <c r="K97" s="26">
        <v>1840</v>
      </c>
      <c r="L97" s="26">
        <v>4046</v>
      </c>
      <c r="M97" s="26">
        <v>2866</v>
      </c>
      <c r="N97" s="18">
        <f t="shared" si="6"/>
        <v>9065</v>
      </c>
      <c r="O97" s="27">
        <v>2909</v>
      </c>
      <c r="P97" s="26"/>
      <c r="Q97" s="26"/>
      <c r="W97" s="446"/>
      <c r="X97" s="242"/>
      <c r="Y97" s="231" t="s">
        <v>179</v>
      </c>
      <c r="Z97" s="261">
        <f>D90+D91</f>
        <v>2244</v>
      </c>
      <c r="AA97" s="261">
        <f>B90+C90+E90+B91+C91+E91</f>
        <v>502</v>
      </c>
      <c r="AB97" s="261">
        <f>F90+G90+H90+J90+K90+F91+G91+H91+J91+K91</f>
        <v>3750</v>
      </c>
      <c r="AC97" s="261">
        <f>L90+M90+O90+L91+M91+O91</f>
        <v>6149</v>
      </c>
      <c r="AD97" s="257">
        <f>L90+M90+O90+P90+Q90+L91+M91+O91+P91+Q91</f>
        <v>6149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35</v>
      </c>
      <c r="H98" s="34">
        <v>441</v>
      </c>
      <c r="I98" s="38">
        <f t="shared" si="12"/>
        <v>476</v>
      </c>
      <c r="J98" s="48">
        <v>0</v>
      </c>
      <c r="K98" s="77">
        <v>0</v>
      </c>
      <c r="L98" s="77">
        <v>0</v>
      </c>
      <c r="M98" s="77">
        <v>0</v>
      </c>
      <c r="N98" s="18">
        <f t="shared" si="6"/>
        <v>0</v>
      </c>
      <c r="O98" s="48">
        <v>0</v>
      </c>
      <c r="P98" s="77"/>
      <c r="Q98" s="77"/>
      <c r="W98" s="446"/>
      <c r="X98" s="242"/>
      <c r="Y98" s="231" t="s">
        <v>223</v>
      </c>
      <c r="Z98" s="261">
        <f>Z97/12</f>
        <v>187</v>
      </c>
      <c r="AA98" s="261">
        <f>AA97/5</f>
        <v>100.4</v>
      </c>
      <c r="AB98" s="261">
        <f>AB97/15</f>
        <v>250</v>
      </c>
      <c r="AC98" s="261">
        <f>AC97/9</f>
        <v>683.22222222222217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>
        <v>0</v>
      </c>
      <c r="N99" s="167"/>
      <c r="O99" s="194">
        <v>0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238</v>
      </c>
      <c r="AB99" s="264" t="s">
        <v>239</v>
      </c>
      <c r="AC99" s="263" t="s">
        <v>272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0</v>
      </c>
      <c r="N100" s="168"/>
      <c r="O100" s="188">
        <v>0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241</v>
      </c>
      <c r="AA100" s="265" t="s">
        <v>242</v>
      </c>
      <c r="AB100" s="265" t="s">
        <v>243</v>
      </c>
      <c r="AC100" s="265" t="s">
        <v>273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0</v>
      </c>
      <c r="N101" s="168"/>
      <c r="O101" s="188">
        <v>0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0</v>
      </c>
      <c r="N102" s="168"/>
      <c r="O102" s="188">
        <v>0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0</v>
      </c>
      <c r="N103" s="169"/>
      <c r="O103" s="195">
        <v>0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0</v>
      </c>
      <c r="N104" s="168"/>
      <c r="O104" s="188">
        <v>0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0</v>
      </c>
      <c r="N105" s="170"/>
      <c r="O105" s="195">
        <v>0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0</v>
      </c>
      <c r="N106" s="170"/>
      <c r="O106" s="195">
        <v>0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68"/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0</v>
      </c>
      <c r="N108" s="168"/>
      <c r="O108" s="195">
        <v>0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0</v>
      </c>
      <c r="N109" s="168"/>
      <c r="O109" s="195">
        <v>0</v>
      </c>
      <c r="P109" s="195">
        <v>0</v>
      </c>
      <c r="Q109" s="195">
        <v>0</v>
      </c>
      <c r="W109" s="485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0</v>
      </c>
      <c r="N110" s="168"/>
      <c r="O110" s="195">
        <v>0</v>
      </c>
      <c r="P110" s="195">
        <v>0</v>
      </c>
      <c r="Q110" s="195">
        <v>0</v>
      </c>
      <c r="W110" s="485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0</v>
      </c>
      <c r="N111" s="168"/>
      <c r="O111" s="195">
        <v>0</v>
      </c>
      <c r="P111" s="195">
        <v>0</v>
      </c>
      <c r="Q111" s="195">
        <v>0</v>
      </c>
      <c r="W111" s="485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70"/>
      <c r="O112" s="195">
        <v>0</v>
      </c>
      <c r="P112" s="195">
        <v>0</v>
      </c>
      <c r="Q112" s="195">
        <v>0</v>
      </c>
      <c r="W112" s="485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0</v>
      </c>
      <c r="N113" s="168"/>
      <c r="O113" s="195">
        <v>0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0</v>
      </c>
      <c r="N114" s="171"/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5"/>
      <c r="X115" s="209"/>
      <c r="Z115" s="80"/>
      <c r="AA115" s="80"/>
      <c r="AB115" s="80"/>
      <c r="AC115" s="80"/>
      <c r="AD115" s="80"/>
    </row>
    <row r="116" spans="1:30" x14ac:dyDescent="0.2">
      <c r="W116" s="485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131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5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0</v>
      </c>
      <c r="E118" s="15">
        <v>0</v>
      </c>
      <c r="F118" s="13">
        <v>0</v>
      </c>
      <c r="G118" s="16">
        <v>0</v>
      </c>
      <c r="H118" s="17">
        <v>0</v>
      </c>
      <c r="I118" s="18">
        <f>E118+F118+G118+H118</f>
        <v>0</v>
      </c>
      <c r="J118" s="19">
        <v>32</v>
      </c>
      <c r="K118" s="20">
        <v>4</v>
      </c>
      <c r="L118" s="21">
        <v>98</v>
      </c>
      <c r="M118" s="20">
        <v>88</v>
      </c>
      <c r="N118" s="18">
        <f t="shared" ref="N118:N156" si="15">SUM(J118:M118)</f>
        <v>222</v>
      </c>
      <c r="O118" s="19">
        <v>25</v>
      </c>
      <c r="P118" s="20"/>
      <c r="Q118" s="21"/>
      <c r="W118" s="485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0</v>
      </c>
      <c r="E119" s="24">
        <v>0</v>
      </c>
      <c r="F119" s="12">
        <v>0</v>
      </c>
      <c r="G119" s="25">
        <v>0</v>
      </c>
      <c r="H119" s="26">
        <v>0</v>
      </c>
      <c r="I119" s="18">
        <f t="shared" ref="I119:I139" si="16">E119+F119+G119+H119</f>
        <v>0</v>
      </c>
      <c r="J119" s="27">
        <v>0</v>
      </c>
      <c r="K119" s="26">
        <v>0</v>
      </c>
      <c r="L119" s="28">
        <v>4</v>
      </c>
      <c r="M119" s="26">
        <v>3</v>
      </c>
      <c r="N119" s="18">
        <f t="shared" si="15"/>
        <v>7</v>
      </c>
      <c r="O119" s="27">
        <v>3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0</v>
      </c>
      <c r="E120" s="24">
        <v>0</v>
      </c>
      <c r="F120" s="12">
        <v>0</v>
      </c>
      <c r="G120" s="25">
        <v>0</v>
      </c>
      <c r="H120" s="26">
        <v>0</v>
      </c>
      <c r="I120" s="18">
        <f t="shared" si="16"/>
        <v>0</v>
      </c>
      <c r="J120" s="27">
        <v>139</v>
      </c>
      <c r="K120" s="26">
        <v>27</v>
      </c>
      <c r="L120" s="28">
        <v>345</v>
      </c>
      <c r="M120" s="26">
        <v>209</v>
      </c>
      <c r="N120" s="18">
        <f t="shared" si="15"/>
        <v>720</v>
      </c>
      <c r="O120" s="27">
        <v>113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0</v>
      </c>
      <c r="E121" s="24">
        <v>0</v>
      </c>
      <c r="F121" s="12">
        <v>0</v>
      </c>
      <c r="G121" s="25">
        <v>0</v>
      </c>
      <c r="H121" s="26">
        <v>0</v>
      </c>
      <c r="I121" s="18">
        <f t="shared" si="16"/>
        <v>0</v>
      </c>
      <c r="J121" s="27">
        <v>8</v>
      </c>
      <c r="K121" s="26">
        <v>3</v>
      </c>
      <c r="L121" s="28">
        <v>19</v>
      </c>
      <c r="M121" s="26">
        <v>8</v>
      </c>
      <c r="N121" s="18">
        <f t="shared" si="15"/>
        <v>38</v>
      </c>
      <c r="O121" s="27">
        <v>12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0</v>
      </c>
      <c r="C122" s="12">
        <v>0</v>
      </c>
      <c r="D122" s="23">
        <v>0</v>
      </c>
      <c r="E122" s="24">
        <v>0</v>
      </c>
      <c r="F122" s="12">
        <v>0</v>
      </c>
      <c r="G122" s="25">
        <v>0</v>
      </c>
      <c r="H122" s="26">
        <v>0</v>
      </c>
      <c r="I122" s="18">
        <f t="shared" si="16"/>
        <v>0</v>
      </c>
      <c r="J122" s="27">
        <v>19</v>
      </c>
      <c r="K122" s="26">
        <v>20</v>
      </c>
      <c r="L122" s="28">
        <v>75</v>
      </c>
      <c r="M122" s="26">
        <v>66</v>
      </c>
      <c r="N122" s="18">
        <f t="shared" si="15"/>
        <v>180</v>
      </c>
      <c r="O122" s="27">
        <v>65</v>
      </c>
      <c r="P122" s="26"/>
      <c r="Q122" s="28"/>
      <c r="AB122" s="79"/>
    </row>
    <row r="123" spans="1:30" x14ac:dyDescent="0.2">
      <c r="A123" s="11" t="s">
        <v>7</v>
      </c>
      <c r="B123" s="12">
        <v>0</v>
      </c>
      <c r="C123" s="12">
        <v>0</v>
      </c>
      <c r="D123" s="23">
        <v>0</v>
      </c>
      <c r="E123" s="24">
        <v>0</v>
      </c>
      <c r="F123" s="12">
        <v>0</v>
      </c>
      <c r="G123" s="25">
        <v>0</v>
      </c>
      <c r="H123" s="26">
        <v>0</v>
      </c>
      <c r="I123" s="18">
        <f t="shared" si="16"/>
        <v>0</v>
      </c>
      <c r="J123" s="27">
        <v>0</v>
      </c>
      <c r="K123" s="26">
        <v>0</v>
      </c>
      <c r="L123" s="28">
        <v>2</v>
      </c>
      <c r="M123" s="26">
        <v>1</v>
      </c>
      <c r="N123" s="18">
        <f t="shared" si="15"/>
        <v>3</v>
      </c>
      <c r="O123" s="27">
        <v>4</v>
      </c>
      <c r="P123" s="26"/>
      <c r="Q123" s="28"/>
    </row>
    <row r="124" spans="1:30" x14ac:dyDescent="0.2">
      <c r="A124" s="22" t="s">
        <v>12</v>
      </c>
      <c r="B124" s="12">
        <v>0</v>
      </c>
      <c r="C124" s="12">
        <v>0</v>
      </c>
      <c r="D124" s="23">
        <v>0</v>
      </c>
      <c r="E124" s="24">
        <v>0</v>
      </c>
      <c r="F124" s="12">
        <v>0</v>
      </c>
      <c r="G124" s="25">
        <v>0</v>
      </c>
      <c r="H124" s="26">
        <v>0</v>
      </c>
      <c r="I124" s="18">
        <f t="shared" si="16"/>
        <v>0</v>
      </c>
      <c r="J124" s="27">
        <v>53</v>
      </c>
      <c r="K124" s="26">
        <v>205</v>
      </c>
      <c r="L124" s="28">
        <v>283</v>
      </c>
      <c r="M124" s="26">
        <v>292</v>
      </c>
      <c r="N124" s="18">
        <f t="shared" si="15"/>
        <v>833</v>
      </c>
      <c r="O124" s="27">
        <v>263</v>
      </c>
      <c r="P124" s="49"/>
      <c r="Q124" s="37"/>
    </row>
    <row r="125" spans="1:30" ht="16" thickBot="1" x14ac:dyDescent="0.25">
      <c r="A125" s="178" t="s">
        <v>8</v>
      </c>
      <c r="B125" s="30">
        <v>0</v>
      </c>
      <c r="C125" s="30">
        <v>0</v>
      </c>
      <c r="D125" s="31">
        <v>0</v>
      </c>
      <c r="E125" s="32">
        <v>0</v>
      </c>
      <c r="F125" s="30">
        <v>0</v>
      </c>
      <c r="G125" s="33">
        <v>0</v>
      </c>
      <c r="H125" s="34">
        <v>0</v>
      </c>
      <c r="I125" s="18">
        <f t="shared" si="16"/>
        <v>0</v>
      </c>
      <c r="J125" s="35">
        <v>3</v>
      </c>
      <c r="K125" s="36">
        <v>6</v>
      </c>
      <c r="L125" s="37">
        <v>15</v>
      </c>
      <c r="M125" s="36">
        <v>22</v>
      </c>
      <c r="N125" s="38">
        <f t="shared" si="15"/>
        <v>46</v>
      </c>
      <c r="O125" s="182">
        <v>28</v>
      </c>
      <c r="P125" s="49"/>
      <c r="Q125" s="37"/>
    </row>
    <row r="126" spans="1:30" ht="16" thickTop="1" x14ac:dyDescent="0.2">
      <c r="A126" s="177" t="s">
        <v>19</v>
      </c>
      <c r="B126" s="12">
        <v>1</v>
      </c>
      <c r="C126" s="12">
        <v>13</v>
      </c>
      <c r="D126" s="14">
        <v>35</v>
      </c>
      <c r="E126" s="40">
        <v>89</v>
      </c>
      <c r="F126" s="13">
        <v>68</v>
      </c>
      <c r="G126" s="41">
        <v>85</v>
      </c>
      <c r="H126" s="20">
        <v>54</v>
      </c>
      <c r="I126" s="42">
        <f t="shared" si="16"/>
        <v>296</v>
      </c>
      <c r="J126" s="43">
        <v>77</v>
      </c>
      <c r="K126" s="17">
        <v>24</v>
      </c>
      <c r="L126" s="44">
        <v>176</v>
      </c>
      <c r="M126" s="17">
        <v>153</v>
      </c>
      <c r="N126" s="18">
        <f t="shared" si="15"/>
        <v>430</v>
      </c>
      <c r="O126" s="43">
        <v>52</v>
      </c>
      <c r="P126" s="17"/>
      <c r="Q126" s="44"/>
    </row>
    <row r="127" spans="1:30" x14ac:dyDescent="0.2">
      <c r="A127" s="45" t="s">
        <v>16</v>
      </c>
      <c r="B127" s="12">
        <v>0</v>
      </c>
      <c r="C127" s="12">
        <v>13</v>
      </c>
      <c r="D127" s="23">
        <v>30</v>
      </c>
      <c r="E127" s="24">
        <v>89</v>
      </c>
      <c r="F127" s="12">
        <v>68</v>
      </c>
      <c r="G127" s="25">
        <v>85</v>
      </c>
      <c r="H127" s="26">
        <v>13</v>
      </c>
      <c r="I127" s="18">
        <f t="shared" si="16"/>
        <v>255</v>
      </c>
      <c r="J127" s="27">
        <v>51</v>
      </c>
      <c r="K127" s="26">
        <v>21</v>
      </c>
      <c r="L127" s="28">
        <v>176</v>
      </c>
      <c r="M127" s="26">
        <v>153</v>
      </c>
      <c r="N127" s="18">
        <f t="shared" si="15"/>
        <v>401</v>
      </c>
      <c r="O127" s="27">
        <v>52</v>
      </c>
      <c r="P127" s="26"/>
      <c r="Q127" s="28"/>
    </row>
    <row r="128" spans="1:30" x14ac:dyDescent="0.2">
      <c r="A128" s="177" t="s">
        <v>15</v>
      </c>
      <c r="B128" s="12">
        <v>0</v>
      </c>
      <c r="C128" s="12">
        <v>0</v>
      </c>
      <c r="D128" s="23">
        <v>1</v>
      </c>
      <c r="E128" s="24">
        <v>2</v>
      </c>
      <c r="F128" s="12">
        <v>3</v>
      </c>
      <c r="G128" s="25">
        <v>2</v>
      </c>
      <c r="H128" s="26">
        <v>0</v>
      </c>
      <c r="I128" s="18">
        <f t="shared" si="16"/>
        <v>7</v>
      </c>
      <c r="J128" s="27">
        <v>0</v>
      </c>
      <c r="K128" s="26">
        <v>0</v>
      </c>
      <c r="L128" s="28">
        <v>5</v>
      </c>
      <c r="M128" s="26">
        <v>4</v>
      </c>
      <c r="N128" s="18">
        <f t="shared" si="15"/>
        <v>9</v>
      </c>
      <c r="O128" s="27">
        <v>5</v>
      </c>
      <c r="P128" s="26"/>
      <c r="Q128" s="28"/>
    </row>
    <row r="129" spans="1:30" x14ac:dyDescent="0.2">
      <c r="A129" s="45" t="s">
        <v>20</v>
      </c>
      <c r="B129" s="12">
        <v>9</v>
      </c>
      <c r="C129" s="12">
        <v>17</v>
      </c>
      <c r="D129" s="23">
        <v>157</v>
      </c>
      <c r="E129" s="24">
        <v>91</v>
      </c>
      <c r="F129" s="12">
        <v>268</v>
      </c>
      <c r="G129" s="25">
        <v>383</v>
      </c>
      <c r="H129" s="26">
        <v>79</v>
      </c>
      <c r="I129" s="18">
        <f t="shared" si="16"/>
        <v>821</v>
      </c>
      <c r="J129" s="27">
        <v>252</v>
      </c>
      <c r="K129" s="26">
        <v>232</v>
      </c>
      <c r="L129" s="28">
        <v>628</v>
      </c>
      <c r="M129" s="26">
        <v>500</v>
      </c>
      <c r="N129" s="18">
        <f t="shared" si="15"/>
        <v>1612</v>
      </c>
      <c r="O129" s="27">
        <v>198</v>
      </c>
      <c r="P129" s="26"/>
      <c r="Q129" s="28"/>
    </row>
    <row r="130" spans="1:30" x14ac:dyDescent="0.2">
      <c r="A130" s="45" t="s">
        <v>18</v>
      </c>
      <c r="B130" s="12">
        <v>9</v>
      </c>
      <c r="C130" s="12">
        <v>0</v>
      </c>
      <c r="D130" s="23">
        <v>43</v>
      </c>
      <c r="E130" s="24">
        <v>20</v>
      </c>
      <c r="F130" s="12">
        <v>268</v>
      </c>
      <c r="G130" s="25">
        <v>383</v>
      </c>
      <c r="H130" s="26">
        <v>79</v>
      </c>
      <c r="I130" s="18">
        <f t="shared" si="16"/>
        <v>750</v>
      </c>
      <c r="J130" s="27">
        <v>192</v>
      </c>
      <c r="K130" s="26">
        <v>204</v>
      </c>
      <c r="L130" s="28">
        <v>628</v>
      </c>
      <c r="M130" s="26">
        <v>500</v>
      </c>
      <c r="N130" s="18">
        <f t="shared" si="15"/>
        <v>1524</v>
      </c>
      <c r="O130" s="27">
        <v>198</v>
      </c>
      <c r="P130" s="26"/>
      <c r="Q130" s="28"/>
    </row>
    <row r="131" spans="1:30" x14ac:dyDescent="0.2">
      <c r="A131" s="45" t="s">
        <v>17</v>
      </c>
      <c r="B131" s="12">
        <v>0</v>
      </c>
      <c r="C131" s="12">
        <v>6</v>
      </c>
      <c r="D131" s="23">
        <v>30</v>
      </c>
      <c r="E131" s="24">
        <v>7</v>
      </c>
      <c r="F131" s="12">
        <v>21</v>
      </c>
      <c r="G131" s="25">
        <v>22</v>
      </c>
      <c r="H131" s="26">
        <v>2</v>
      </c>
      <c r="I131" s="18">
        <f t="shared" si="16"/>
        <v>52</v>
      </c>
      <c r="J131" s="27">
        <v>10</v>
      </c>
      <c r="K131" s="26">
        <v>7</v>
      </c>
      <c r="L131" s="28">
        <v>36</v>
      </c>
      <c r="M131" s="26">
        <v>30</v>
      </c>
      <c r="N131" s="18">
        <f t="shared" si="15"/>
        <v>83</v>
      </c>
      <c r="O131" s="27">
        <v>31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0</v>
      </c>
      <c r="E132" s="48">
        <v>0</v>
      </c>
      <c r="F132" s="34">
        <v>0</v>
      </c>
      <c r="G132" s="33">
        <v>0</v>
      </c>
      <c r="H132" s="34">
        <v>0</v>
      </c>
      <c r="I132" s="38">
        <f t="shared" si="16"/>
        <v>0</v>
      </c>
      <c r="J132" s="48">
        <v>0</v>
      </c>
      <c r="K132" s="49">
        <v>2</v>
      </c>
      <c r="L132" s="37">
        <v>1</v>
      </c>
      <c r="M132" s="49">
        <v>0</v>
      </c>
      <c r="N132" s="18">
        <f t="shared" si="15"/>
        <v>3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2">
        <v>67</v>
      </c>
      <c r="C133" s="13">
        <v>57</v>
      </c>
      <c r="D133" s="14">
        <v>744</v>
      </c>
      <c r="E133" s="40">
        <v>244</v>
      </c>
      <c r="F133" s="13">
        <v>202</v>
      </c>
      <c r="G133" s="41">
        <v>205</v>
      </c>
      <c r="H133" s="20">
        <v>235</v>
      </c>
      <c r="I133" s="18">
        <f t="shared" si="16"/>
        <v>886</v>
      </c>
      <c r="J133" s="19">
        <v>233</v>
      </c>
      <c r="K133" s="51">
        <v>181</v>
      </c>
      <c r="L133" s="44">
        <v>221</v>
      </c>
      <c r="M133" s="51">
        <v>293</v>
      </c>
      <c r="N133" s="42">
        <f t="shared" si="15"/>
        <v>928</v>
      </c>
      <c r="O133" s="19">
        <v>316</v>
      </c>
      <c r="P133" s="51"/>
      <c r="Q133" s="44"/>
    </row>
    <row r="134" spans="1:30" x14ac:dyDescent="0.2">
      <c r="A134" s="52" t="s">
        <v>26</v>
      </c>
      <c r="B134" s="12">
        <v>211</v>
      </c>
      <c r="C134" s="12">
        <v>164</v>
      </c>
      <c r="D134" s="23">
        <v>2210</v>
      </c>
      <c r="E134" s="24">
        <v>629</v>
      </c>
      <c r="F134" s="12">
        <v>705</v>
      </c>
      <c r="G134" s="25">
        <v>626</v>
      </c>
      <c r="H134" s="26">
        <v>645</v>
      </c>
      <c r="I134" s="18">
        <f t="shared" si="16"/>
        <v>2605</v>
      </c>
      <c r="J134" s="27">
        <v>727</v>
      </c>
      <c r="K134" s="53">
        <v>588</v>
      </c>
      <c r="L134" s="28">
        <v>522</v>
      </c>
      <c r="M134" s="53">
        <v>712</v>
      </c>
      <c r="N134" s="18">
        <f t="shared" si="15"/>
        <v>2549</v>
      </c>
      <c r="O134" s="27">
        <v>898</v>
      </c>
      <c r="P134" s="53"/>
      <c r="Q134" s="28"/>
    </row>
    <row r="135" spans="1:30" x14ac:dyDescent="0.2">
      <c r="A135" s="52" t="s">
        <v>27</v>
      </c>
      <c r="B135" s="12">
        <v>35</v>
      </c>
      <c r="C135" s="26">
        <v>21</v>
      </c>
      <c r="D135" s="54">
        <v>419</v>
      </c>
      <c r="E135" s="27">
        <v>162</v>
      </c>
      <c r="F135" s="26">
        <v>135</v>
      </c>
      <c r="G135" s="25">
        <v>123</v>
      </c>
      <c r="H135" s="26">
        <v>109</v>
      </c>
      <c r="I135" s="18">
        <f t="shared" si="16"/>
        <v>529</v>
      </c>
      <c r="J135" s="27">
        <v>117</v>
      </c>
      <c r="K135" s="53">
        <v>187</v>
      </c>
      <c r="L135" s="28">
        <v>85</v>
      </c>
      <c r="M135" s="53">
        <v>131</v>
      </c>
      <c r="N135" s="18">
        <f t="shared" si="15"/>
        <v>520</v>
      </c>
      <c r="O135" s="27">
        <v>158</v>
      </c>
      <c r="P135" s="53"/>
      <c r="Q135" s="28"/>
    </row>
    <row r="136" spans="1:30" x14ac:dyDescent="0.2">
      <c r="A136" s="52" t="s">
        <v>28</v>
      </c>
      <c r="B136" s="12">
        <v>0</v>
      </c>
      <c r="C136" s="56">
        <v>0</v>
      </c>
      <c r="D136" s="57">
        <v>13</v>
      </c>
      <c r="E136" s="58">
        <v>3</v>
      </c>
      <c r="F136" s="59">
        <v>5</v>
      </c>
      <c r="G136" s="60">
        <v>6</v>
      </c>
      <c r="H136" s="61">
        <v>5</v>
      </c>
      <c r="I136" s="18">
        <f t="shared" si="16"/>
        <v>19</v>
      </c>
      <c r="J136" s="27">
        <v>3</v>
      </c>
      <c r="K136" s="53">
        <v>6</v>
      </c>
      <c r="L136" s="28">
        <v>6</v>
      </c>
      <c r="M136" s="53">
        <v>6</v>
      </c>
      <c r="N136" s="18">
        <f t="shared" si="15"/>
        <v>21</v>
      </c>
      <c r="O136" s="27">
        <v>4</v>
      </c>
      <c r="P136" s="53"/>
      <c r="Q136" s="28"/>
    </row>
    <row r="137" spans="1:30" x14ac:dyDescent="0.2">
      <c r="A137" s="55" t="s">
        <v>22</v>
      </c>
      <c r="B137" s="12">
        <v>0</v>
      </c>
      <c r="C137" s="56">
        <v>0</v>
      </c>
      <c r="D137" s="57">
        <v>762</v>
      </c>
      <c r="E137" s="58">
        <v>0</v>
      </c>
      <c r="F137" s="59">
        <v>0</v>
      </c>
      <c r="G137" s="60">
        <v>245</v>
      </c>
      <c r="H137" s="61">
        <v>293</v>
      </c>
      <c r="I137" s="18">
        <f t="shared" si="16"/>
        <v>538</v>
      </c>
      <c r="J137" s="27">
        <v>211</v>
      </c>
      <c r="K137" s="53">
        <v>156</v>
      </c>
      <c r="L137" s="28">
        <v>171</v>
      </c>
      <c r="M137" s="53">
        <v>224</v>
      </c>
      <c r="N137" s="18">
        <f t="shared" si="15"/>
        <v>762</v>
      </c>
      <c r="O137" s="27">
        <v>162</v>
      </c>
      <c r="P137" s="53"/>
      <c r="Q137" s="28"/>
    </row>
    <row r="138" spans="1:30" x14ac:dyDescent="0.2">
      <c r="A138" s="52" t="s">
        <v>23</v>
      </c>
      <c r="B138" s="12">
        <v>0</v>
      </c>
      <c r="C138" s="56">
        <v>0</v>
      </c>
      <c r="D138" s="57">
        <v>323</v>
      </c>
      <c r="E138" s="58">
        <v>0</v>
      </c>
      <c r="F138" s="59">
        <v>0</v>
      </c>
      <c r="G138" s="60">
        <v>0</v>
      </c>
      <c r="H138" s="61">
        <v>279</v>
      </c>
      <c r="I138" s="18">
        <f t="shared" si="16"/>
        <v>279</v>
      </c>
      <c r="J138" s="27">
        <v>208</v>
      </c>
      <c r="K138" s="53">
        <v>155</v>
      </c>
      <c r="L138" s="28">
        <v>128</v>
      </c>
      <c r="M138" s="53">
        <v>211</v>
      </c>
      <c r="N138" s="18">
        <f t="shared" si="15"/>
        <v>702</v>
      </c>
      <c r="O138" s="27">
        <v>128</v>
      </c>
      <c r="P138" s="53"/>
      <c r="Q138" s="28"/>
    </row>
    <row r="139" spans="1:30" ht="17" thickBot="1" x14ac:dyDescent="0.25">
      <c r="A139" s="52" t="s">
        <v>24</v>
      </c>
      <c r="B139" s="34">
        <v>0</v>
      </c>
      <c r="C139" s="63">
        <v>0</v>
      </c>
      <c r="D139" s="64">
        <v>255</v>
      </c>
      <c r="E139" s="65">
        <v>0</v>
      </c>
      <c r="F139" s="66">
        <v>0</v>
      </c>
      <c r="G139" s="67">
        <v>0</v>
      </c>
      <c r="H139" s="68">
        <v>134</v>
      </c>
      <c r="I139" s="38">
        <f t="shared" si="16"/>
        <v>134</v>
      </c>
      <c r="J139" s="35">
        <v>225</v>
      </c>
      <c r="K139" s="49">
        <v>133</v>
      </c>
      <c r="L139" s="37">
        <v>87</v>
      </c>
      <c r="M139" s="49">
        <v>154</v>
      </c>
      <c r="N139" s="18">
        <f t="shared" si="15"/>
        <v>599</v>
      </c>
      <c r="O139" s="35">
        <v>86</v>
      </c>
      <c r="P139" s="49"/>
      <c r="Q139" s="37"/>
      <c r="W139" s="482" t="s">
        <v>131</v>
      </c>
      <c r="X139" s="483"/>
      <c r="Y139" s="484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0</v>
      </c>
      <c r="C140" s="13">
        <v>0</v>
      </c>
      <c r="D140" s="14">
        <v>4</v>
      </c>
      <c r="E140" s="40">
        <v>352</v>
      </c>
      <c r="F140" s="13">
        <v>2</v>
      </c>
      <c r="G140" s="41">
        <v>2</v>
      </c>
      <c r="H140" s="20">
        <v>0</v>
      </c>
      <c r="I140" s="18">
        <f>E140+F140+G140+H140</f>
        <v>356</v>
      </c>
      <c r="J140" s="70">
        <v>0</v>
      </c>
      <c r="K140" s="16">
        <v>0</v>
      </c>
      <c r="L140" s="16">
        <v>2</v>
      </c>
      <c r="M140" s="16">
        <v>2</v>
      </c>
      <c r="N140" s="42">
        <f t="shared" si="15"/>
        <v>4</v>
      </c>
      <c r="O140" s="70">
        <v>7</v>
      </c>
      <c r="P140" s="16"/>
      <c r="Q140" s="16"/>
      <c r="W140" s="439" t="s">
        <v>59</v>
      </c>
      <c r="X140" s="238"/>
      <c r="Y140" s="226" t="s">
        <v>204</v>
      </c>
      <c r="Z140" s="252">
        <f>D139</f>
        <v>255</v>
      </c>
      <c r="AA140" s="252">
        <f>B139+C139+E139</f>
        <v>0</v>
      </c>
      <c r="AB140" s="252">
        <f>F139+G139+H139+J139+K139</f>
        <v>492</v>
      </c>
      <c r="AC140" s="252">
        <f>L139+M139+O139</f>
        <v>327</v>
      </c>
      <c r="AD140" s="252">
        <f>L139+M139+O139+P139+Q139</f>
        <v>327</v>
      </c>
    </row>
    <row r="141" spans="1:30" x14ac:dyDescent="0.2">
      <c r="A141" s="71" t="s">
        <v>30</v>
      </c>
      <c r="B141" s="12">
        <v>0</v>
      </c>
      <c r="C141" s="12">
        <v>0</v>
      </c>
      <c r="D141" s="23">
        <v>2</v>
      </c>
      <c r="E141" s="24">
        <v>540</v>
      </c>
      <c r="F141" s="12">
        <v>0</v>
      </c>
      <c r="G141" s="25">
        <v>5</v>
      </c>
      <c r="H141" s="26">
        <v>0</v>
      </c>
      <c r="I141" s="18">
        <f t="shared" ref="I141:I143" si="17">E141+F141+G141+H141</f>
        <v>545</v>
      </c>
      <c r="J141" s="27">
        <v>0</v>
      </c>
      <c r="K141" s="27">
        <v>1</v>
      </c>
      <c r="L141" s="27">
        <v>11</v>
      </c>
      <c r="M141" s="27">
        <v>5</v>
      </c>
      <c r="N141" s="18">
        <f t="shared" si="15"/>
        <v>17</v>
      </c>
      <c r="O141" s="27">
        <v>10</v>
      </c>
      <c r="P141" s="27"/>
      <c r="Q141" s="27"/>
      <c r="W141" s="439"/>
      <c r="X141" s="238"/>
      <c r="Y141" s="226" t="s">
        <v>211</v>
      </c>
      <c r="Z141" s="253">
        <f>Z140/12</f>
        <v>21.25</v>
      </c>
      <c r="AA141" s="253">
        <f>AA140/5</f>
        <v>0</v>
      </c>
      <c r="AB141" s="253">
        <f>AB140/15</f>
        <v>32.799999999999997</v>
      </c>
      <c r="AC141" s="253">
        <f>AC140/9</f>
        <v>36.333333333333336</v>
      </c>
      <c r="AD141" s="226"/>
    </row>
    <row r="142" spans="1:30" x14ac:dyDescent="0.2">
      <c r="A142" s="71" t="s">
        <v>31</v>
      </c>
      <c r="B142" s="12">
        <v>0</v>
      </c>
      <c r="C142" s="12">
        <v>0</v>
      </c>
      <c r="D142" s="23">
        <v>3</v>
      </c>
      <c r="E142" s="24">
        <v>363</v>
      </c>
      <c r="F142" s="12">
        <v>14</v>
      </c>
      <c r="G142" s="25">
        <v>1</v>
      </c>
      <c r="H142" s="26">
        <v>0</v>
      </c>
      <c r="I142" s="18">
        <f t="shared" si="17"/>
        <v>378</v>
      </c>
      <c r="J142" s="27">
        <v>3</v>
      </c>
      <c r="K142" s="27">
        <v>0</v>
      </c>
      <c r="L142" s="27">
        <v>4</v>
      </c>
      <c r="M142" s="27">
        <v>3</v>
      </c>
      <c r="N142" s="18">
        <f t="shared" si="15"/>
        <v>10</v>
      </c>
      <c r="O142" s="27">
        <v>4</v>
      </c>
      <c r="P142" s="27"/>
      <c r="Q142" s="27"/>
      <c r="W142" s="440" t="s">
        <v>171</v>
      </c>
      <c r="X142" s="237"/>
      <c r="Y142" s="227" t="s">
        <v>212</v>
      </c>
      <c r="Z142" s="272">
        <f>Z143/Z144</f>
        <v>0.5757575757575758</v>
      </c>
      <c r="AA142" s="227">
        <v>0</v>
      </c>
      <c r="AB142" s="272">
        <f t="shared" ref="AB142:AC142" si="18">AB143/AB144</f>
        <v>0.70365722481176052</v>
      </c>
      <c r="AC142" s="272">
        <f t="shared" si="18"/>
        <v>0.87599569429494084</v>
      </c>
      <c r="AD142" s="227"/>
    </row>
    <row r="143" spans="1:30" x14ac:dyDescent="0.2">
      <c r="A143" s="71" t="s">
        <v>32</v>
      </c>
      <c r="B143" s="12">
        <v>0</v>
      </c>
      <c r="C143" s="12">
        <v>0</v>
      </c>
      <c r="D143" s="23">
        <v>50</v>
      </c>
      <c r="E143" s="24">
        <v>816</v>
      </c>
      <c r="F143" s="12">
        <v>25</v>
      </c>
      <c r="G143" s="25">
        <v>17</v>
      </c>
      <c r="H143" s="26">
        <v>2</v>
      </c>
      <c r="I143" s="18">
        <f t="shared" si="17"/>
        <v>860</v>
      </c>
      <c r="J143" s="27">
        <v>7</v>
      </c>
      <c r="K143" s="27">
        <v>8</v>
      </c>
      <c r="L143" s="27">
        <v>22</v>
      </c>
      <c r="M143" s="27">
        <v>15</v>
      </c>
      <c r="N143" s="18">
        <f t="shared" si="15"/>
        <v>52</v>
      </c>
      <c r="O143" s="27">
        <v>24</v>
      </c>
      <c r="P143" s="27"/>
      <c r="Q143" s="27"/>
      <c r="W143" s="440"/>
      <c r="X143" s="237"/>
      <c r="Y143" s="227" t="s">
        <v>217</v>
      </c>
      <c r="Z143" s="227">
        <v>779</v>
      </c>
      <c r="AA143" s="227">
        <v>0</v>
      </c>
      <c r="AB143" s="227">
        <v>11775</v>
      </c>
      <c r="AC143" s="227">
        <v>8138</v>
      </c>
      <c r="AD143" s="227"/>
    </row>
    <row r="144" spans="1:30" x14ac:dyDescent="0.2">
      <c r="A144" s="72" t="s">
        <v>33</v>
      </c>
      <c r="B144" s="73">
        <f>SUM(B140:B143)</f>
        <v>0</v>
      </c>
      <c r="C144" s="73">
        <f>SUM(C140:C143)</f>
        <v>0</v>
      </c>
      <c r="D144" s="73">
        <f>SUM(D140:D143)</f>
        <v>59</v>
      </c>
      <c r="E144" s="73">
        <f t="shared" ref="E144:G144" si="19">SUM(E140:E143)</f>
        <v>2071</v>
      </c>
      <c r="F144" s="73">
        <f t="shared" si="19"/>
        <v>41</v>
      </c>
      <c r="G144" s="73">
        <f t="shared" si="19"/>
        <v>25</v>
      </c>
      <c r="H144" s="73">
        <f>SUM(H140:H143)</f>
        <v>2</v>
      </c>
      <c r="I144" s="18">
        <f>E144+F144+G144+H144</f>
        <v>2139</v>
      </c>
      <c r="J144" s="75">
        <f t="shared" ref="J144:M144" si="20">SUM(J140:J143)</f>
        <v>10</v>
      </c>
      <c r="K144" s="75">
        <f t="shared" si="20"/>
        <v>9</v>
      </c>
      <c r="L144" s="75">
        <f t="shared" si="20"/>
        <v>39</v>
      </c>
      <c r="M144" s="75">
        <f t="shared" si="20"/>
        <v>25</v>
      </c>
      <c r="N144" s="18">
        <f t="shared" si="15"/>
        <v>83</v>
      </c>
      <c r="O144" s="75"/>
      <c r="P144" s="75"/>
      <c r="Q144" s="75"/>
      <c r="W144" s="440"/>
      <c r="X144" s="237"/>
      <c r="Y144" s="227" t="s">
        <v>218</v>
      </c>
      <c r="Z144" s="227">
        <v>1353</v>
      </c>
      <c r="AA144" s="227">
        <v>0</v>
      </c>
      <c r="AB144" s="227">
        <v>16734</v>
      </c>
      <c r="AC144" s="227">
        <v>9290</v>
      </c>
      <c r="AD144" s="227"/>
    </row>
    <row r="145" spans="1:30" x14ac:dyDescent="0.2">
      <c r="A145" s="71" t="s">
        <v>34</v>
      </c>
      <c r="B145" s="26">
        <v>0</v>
      </c>
      <c r="C145" s="26">
        <v>0</v>
      </c>
      <c r="D145" s="54">
        <v>762</v>
      </c>
      <c r="E145" s="27">
        <v>54</v>
      </c>
      <c r="F145" s="26">
        <v>0</v>
      </c>
      <c r="G145" s="25">
        <v>245</v>
      </c>
      <c r="H145" s="26">
        <v>293</v>
      </c>
      <c r="I145" s="18">
        <f t="shared" ref="I145:I156" si="21">E145+F145+G145+H145</f>
        <v>592</v>
      </c>
      <c r="J145" s="27">
        <v>211</v>
      </c>
      <c r="K145" s="27">
        <v>156</v>
      </c>
      <c r="L145" s="27">
        <v>171</v>
      </c>
      <c r="M145" s="27">
        <v>224</v>
      </c>
      <c r="N145" s="18">
        <f t="shared" si="15"/>
        <v>762</v>
      </c>
      <c r="O145" s="27">
        <v>162</v>
      </c>
      <c r="P145" s="27"/>
      <c r="Q145" s="27"/>
      <c r="W145" s="441" t="s">
        <v>180</v>
      </c>
      <c r="X145" s="239"/>
      <c r="Y145" s="228" t="s">
        <v>213</v>
      </c>
      <c r="Z145" s="274">
        <f>Z146/Z147</f>
        <v>0.33185513673318551</v>
      </c>
      <c r="AA145" s="228">
        <v>0</v>
      </c>
      <c r="AB145" s="274">
        <f t="shared" ref="AB145:AC145" si="22">AB146/AB147</f>
        <v>0.50746982191944545</v>
      </c>
      <c r="AC145" s="274">
        <f t="shared" si="22"/>
        <v>0.78223896663078574</v>
      </c>
      <c r="AD145" s="228"/>
    </row>
    <row r="146" spans="1:30" x14ac:dyDescent="0.2">
      <c r="A146" s="71" t="s">
        <v>35</v>
      </c>
      <c r="B146" s="26">
        <v>0</v>
      </c>
      <c r="C146" s="26">
        <v>0</v>
      </c>
      <c r="D146" s="54">
        <v>323</v>
      </c>
      <c r="E146" s="27">
        <v>41</v>
      </c>
      <c r="F146" s="26">
        <v>0</v>
      </c>
      <c r="G146" s="25">
        <v>0</v>
      </c>
      <c r="H146" s="26">
        <v>279</v>
      </c>
      <c r="I146" s="18">
        <f t="shared" si="21"/>
        <v>320</v>
      </c>
      <c r="J146" s="27">
        <v>208</v>
      </c>
      <c r="K146" s="53">
        <v>155</v>
      </c>
      <c r="L146" s="53">
        <v>128</v>
      </c>
      <c r="M146" s="53">
        <v>211</v>
      </c>
      <c r="N146" s="18">
        <f t="shared" si="15"/>
        <v>702</v>
      </c>
      <c r="O146" s="27">
        <v>128</v>
      </c>
      <c r="P146" s="53"/>
      <c r="Q146" s="53"/>
      <c r="W146" s="441"/>
      <c r="X146" s="239"/>
      <c r="Y146" s="228" t="s">
        <v>219</v>
      </c>
      <c r="Z146" s="228">
        <v>449</v>
      </c>
      <c r="AA146" s="228">
        <v>0</v>
      </c>
      <c r="AB146" s="228">
        <v>8492</v>
      </c>
      <c r="AC146" s="228">
        <v>7267</v>
      </c>
      <c r="AD146" s="228"/>
    </row>
    <row r="147" spans="1:30" x14ac:dyDescent="0.2">
      <c r="A147" s="71" t="s">
        <v>36</v>
      </c>
      <c r="B147" s="26">
        <v>0</v>
      </c>
      <c r="C147" s="26">
        <v>0</v>
      </c>
      <c r="D147" s="54">
        <v>255</v>
      </c>
      <c r="E147" s="27">
        <v>26</v>
      </c>
      <c r="F147" s="26">
        <v>0</v>
      </c>
      <c r="G147" s="25">
        <v>0</v>
      </c>
      <c r="H147" s="26">
        <v>134</v>
      </c>
      <c r="I147" s="18">
        <f t="shared" si="21"/>
        <v>160</v>
      </c>
      <c r="J147" s="27">
        <v>225</v>
      </c>
      <c r="K147" s="53">
        <v>133</v>
      </c>
      <c r="L147" s="53">
        <v>87</v>
      </c>
      <c r="M147" s="53">
        <v>154</v>
      </c>
      <c r="N147" s="18">
        <f t="shared" si="15"/>
        <v>599</v>
      </c>
      <c r="O147" s="27">
        <v>86</v>
      </c>
      <c r="P147" s="53"/>
      <c r="Q147" s="53"/>
      <c r="W147" s="441"/>
      <c r="X147" s="239"/>
      <c r="Y147" s="228" t="s">
        <v>218</v>
      </c>
      <c r="Z147" s="228">
        <v>1353</v>
      </c>
      <c r="AA147" s="228">
        <v>0</v>
      </c>
      <c r="AB147" s="228">
        <v>16734</v>
      </c>
      <c r="AC147" s="228">
        <v>9290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1"/>
        <v>0</v>
      </c>
      <c r="J148" s="27">
        <v>8</v>
      </c>
      <c r="K148" s="27">
        <v>3</v>
      </c>
      <c r="L148" s="27">
        <v>23</v>
      </c>
      <c r="M148" s="27">
        <v>9</v>
      </c>
      <c r="N148" s="18">
        <f t="shared" si="15"/>
        <v>43</v>
      </c>
      <c r="O148" s="27">
        <v>15</v>
      </c>
      <c r="P148" s="27"/>
      <c r="Q148" s="27"/>
      <c r="W148" s="442" t="s">
        <v>173</v>
      </c>
      <c r="X148" s="240"/>
      <c r="Y148" s="229" t="s">
        <v>214</v>
      </c>
      <c r="Z148" s="254">
        <f>(D127+D130)/(D126+D129)</f>
        <v>0.38020833333333331</v>
      </c>
      <c r="AA148" s="254">
        <f>(B127+C127+E127+B130+C130+E130)/(B126+C126+E126+B129+C129+E129)</f>
        <v>0.59545454545454546</v>
      </c>
      <c r="AB148" s="254">
        <f>(F127+G127+H127+J127+K127+F130+G130+H130+J130+K130)/(F126+G126+H126+J126+K126+F129+G129+H129+J129+K129)</f>
        <v>0.89618922470433637</v>
      </c>
      <c r="AC148" s="254">
        <f>(L127+M127+O127+L130+M130+O130)/(L126+M126+O126+L129+M129+O129)</f>
        <v>1</v>
      </c>
      <c r="AD148" s="254">
        <f>(L127+M127+O127+P127+Q127+L130+M130+O130+P130+Q130)/(L126+M126+O126+P126+Q126+L129+M129+O129+P129+Q129)</f>
        <v>1</v>
      </c>
    </row>
    <row r="149" spans="1:30" x14ac:dyDescent="0.2">
      <c r="A149" s="71" t="s">
        <v>37</v>
      </c>
      <c r="B149" s="26">
        <v>0</v>
      </c>
      <c r="C149" s="26">
        <v>0</v>
      </c>
      <c r="D149" s="54">
        <v>27</v>
      </c>
      <c r="E149" s="27">
        <v>2071</v>
      </c>
      <c r="F149" s="26">
        <v>41</v>
      </c>
      <c r="G149" s="25">
        <v>25</v>
      </c>
      <c r="H149" s="26">
        <v>2</v>
      </c>
      <c r="I149" s="18">
        <f t="shared" si="21"/>
        <v>2139</v>
      </c>
      <c r="J149" s="27">
        <v>2</v>
      </c>
      <c r="K149" s="27">
        <v>6</v>
      </c>
      <c r="L149" s="27">
        <v>16</v>
      </c>
      <c r="M149" s="27">
        <v>16</v>
      </c>
      <c r="N149" s="18">
        <f t="shared" si="15"/>
        <v>40</v>
      </c>
      <c r="O149" s="27">
        <v>32</v>
      </c>
      <c r="P149" s="27"/>
      <c r="Q149" s="27"/>
      <c r="W149" s="442"/>
      <c r="X149" s="240"/>
      <c r="Y149" s="229" t="s">
        <v>215</v>
      </c>
      <c r="Z149" s="255">
        <f>(D127+D130)</f>
        <v>73</v>
      </c>
      <c r="AA149" s="255">
        <f>(B127+C127+E127+B130+C130+E130)</f>
        <v>131</v>
      </c>
      <c r="AB149" s="255">
        <f>F127+G127+H127+J127+K127+F130+G130+H130+J130+K130</f>
        <v>1364</v>
      </c>
      <c r="AC149" s="255">
        <f>L127+M127+O127+L130+M130+O130</f>
        <v>1707</v>
      </c>
      <c r="AD149" s="255">
        <f>(L127+M127+O127+P127+Q127+L130+M130+O130+P130+Q130)</f>
        <v>1707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34</v>
      </c>
      <c r="I150" s="18">
        <f t="shared" si="21"/>
        <v>34</v>
      </c>
      <c r="J150" s="27">
        <v>163</v>
      </c>
      <c r="K150" s="27">
        <v>33</v>
      </c>
      <c r="L150" s="27">
        <v>425</v>
      </c>
      <c r="M150" s="27">
        <v>179</v>
      </c>
      <c r="N150" s="18">
        <f t="shared" si="15"/>
        <v>800</v>
      </c>
      <c r="O150" s="27">
        <v>123</v>
      </c>
      <c r="P150" s="27"/>
      <c r="Q150" s="27"/>
      <c r="W150" s="442"/>
      <c r="X150" s="240"/>
      <c r="Y150" s="229" t="s">
        <v>216</v>
      </c>
      <c r="Z150" s="255">
        <f>D126+D129</f>
        <v>192</v>
      </c>
      <c r="AA150" s="255">
        <f>(B126+C126+E126+B129+C129+E129)</f>
        <v>220</v>
      </c>
      <c r="AB150" s="255">
        <f>F126+G126+H126+J126+K126+F129+G129+H129+J129+K129</f>
        <v>1522</v>
      </c>
      <c r="AC150" s="255">
        <f>(L126+M126+O126+L129+M129+O129)</f>
        <v>1707</v>
      </c>
      <c r="AD150" s="255">
        <f>(L126+M126+O126+P126+Q126+L129+M129+O129+P129+Q129)</f>
        <v>1707</v>
      </c>
    </row>
    <row r="151" spans="1:30" x14ac:dyDescent="0.2">
      <c r="A151" s="71" t="s">
        <v>39</v>
      </c>
      <c r="B151" s="26">
        <v>0</v>
      </c>
      <c r="C151" s="26">
        <v>0</v>
      </c>
      <c r="D151" s="54">
        <v>662</v>
      </c>
      <c r="E151" s="27">
        <v>1975</v>
      </c>
      <c r="F151" s="26">
        <v>608</v>
      </c>
      <c r="G151" s="25">
        <v>450</v>
      </c>
      <c r="H151" s="26">
        <v>58</v>
      </c>
      <c r="I151" s="18">
        <f t="shared" si="21"/>
        <v>3091</v>
      </c>
      <c r="J151" s="27">
        <v>69</v>
      </c>
      <c r="K151" s="27">
        <v>219</v>
      </c>
      <c r="L151" s="27">
        <v>342</v>
      </c>
      <c r="M151" s="27">
        <v>212</v>
      </c>
      <c r="N151" s="18">
        <f t="shared" si="15"/>
        <v>842</v>
      </c>
      <c r="O151" s="27">
        <v>295</v>
      </c>
      <c r="P151" s="27"/>
      <c r="Q151" s="27"/>
      <c r="W151" s="423" t="s">
        <v>174</v>
      </c>
      <c r="X151" s="241"/>
      <c r="Y151" s="230" t="s">
        <v>220</v>
      </c>
      <c r="Z151" s="256">
        <f>D144</f>
        <v>59</v>
      </c>
      <c r="AA151" s="256">
        <f>B144+C144+E144</f>
        <v>2071</v>
      </c>
      <c r="AB151" s="256">
        <f>F144+G144+H144+J144+K144</f>
        <v>87</v>
      </c>
      <c r="AC151" s="256">
        <f>L144+M144+O144</f>
        <v>64</v>
      </c>
      <c r="AD151" s="256">
        <f>L144+M144+O144+P144+Q144</f>
        <v>64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1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5"/>
        <v>0</v>
      </c>
      <c r="O152" s="27">
        <v>0</v>
      </c>
      <c r="P152" s="27"/>
      <c r="Q152" s="27"/>
      <c r="W152" s="423"/>
      <c r="X152" s="241"/>
      <c r="Y152" s="230" t="s">
        <v>221</v>
      </c>
      <c r="Z152" s="260">
        <f>Z151/12</f>
        <v>4.916666666666667</v>
      </c>
      <c r="AA152" s="260">
        <f>AA151/5</f>
        <v>414.2</v>
      </c>
      <c r="AB152" s="260">
        <f>AB151/15</f>
        <v>5.8</v>
      </c>
      <c r="AC152" s="260">
        <f>AC151/9</f>
        <v>7.1111111111111107</v>
      </c>
      <c r="AD152" s="230"/>
    </row>
    <row r="153" spans="1:30" x14ac:dyDescent="0.2">
      <c r="A153" s="71" t="s">
        <v>41</v>
      </c>
      <c r="B153" s="26">
        <v>0</v>
      </c>
      <c r="C153" s="26">
        <v>0</v>
      </c>
      <c r="D153" s="54">
        <v>0</v>
      </c>
      <c r="E153" s="27">
        <v>0</v>
      </c>
      <c r="F153" s="26">
        <v>0</v>
      </c>
      <c r="G153" s="25">
        <v>5</v>
      </c>
      <c r="H153" s="26">
        <v>1</v>
      </c>
      <c r="I153" s="18">
        <f t="shared" si="21"/>
        <v>6</v>
      </c>
      <c r="J153" s="27">
        <v>0</v>
      </c>
      <c r="K153" s="53">
        <v>0</v>
      </c>
      <c r="L153" s="53">
        <v>0</v>
      </c>
      <c r="M153" s="53">
        <v>0</v>
      </c>
      <c r="N153" s="18">
        <f t="shared" si="15"/>
        <v>0</v>
      </c>
      <c r="O153" s="27">
        <v>0</v>
      </c>
      <c r="P153" s="53"/>
      <c r="Q153" s="53"/>
      <c r="W153" s="446" t="s">
        <v>175</v>
      </c>
      <c r="X153" s="242"/>
      <c r="Y153" s="231" t="s">
        <v>178</v>
      </c>
      <c r="Z153" s="261">
        <f>D128+D131</f>
        <v>31</v>
      </c>
      <c r="AA153" s="261">
        <f>B128+C128+E128+B131+C131+E131</f>
        <v>15</v>
      </c>
      <c r="AB153" s="261">
        <f>F128+G128+H128+J128+K128+F131+G131+H131+J131+K131</f>
        <v>67</v>
      </c>
      <c r="AC153" s="261">
        <f>L128+M128+O128+L131+M131+O131</f>
        <v>111</v>
      </c>
      <c r="AD153" s="261">
        <f>L128+M128+O128+P128+Q128+L131+M131+O131+P131+Q131</f>
        <v>111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34</v>
      </c>
      <c r="I154" s="18">
        <f t="shared" si="21"/>
        <v>34</v>
      </c>
      <c r="J154" s="27">
        <v>171</v>
      </c>
      <c r="K154" s="26">
        <v>36</v>
      </c>
      <c r="L154" s="26">
        <v>448</v>
      </c>
      <c r="M154" s="26">
        <v>188</v>
      </c>
      <c r="N154" s="18">
        <f t="shared" si="15"/>
        <v>843</v>
      </c>
      <c r="O154" s="27">
        <v>138</v>
      </c>
      <c r="P154" s="26"/>
      <c r="Q154" s="26"/>
      <c r="W154" s="446"/>
      <c r="X154" s="242"/>
      <c r="Y154" s="231" t="s">
        <v>222</v>
      </c>
      <c r="Z154" s="262">
        <f>Z153/12</f>
        <v>2.5833333333333335</v>
      </c>
      <c r="AA154" s="262">
        <f>AA153/5</f>
        <v>3</v>
      </c>
      <c r="AB154" s="262">
        <f>AB153/15</f>
        <v>4.4666666666666668</v>
      </c>
      <c r="AC154" s="262">
        <f>AC153/9</f>
        <v>12.333333333333334</v>
      </c>
      <c r="AD154" s="242"/>
    </row>
    <row r="155" spans="1:30" x14ac:dyDescent="0.2">
      <c r="A155" s="71" t="s">
        <v>43</v>
      </c>
      <c r="B155" s="26">
        <v>0</v>
      </c>
      <c r="C155" s="26">
        <v>0</v>
      </c>
      <c r="D155" s="54">
        <v>689</v>
      </c>
      <c r="E155" s="27">
        <v>4046</v>
      </c>
      <c r="F155" s="26">
        <v>649</v>
      </c>
      <c r="G155" s="25">
        <v>475</v>
      </c>
      <c r="H155" s="26">
        <v>60</v>
      </c>
      <c r="I155" s="18">
        <f t="shared" si="21"/>
        <v>5230</v>
      </c>
      <c r="J155" s="27">
        <v>71</v>
      </c>
      <c r="K155" s="26">
        <v>225</v>
      </c>
      <c r="L155" s="26">
        <v>358</v>
      </c>
      <c r="M155" s="26">
        <v>228</v>
      </c>
      <c r="N155" s="18">
        <f t="shared" si="15"/>
        <v>882</v>
      </c>
      <c r="O155" s="27">
        <v>327</v>
      </c>
      <c r="P155" s="26"/>
      <c r="Q155" s="26"/>
      <c r="W155" s="446"/>
      <c r="X155" s="242"/>
      <c r="Y155" s="231" t="s">
        <v>179</v>
      </c>
      <c r="Z155" s="261">
        <f>D148+D149</f>
        <v>27</v>
      </c>
      <c r="AA155" s="261">
        <f>B148+C148+E148+B149+C149+E149</f>
        <v>2071</v>
      </c>
      <c r="AB155" s="261">
        <f>F148+G148+H148+J148+K148+F149+G149+H149+J149+K149</f>
        <v>87</v>
      </c>
      <c r="AC155" s="261">
        <f>L148+M148+O148+L149+M149+O149</f>
        <v>111</v>
      </c>
      <c r="AD155" s="261">
        <f>L148+M148+O148+P148+Q148+L149+M149+O149+P149+Q149</f>
        <v>111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21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5"/>
        <v>0</v>
      </c>
      <c r="O156" s="48">
        <v>0</v>
      </c>
      <c r="P156" s="77"/>
      <c r="Q156" s="77"/>
      <c r="W156" s="446"/>
      <c r="X156" s="242"/>
      <c r="Y156" s="231" t="s">
        <v>223</v>
      </c>
      <c r="Z156" s="261">
        <f>Z155/12</f>
        <v>2.25</v>
      </c>
      <c r="AA156" s="261">
        <f>AA155/5</f>
        <v>414.2</v>
      </c>
      <c r="AB156" s="261">
        <f>AB155/15</f>
        <v>5.8</v>
      </c>
      <c r="AC156" s="261">
        <f>AC155/9</f>
        <v>12.333333333333334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v>0</v>
      </c>
      <c r="N157" s="167"/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237</v>
      </c>
      <c r="AA157" s="263" t="s">
        <v>277</v>
      </c>
      <c r="AB157" s="264" t="s">
        <v>239</v>
      </c>
      <c r="AC157" s="263" t="s">
        <v>275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0</v>
      </c>
      <c r="N158" s="168"/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282</v>
      </c>
      <c r="AA158" s="265" t="s">
        <v>283</v>
      </c>
      <c r="AB158" s="265" t="s">
        <v>284</v>
      </c>
      <c r="AC158" s="265" t="s">
        <v>273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0</v>
      </c>
      <c r="N159" s="168"/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0</v>
      </c>
      <c r="N160" s="168"/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0</v>
      </c>
      <c r="N161" s="169"/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0</v>
      </c>
      <c r="N162" s="168"/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0</v>
      </c>
      <c r="N163" s="170"/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0</v>
      </c>
      <c r="N164" s="170"/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0</v>
      </c>
      <c r="N165" s="168"/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0</v>
      </c>
      <c r="N166" s="168"/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68"/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0</v>
      </c>
      <c r="N168" s="168"/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0</v>
      </c>
      <c r="N169" s="168"/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70"/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0</v>
      </c>
      <c r="N171" s="168"/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171"/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48:W150"/>
    <mergeCell ref="W151:W152"/>
    <mergeCell ref="W153:W156"/>
    <mergeCell ref="X2:X4"/>
    <mergeCell ref="X5:X7"/>
    <mergeCell ref="X8:X10"/>
    <mergeCell ref="W2:W10"/>
    <mergeCell ref="X20:X23"/>
    <mergeCell ref="X24:X27"/>
    <mergeCell ref="W109:W112"/>
    <mergeCell ref="W115:W118"/>
    <mergeCell ref="W41:W43"/>
    <mergeCell ref="W44:W47"/>
    <mergeCell ref="W95:W98"/>
    <mergeCell ref="W81:Y81"/>
    <mergeCell ref="W82:W83"/>
    <mergeCell ref="W1:Y1"/>
    <mergeCell ref="W139:Y139"/>
    <mergeCell ref="X28:X31"/>
    <mergeCell ref="X11:X13"/>
    <mergeCell ref="X14:X16"/>
    <mergeCell ref="X17:X19"/>
    <mergeCell ref="W11:W19"/>
    <mergeCell ref="W20:W31"/>
    <mergeCell ref="W140:W141"/>
    <mergeCell ref="W142:W144"/>
    <mergeCell ref="W145:W147"/>
    <mergeCell ref="W32:W40"/>
    <mergeCell ref="X32:X34"/>
    <mergeCell ref="X35:X37"/>
    <mergeCell ref="X38:X40"/>
    <mergeCell ref="W93:W94"/>
    <mergeCell ref="W90:W92"/>
    <mergeCell ref="W84:W86"/>
    <mergeCell ref="W87:W89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5F7D-C2FB-434F-8AB6-D6BC395620CD}">
  <dimension ref="A1:AD173"/>
  <sheetViews>
    <sheetView topLeftCell="S47" zoomScale="54" workbookViewId="0">
      <selection activeCell="AB159" sqref="AB159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3" width="7.83203125" customWidth="1"/>
    <col min="14" max="14" width="20.83203125" customWidth="1"/>
    <col min="15" max="15" width="16.83203125" customWidth="1"/>
    <col min="18" max="21" width="34.1640625" customWidth="1"/>
    <col min="22" max="22" width="44.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157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1" t="s">
        <v>246</v>
      </c>
      <c r="X1" s="481"/>
      <c r="Y1" s="481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902</v>
      </c>
      <c r="C2" s="12">
        <v>1001</v>
      </c>
      <c r="D2" s="14">
        <v>14010</v>
      </c>
      <c r="E2" s="15">
        <v>2078</v>
      </c>
      <c r="F2" s="13">
        <v>1697</v>
      </c>
      <c r="G2" s="16">
        <v>1818</v>
      </c>
      <c r="H2" s="17">
        <v>3091</v>
      </c>
      <c r="I2" s="18">
        <f>E2+F2+G2+H2</f>
        <v>8684</v>
      </c>
      <c r="J2" s="19">
        <v>4101</v>
      </c>
      <c r="K2" s="20">
        <v>3081</v>
      </c>
      <c r="L2" s="21">
        <v>4194</v>
      </c>
      <c r="M2" s="20">
        <v>2795</v>
      </c>
      <c r="N2" s="18">
        <f t="shared" ref="N2:N40" si="0">SUM(J2:M2)</f>
        <v>14171</v>
      </c>
      <c r="O2" s="19">
        <v>1101</v>
      </c>
      <c r="P2" s="20"/>
      <c r="Q2" s="21"/>
      <c r="W2" s="387" t="s">
        <v>51</v>
      </c>
      <c r="X2" s="387" t="s">
        <v>226</v>
      </c>
      <c r="Y2" s="243" t="s">
        <v>188</v>
      </c>
      <c r="Z2" s="247">
        <f>((D12+D15)/(D10+D13))*1000</f>
        <v>222.72469133205729</v>
      </c>
      <c r="AA2" s="247">
        <f>((B12+C12+E12+B15+C15+E15)/(B10+C10+E10+B13+C13+E13))*1000</f>
        <v>211.71049729173305</v>
      </c>
      <c r="AB2" s="247">
        <f>((F12+G12+H12+J12+K12+F15+G15+H15+J15+K15)/(F10+G10+H10+J10+K10+F13+G13+H13+J13+K13))*1000</f>
        <v>157.76328251504691</v>
      </c>
      <c r="AC2" s="247">
        <f>((L12+M12+O12+L15+M15+O15)/(L10+M10+O10+L13+M13+O13))*1000</f>
        <v>202.69740634005765</v>
      </c>
      <c r="AD2" s="247">
        <f>((L12+M12+O12+P12+Q12+L15+M15+O15+P15+Q15)/(L10+M10+O10+P10+Q10+L13+M13+O13+P13+Q13))*1000</f>
        <v>202.69740634005765</v>
      </c>
    </row>
    <row r="3" spans="1:30" x14ac:dyDescent="0.2">
      <c r="A3" s="22" t="s">
        <v>10</v>
      </c>
      <c r="B3" s="12">
        <v>92</v>
      </c>
      <c r="C3" s="12">
        <v>175</v>
      </c>
      <c r="D3" s="23">
        <v>1597</v>
      </c>
      <c r="E3" s="24">
        <v>240</v>
      </c>
      <c r="F3" s="12">
        <v>207</v>
      </c>
      <c r="G3" s="25">
        <v>147</v>
      </c>
      <c r="H3" s="26">
        <v>128</v>
      </c>
      <c r="I3" s="18">
        <f t="shared" ref="I3:I40" si="1">E3+F3+G3+H3</f>
        <v>722</v>
      </c>
      <c r="J3" s="27">
        <v>190</v>
      </c>
      <c r="K3" s="26">
        <v>142</v>
      </c>
      <c r="L3" s="28">
        <v>227</v>
      </c>
      <c r="M3" s="26">
        <v>96</v>
      </c>
      <c r="N3" s="18">
        <f t="shared" si="0"/>
        <v>655</v>
      </c>
      <c r="O3" s="27">
        <v>38</v>
      </c>
      <c r="P3" s="26"/>
      <c r="Q3" s="28"/>
      <c r="W3" s="388"/>
      <c r="X3" s="388"/>
      <c r="Y3" s="217" t="s">
        <v>229</v>
      </c>
      <c r="Z3" s="236">
        <f>D12+D15</f>
        <v>21178</v>
      </c>
      <c r="AA3" s="236">
        <f>B12+C12+E12+B15+C15+E15</f>
        <v>8638</v>
      </c>
      <c r="AB3" s="236">
        <f>F12+G12+H12+J12+K12+F15+G15+H15+J15+K15</f>
        <v>20655</v>
      </c>
      <c r="AC3" s="236">
        <f>L12+M12+O12+L15+M15+O15</f>
        <v>17584</v>
      </c>
      <c r="AD3" s="236">
        <f>L12+M12+O12+P12+Q12+L15+M15+O15+P15+Q15</f>
        <v>17584</v>
      </c>
    </row>
    <row r="4" spans="1:30" x14ac:dyDescent="0.2">
      <c r="A4" s="22" t="s">
        <v>13</v>
      </c>
      <c r="B4" s="12">
        <v>2773</v>
      </c>
      <c r="C4" s="12">
        <v>3613</v>
      </c>
      <c r="D4" s="23">
        <v>45929</v>
      </c>
      <c r="E4" s="24">
        <v>6673</v>
      </c>
      <c r="F4" s="12">
        <v>6207</v>
      </c>
      <c r="G4" s="25">
        <v>7705</v>
      </c>
      <c r="H4" s="26">
        <v>9447</v>
      </c>
      <c r="I4" s="18">
        <f t="shared" si="1"/>
        <v>30032</v>
      </c>
      <c r="J4" s="27">
        <v>11576</v>
      </c>
      <c r="K4" s="26">
        <v>9103</v>
      </c>
      <c r="L4" s="28">
        <v>10276</v>
      </c>
      <c r="M4" s="26">
        <v>6082</v>
      </c>
      <c r="N4" s="18">
        <f t="shared" si="0"/>
        <v>37037</v>
      </c>
      <c r="O4" s="27">
        <v>2385</v>
      </c>
      <c r="P4" s="26"/>
      <c r="Q4" s="28"/>
      <c r="W4" s="388"/>
      <c r="X4" s="389"/>
      <c r="Y4" s="217" t="s">
        <v>216</v>
      </c>
      <c r="Z4" s="236">
        <f>D10+D13</f>
        <v>95086</v>
      </c>
      <c r="AA4" s="236">
        <f>(B10+C10+E10+B13+C13+E13)</f>
        <v>40801</v>
      </c>
      <c r="AB4" s="236">
        <f>F10+G10+H10+J10+K10+F13+G13+H13+J13+K13</f>
        <v>130924</v>
      </c>
      <c r="AC4" s="236">
        <f>L10+M10+O10+L13+M13+O13</f>
        <v>86750</v>
      </c>
      <c r="AD4" s="236">
        <f>L10+M10+O10+P10+Q10+L13+M13+O13+P13+Q13</f>
        <v>86750</v>
      </c>
    </row>
    <row r="5" spans="1:30" x14ac:dyDescent="0.2">
      <c r="A5" s="22" t="s">
        <v>9</v>
      </c>
      <c r="B5" s="12">
        <v>146</v>
      </c>
      <c r="C5" s="12">
        <v>375</v>
      </c>
      <c r="D5" s="23">
        <v>4306</v>
      </c>
      <c r="E5" s="24">
        <v>782</v>
      </c>
      <c r="F5" s="12">
        <v>790</v>
      </c>
      <c r="G5" s="25">
        <v>656</v>
      </c>
      <c r="H5" s="26">
        <v>396</v>
      </c>
      <c r="I5" s="18">
        <f t="shared" si="1"/>
        <v>2624</v>
      </c>
      <c r="J5" s="27">
        <v>805</v>
      </c>
      <c r="K5" s="26">
        <v>544</v>
      </c>
      <c r="L5" s="28">
        <v>810</v>
      </c>
      <c r="M5" s="26">
        <v>263</v>
      </c>
      <c r="N5" s="18">
        <f t="shared" si="0"/>
        <v>2422</v>
      </c>
      <c r="O5" s="27">
        <v>196</v>
      </c>
      <c r="P5" s="26"/>
      <c r="Q5" s="28"/>
      <c r="W5" s="388"/>
      <c r="X5" s="387" t="s">
        <v>227</v>
      </c>
      <c r="Y5" s="217" t="s">
        <v>188</v>
      </c>
      <c r="Z5" s="247">
        <f>(D12/D10)*1000</f>
        <v>155.84273354506627</v>
      </c>
      <c r="AA5" s="247">
        <f>((B12+C12+E12)/(B10+C10+E10))*1000</f>
        <v>167.29750189250566</v>
      </c>
      <c r="AB5" s="247">
        <f>((F12+G12+H12+J12+K12)/(F10+G10+H10+J10+K10))*1000</f>
        <v>118.73293621245968</v>
      </c>
      <c r="AC5" s="247">
        <f>((L12+M12+O12)/(L10+M10+O10))*1000</f>
        <v>148.5222761358624</v>
      </c>
      <c r="AD5" s="247">
        <f>((L12+M12+O12+P12+Q12)/(L10+M10+O10+P10+Q10))*1000</f>
        <v>148.5222761358624</v>
      </c>
    </row>
    <row r="6" spans="1:30" x14ac:dyDescent="0.2">
      <c r="A6" s="22" t="s">
        <v>11</v>
      </c>
      <c r="B6" s="12">
        <v>1303</v>
      </c>
      <c r="C6" s="12">
        <v>1885</v>
      </c>
      <c r="D6" s="23">
        <v>11203</v>
      </c>
      <c r="E6" s="24">
        <v>4086</v>
      </c>
      <c r="F6" s="12">
        <v>4490</v>
      </c>
      <c r="G6" s="25">
        <v>4335</v>
      </c>
      <c r="H6" s="26">
        <v>2676</v>
      </c>
      <c r="I6" s="18">
        <f t="shared" si="1"/>
        <v>15587</v>
      </c>
      <c r="J6" s="27">
        <v>2328</v>
      </c>
      <c r="K6" s="26">
        <v>2808</v>
      </c>
      <c r="L6" s="28">
        <v>4840</v>
      </c>
      <c r="M6" s="26">
        <v>4321</v>
      </c>
      <c r="N6" s="18">
        <f t="shared" si="0"/>
        <v>14297</v>
      </c>
      <c r="O6" s="27">
        <v>1690</v>
      </c>
      <c r="P6" s="26"/>
      <c r="Q6" s="28"/>
      <c r="W6" s="388"/>
      <c r="X6" s="388"/>
      <c r="Y6" s="217" t="s">
        <v>229</v>
      </c>
      <c r="Z6" s="236">
        <f>D12</f>
        <v>4269</v>
      </c>
      <c r="AA6" s="236">
        <f>B12+C12+E12</f>
        <v>1989</v>
      </c>
      <c r="AB6" s="236">
        <f>F12+G12+H12+J12+K12</f>
        <v>3827</v>
      </c>
      <c r="AC6" s="236">
        <f>L12+M12+O12</f>
        <v>3367</v>
      </c>
      <c r="AD6" s="236">
        <f>L12+M12+O12+P12+Q12</f>
        <v>3367</v>
      </c>
    </row>
    <row r="7" spans="1:30" ht="15" customHeight="1" x14ac:dyDescent="0.2">
      <c r="A7" s="11" t="s">
        <v>7</v>
      </c>
      <c r="B7" s="12">
        <v>219</v>
      </c>
      <c r="C7" s="12">
        <v>344</v>
      </c>
      <c r="D7" s="23">
        <v>2133</v>
      </c>
      <c r="E7" s="24">
        <v>541</v>
      </c>
      <c r="F7" s="12">
        <v>261</v>
      </c>
      <c r="G7" s="25">
        <v>426</v>
      </c>
      <c r="H7" s="26">
        <v>359</v>
      </c>
      <c r="I7" s="18">
        <f t="shared" si="1"/>
        <v>1587</v>
      </c>
      <c r="J7" s="27">
        <v>520</v>
      </c>
      <c r="K7" s="26">
        <v>721</v>
      </c>
      <c r="L7" s="28">
        <v>1493</v>
      </c>
      <c r="M7" s="26">
        <v>1031</v>
      </c>
      <c r="N7" s="18">
        <f t="shared" si="0"/>
        <v>3765</v>
      </c>
      <c r="O7" s="27">
        <v>460</v>
      </c>
      <c r="P7" s="26"/>
      <c r="Q7" s="28"/>
      <c r="W7" s="388"/>
      <c r="X7" s="389"/>
      <c r="Y7" s="217" t="s">
        <v>216</v>
      </c>
      <c r="Z7" s="236">
        <f>D10</f>
        <v>27393</v>
      </c>
      <c r="AA7" s="236">
        <f>B10+C10+E10</f>
        <v>11889</v>
      </c>
      <c r="AB7" s="236">
        <f>F10+G10+H10+J10+K10</f>
        <v>32232</v>
      </c>
      <c r="AC7" s="236">
        <f>L10+M10+O10</f>
        <v>22670</v>
      </c>
      <c r="AD7" s="236">
        <f>L10+M10+O10+P10+Q10</f>
        <v>22670</v>
      </c>
    </row>
    <row r="8" spans="1:30" ht="29.5" customHeight="1" x14ac:dyDescent="0.2">
      <c r="A8" s="22" t="s">
        <v>12</v>
      </c>
      <c r="B8" s="12">
        <v>3286</v>
      </c>
      <c r="C8" s="12">
        <v>5094</v>
      </c>
      <c r="D8" s="23">
        <v>36211</v>
      </c>
      <c r="E8" s="24">
        <v>11984</v>
      </c>
      <c r="F8" s="12">
        <v>12086</v>
      </c>
      <c r="G8" s="25">
        <v>13231</v>
      </c>
      <c r="H8" s="26">
        <v>7463</v>
      </c>
      <c r="I8" s="18">
        <f t="shared" si="1"/>
        <v>44764</v>
      </c>
      <c r="J8" s="27">
        <v>6778</v>
      </c>
      <c r="K8" s="26">
        <v>12185</v>
      </c>
      <c r="L8" s="28">
        <v>15754</v>
      </c>
      <c r="M8" s="26">
        <v>13606</v>
      </c>
      <c r="N8" s="18">
        <f t="shared" si="0"/>
        <v>48323</v>
      </c>
      <c r="O8" s="27">
        <v>6660</v>
      </c>
      <c r="P8" s="49"/>
      <c r="Q8" s="37"/>
      <c r="W8" s="388"/>
      <c r="X8" s="387" t="s">
        <v>228</v>
      </c>
      <c r="Y8" s="217" t="s">
        <v>188</v>
      </c>
      <c r="Z8" s="247">
        <f>(D15/D13)*1000</f>
        <v>249.78949078929875</v>
      </c>
      <c r="AA8" s="247">
        <f>((B15+C15+E15)/(B13+C13+E13))*1000</f>
        <v>229.97371333702267</v>
      </c>
      <c r="AB8" s="247">
        <f>((F15+G15+H15+J15+K15)/(F13+G13+H13+J13+K13))*1000</f>
        <v>170.51027438900823</v>
      </c>
      <c r="AC8" s="247">
        <f>((L15+M15+O15)/(L13+M13+O13))*1000</f>
        <v>221.86329588014979</v>
      </c>
      <c r="AD8" s="247">
        <f>((L15+M15+O15+P15+Q15)/(L13+M13+O13+P13+Q13))*1000</f>
        <v>221.86329588014979</v>
      </c>
    </row>
    <row r="9" spans="1:30" ht="16" thickBot="1" x14ac:dyDescent="0.25">
      <c r="A9" s="22" t="s">
        <v>8</v>
      </c>
      <c r="B9" s="30">
        <v>599</v>
      </c>
      <c r="C9" s="30">
        <v>1158</v>
      </c>
      <c r="D9" s="31">
        <v>7754</v>
      </c>
      <c r="E9" s="32">
        <v>2356</v>
      </c>
      <c r="F9" s="30">
        <v>1405</v>
      </c>
      <c r="G9" s="33">
        <v>1830</v>
      </c>
      <c r="H9" s="34">
        <v>1793</v>
      </c>
      <c r="I9" s="18">
        <f t="shared" si="1"/>
        <v>7384</v>
      </c>
      <c r="J9" s="35">
        <v>2207</v>
      </c>
      <c r="K9" s="36">
        <v>3879</v>
      </c>
      <c r="L9" s="37">
        <v>4225</v>
      </c>
      <c r="M9" s="36">
        <v>3939</v>
      </c>
      <c r="N9" s="38">
        <f t="shared" si="0"/>
        <v>14250</v>
      </c>
      <c r="O9" s="182">
        <v>2539</v>
      </c>
      <c r="P9" s="49"/>
      <c r="Q9" s="37"/>
      <c r="W9" s="388"/>
      <c r="X9" s="388"/>
      <c r="Y9" s="217" t="s">
        <v>229</v>
      </c>
      <c r="Z9" s="236">
        <f>D15</f>
        <v>16909</v>
      </c>
      <c r="AA9" s="236">
        <f>B15+C15+E15</f>
        <v>6649</v>
      </c>
      <c r="AB9" s="236">
        <f>F15+G15+H15+J15+K15</f>
        <v>16828</v>
      </c>
      <c r="AC9" s="236">
        <f>L15+M15+O15</f>
        <v>14217</v>
      </c>
      <c r="AD9" s="236">
        <f>L15+M15+O15+P15+Q15</f>
        <v>14217</v>
      </c>
    </row>
    <row r="10" spans="1:30" ht="16" thickTop="1" x14ac:dyDescent="0.2">
      <c r="A10" s="177" t="s">
        <v>19</v>
      </c>
      <c r="B10" s="13">
        <v>2804</v>
      </c>
      <c r="C10" s="13">
        <v>2477</v>
      </c>
      <c r="D10" s="14">
        <v>27393</v>
      </c>
      <c r="E10" s="40">
        <v>6608</v>
      </c>
      <c r="F10" s="13">
        <v>8099</v>
      </c>
      <c r="G10" s="41">
        <v>5594</v>
      </c>
      <c r="H10" s="20">
        <v>5654</v>
      </c>
      <c r="I10" s="42">
        <f t="shared" si="1"/>
        <v>25955</v>
      </c>
      <c r="J10" s="43">
        <v>6857</v>
      </c>
      <c r="K10" s="17">
        <v>6028</v>
      </c>
      <c r="L10" s="44">
        <v>8634</v>
      </c>
      <c r="M10" s="17">
        <v>7843</v>
      </c>
      <c r="N10" s="18">
        <f t="shared" si="0"/>
        <v>29362</v>
      </c>
      <c r="O10" s="43">
        <v>6193</v>
      </c>
      <c r="P10" s="17"/>
      <c r="Q10" s="44"/>
      <c r="W10" s="389"/>
      <c r="X10" s="389"/>
      <c r="Y10" s="217" t="s">
        <v>216</v>
      </c>
      <c r="Z10" s="236">
        <f>D13</f>
        <v>67693</v>
      </c>
      <c r="AA10" s="236">
        <f>B13+C13+E13</f>
        <v>28912</v>
      </c>
      <c r="AB10" s="236">
        <f>F13+G13+H13+J13+K13</f>
        <v>98692</v>
      </c>
      <c r="AC10" s="236">
        <f>L13+M13+O13</f>
        <v>64080</v>
      </c>
      <c r="AD10" s="236">
        <f>L13+M13+O13+P13+Q13</f>
        <v>64080</v>
      </c>
    </row>
    <row r="11" spans="1:30" x14ac:dyDescent="0.2">
      <c r="A11" s="45" t="s">
        <v>16</v>
      </c>
      <c r="B11" s="12">
        <v>2718</v>
      </c>
      <c r="C11" s="12">
        <v>2203</v>
      </c>
      <c r="D11" s="23">
        <v>25135</v>
      </c>
      <c r="E11" s="24">
        <v>6474</v>
      </c>
      <c r="F11" s="12">
        <v>7719</v>
      </c>
      <c r="G11" s="25">
        <v>5357</v>
      </c>
      <c r="H11" s="26">
        <v>5237</v>
      </c>
      <c r="I11" s="18">
        <f t="shared" si="1"/>
        <v>24787</v>
      </c>
      <c r="J11" s="27">
        <v>6094</v>
      </c>
      <c r="K11" s="26">
        <v>5777</v>
      </c>
      <c r="L11" s="28">
        <v>8227</v>
      </c>
      <c r="M11" s="26">
        <v>7834</v>
      </c>
      <c r="N11" s="18">
        <f t="shared" si="0"/>
        <v>27932</v>
      </c>
      <c r="O11" s="27">
        <v>6056</v>
      </c>
      <c r="P11" s="26"/>
      <c r="Q11" s="28"/>
      <c r="W11" s="390" t="s">
        <v>46</v>
      </c>
      <c r="X11" s="390" t="s">
        <v>226</v>
      </c>
      <c r="Y11" s="244" t="s">
        <v>191</v>
      </c>
      <c r="Z11" s="245">
        <f>(D3+D7)/(D2+D6)</f>
        <v>0.14793955499147265</v>
      </c>
      <c r="AA11" s="245">
        <f>(B3+C3+E3+B7+C7+E7)/(B2+C2+E2+B6+C6+E6)</f>
        <v>0.14313638382940916</v>
      </c>
      <c r="AB11" s="245">
        <f>(F3+G3+H3+J3+K3+F7+G7+H7+J7+K7)/(F2+G2+H2+J2+K2+F6+G6+H6+J6+K6)</f>
        <v>0.1019227608874281</v>
      </c>
      <c r="AC11" s="245">
        <f>(L3+M3+O3+L7+M7+O7)/(L2+M2+O2+L6+M6+O6)</f>
        <v>0.17660102423314503</v>
      </c>
      <c r="AD11" s="245">
        <f>(L3+M3+O3+P3+Q3+L7+M7+O7+P7+Q7)/(L2+M2+O2+P2+Q2+L6+M6+O6+P6+Q6)</f>
        <v>0.17660102423314503</v>
      </c>
    </row>
    <row r="12" spans="1:30" x14ac:dyDescent="0.2">
      <c r="A12" s="177" t="s">
        <v>15</v>
      </c>
      <c r="B12" s="12">
        <v>317</v>
      </c>
      <c r="C12" s="12">
        <v>457</v>
      </c>
      <c r="D12" s="23">
        <v>4269</v>
      </c>
      <c r="E12" s="24">
        <v>1215</v>
      </c>
      <c r="F12" s="12">
        <v>941</v>
      </c>
      <c r="G12" s="25">
        <v>612</v>
      </c>
      <c r="H12" s="26">
        <v>554</v>
      </c>
      <c r="I12" s="18">
        <f t="shared" si="1"/>
        <v>3322</v>
      </c>
      <c r="J12" s="27">
        <v>900</v>
      </c>
      <c r="K12" s="26">
        <v>820</v>
      </c>
      <c r="L12" s="28">
        <v>1332</v>
      </c>
      <c r="M12" s="26">
        <v>1247</v>
      </c>
      <c r="N12" s="18">
        <f t="shared" si="0"/>
        <v>4299</v>
      </c>
      <c r="O12" s="27">
        <v>788</v>
      </c>
      <c r="P12" s="26"/>
      <c r="Q12" s="28"/>
      <c r="W12" s="391"/>
      <c r="X12" s="391"/>
      <c r="Y12" s="218" t="s">
        <v>231</v>
      </c>
      <c r="Z12" s="246">
        <f>D3+D7</f>
        <v>3730</v>
      </c>
      <c r="AA12" s="246">
        <f>B3+C3+E3+B7+C7+E7</f>
        <v>1611</v>
      </c>
      <c r="AB12" s="246">
        <f>F3+G3+H3+J3+K3+F7+G7+H7+J7+K7</f>
        <v>3101</v>
      </c>
      <c r="AC12" s="246">
        <f>L3+M3+O3+L7+M7+O7</f>
        <v>3345</v>
      </c>
      <c r="AD12" s="246">
        <f>L3+M3+O3+P3+Q3+L7+M7+O7+P7+Q7</f>
        <v>3345</v>
      </c>
    </row>
    <row r="13" spans="1:30" x14ac:dyDescent="0.2">
      <c r="A13" s="45" t="s">
        <v>20</v>
      </c>
      <c r="B13" s="12">
        <v>5108</v>
      </c>
      <c r="C13" s="12">
        <v>6013</v>
      </c>
      <c r="D13" s="23">
        <v>67693</v>
      </c>
      <c r="E13" s="24">
        <v>17791</v>
      </c>
      <c r="F13" s="12">
        <v>20493</v>
      </c>
      <c r="G13" s="25">
        <v>20251</v>
      </c>
      <c r="H13" s="26">
        <v>16725</v>
      </c>
      <c r="I13" s="18">
        <f t="shared" si="1"/>
        <v>75260</v>
      </c>
      <c r="J13" s="27">
        <v>20437</v>
      </c>
      <c r="K13" s="26">
        <v>20786</v>
      </c>
      <c r="L13" s="28">
        <v>26929</v>
      </c>
      <c r="M13" s="26">
        <v>20509</v>
      </c>
      <c r="N13" s="18">
        <f t="shared" si="0"/>
        <v>88661</v>
      </c>
      <c r="O13" s="27">
        <v>16642</v>
      </c>
      <c r="P13" s="26"/>
      <c r="Q13" s="28"/>
      <c r="W13" s="391"/>
      <c r="X13" s="392"/>
      <c r="Y13" s="218" t="s">
        <v>232</v>
      </c>
      <c r="Z13" s="246">
        <f>D2+D6</f>
        <v>25213</v>
      </c>
      <c r="AA13" s="246">
        <f>(B2+C2+E2+B6+C6+E6)</f>
        <v>11255</v>
      </c>
      <c r="AB13" s="246">
        <f>F2+G2+H2+J2+K2+F6+G6+H6+J6+K6</f>
        <v>30425</v>
      </c>
      <c r="AC13" s="246">
        <f>L2+M2+O2+L6+M6+O6</f>
        <v>18941</v>
      </c>
      <c r="AD13" s="246">
        <f>L2+M2+O2+P2+Q2+L6+M6+O6+P6+Q6</f>
        <v>18941</v>
      </c>
    </row>
    <row r="14" spans="1:30" x14ac:dyDescent="0.2">
      <c r="A14" s="45" t="s">
        <v>18</v>
      </c>
      <c r="B14" s="12">
        <v>2533</v>
      </c>
      <c r="C14" s="12">
        <v>3997</v>
      </c>
      <c r="D14" s="23">
        <v>24099</v>
      </c>
      <c r="E14" s="24">
        <v>9454</v>
      </c>
      <c r="F14" s="12">
        <v>15357</v>
      </c>
      <c r="G14" s="25">
        <v>16744</v>
      </c>
      <c r="H14" s="26">
        <v>11740</v>
      </c>
      <c r="I14" s="18">
        <f t="shared" si="1"/>
        <v>53295</v>
      </c>
      <c r="J14" s="27">
        <v>15871</v>
      </c>
      <c r="K14" s="26">
        <v>19306</v>
      </c>
      <c r="L14" s="28">
        <v>22047</v>
      </c>
      <c r="M14" s="26">
        <v>19556</v>
      </c>
      <c r="N14" s="18">
        <f t="shared" si="0"/>
        <v>76780</v>
      </c>
      <c r="O14" s="27">
        <v>14320</v>
      </c>
      <c r="P14" s="26"/>
      <c r="Q14" s="28"/>
      <c r="W14" s="391"/>
      <c r="X14" s="390" t="s">
        <v>192</v>
      </c>
      <c r="Y14" s="244" t="s">
        <v>193</v>
      </c>
      <c r="Z14" s="245">
        <f>D3/D2</f>
        <v>0.11399000713775874</v>
      </c>
      <c r="AA14" s="245">
        <f>(B3+C3+E3)/(B2+C2+E2)</f>
        <v>0.12735493594574226</v>
      </c>
      <c r="AB14" s="245">
        <f>(F3+G3+H3+J3+K3)/(F2+G2+H2+J2+K2)</f>
        <v>5.9036843632143891E-2</v>
      </c>
      <c r="AC14" s="245">
        <f>(L3+M3+O3)/(L2+M2+O2)</f>
        <v>4.4622991347342399E-2</v>
      </c>
      <c r="AD14" s="245">
        <f>(L3+M3+O3+P3+Q3)/(L2+M2+O2+P2+Q2)</f>
        <v>4.4622991347342399E-2</v>
      </c>
    </row>
    <row r="15" spans="1:30" x14ac:dyDescent="0.2">
      <c r="A15" s="45" t="s">
        <v>17</v>
      </c>
      <c r="B15" s="12">
        <v>1044</v>
      </c>
      <c r="C15" s="12">
        <v>1608</v>
      </c>
      <c r="D15" s="23">
        <v>16909</v>
      </c>
      <c r="E15" s="24">
        <v>3997</v>
      </c>
      <c r="F15" s="12">
        <v>3481</v>
      </c>
      <c r="G15" s="25">
        <v>2833</v>
      </c>
      <c r="H15" s="26">
        <v>2462</v>
      </c>
      <c r="I15" s="18">
        <f t="shared" si="1"/>
        <v>12773</v>
      </c>
      <c r="J15" s="27">
        <v>3424</v>
      </c>
      <c r="K15" s="26">
        <v>4628</v>
      </c>
      <c r="L15" s="28">
        <v>5715</v>
      </c>
      <c r="M15" s="26">
        <v>4642</v>
      </c>
      <c r="N15" s="18">
        <f t="shared" si="0"/>
        <v>18409</v>
      </c>
      <c r="O15" s="27">
        <v>3860</v>
      </c>
      <c r="P15" s="26"/>
      <c r="Q15" s="28"/>
      <c r="W15" s="391"/>
      <c r="X15" s="391"/>
      <c r="Y15" s="218" t="s">
        <v>233</v>
      </c>
      <c r="Z15" s="246">
        <f>D3</f>
        <v>1597</v>
      </c>
      <c r="AA15" s="246">
        <f>B3+C3+E3</f>
        <v>507</v>
      </c>
      <c r="AB15" s="246">
        <f>F3+G3+H3+J3+K3</f>
        <v>814</v>
      </c>
      <c r="AC15" s="246">
        <f>L3+M3+O3</f>
        <v>361</v>
      </c>
      <c r="AD15" s="246">
        <f>L3+M3+O3+P3+Q3</f>
        <v>361</v>
      </c>
    </row>
    <row r="16" spans="1:30" ht="16" thickBot="1" x14ac:dyDescent="0.25">
      <c r="A16" s="179" t="s">
        <v>21</v>
      </c>
      <c r="B16" s="34">
        <v>26</v>
      </c>
      <c r="C16" s="34">
        <v>44</v>
      </c>
      <c r="D16" s="47">
        <v>524</v>
      </c>
      <c r="E16" s="48">
        <v>103</v>
      </c>
      <c r="F16" s="34">
        <v>72</v>
      </c>
      <c r="G16" s="33">
        <v>41</v>
      </c>
      <c r="H16" s="34">
        <v>17</v>
      </c>
      <c r="I16" s="38">
        <f t="shared" si="1"/>
        <v>233</v>
      </c>
      <c r="J16" s="48">
        <v>44</v>
      </c>
      <c r="K16" s="49">
        <v>28</v>
      </c>
      <c r="L16" s="37">
        <v>40</v>
      </c>
      <c r="M16" s="49">
        <v>38</v>
      </c>
      <c r="N16" s="18">
        <f t="shared" si="0"/>
        <v>150</v>
      </c>
      <c r="O16" s="48">
        <v>81</v>
      </c>
      <c r="P16" s="49"/>
      <c r="Q16" s="37"/>
      <c r="W16" s="391"/>
      <c r="X16" s="392"/>
      <c r="Y16" s="218" t="s">
        <v>234</v>
      </c>
      <c r="Z16" s="246">
        <f>D2</f>
        <v>14010</v>
      </c>
      <c r="AA16" s="246">
        <f>B2+C2+E2</f>
        <v>3981</v>
      </c>
      <c r="AB16" s="246">
        <f>F2+G2+H2+J2+K2</f>
        <v>13788</v>
      </c>
      <c r="AC16" s="246">
        <f>L2+M2+O2</f>
        <v>8090</v>
      </c>
      <c r="AD16" s="246">
        <f>L2+M2+O2+P2+Q2</f>
        <v>8090</v>
      </c>
    </row>
    <row r="17" spans="1:30" ht="16" thickTop="1" x14ac:dyDescent="0.2">
      <c r="A17" s="55" t="s">
        <v>25</v>
      </c>
      <c r="B17" s="13">
        <v>717</v>
      </c>
      <c r="C17" s="13">
        <v>556</v>
      </c>
      <c r="D17" s="14">
        <v>7978</v>
      </c>
      <c r="E17" s="40">
        <v>2207</v>
      </c>
      <c r="F17" s="13">
        <v>1881</v>
      </c>
      <c r="G17" s="41">
        <v>1905</v>
      </c>
      <c r="H17" s="20">
        <v>1893</v>
      </c>
      <c r="I17" s="18">
        <f t="shared" si="1"/>
        <v>7886</v>
      </c>
      <c r="J17" s="19">
        <v>2030</v>
      </c>
      <c r="K17" s="51">
        <v>1573</v>
      </c>
      <c r="L17" s="44">
        <v>1965</v>
      </c>
      <c r="M17" s="51">
        <v>2217</v>
      </c>
      <c r="N17" s="42">
        <f t="shared" si="0"/>
        <v>7785</v>
      </c>
      <c r="O17" s="19">
        <v>1875</v>
      </c>
      <c r="P17" s="51"/>
      <c r="Q17" s="44"/>
      <c r="W17" s="391"/>
      <c r="X17" s="390" t="s">
        <v>230</v>
      </c>
      <c r="Y17" s="244" t="s">
        <v>194</v>
      </c>
      <c r="Z17" s="245">
        <f>D7/D6</f>
        <v>0.19039542979559046</v>
      </c>
      <c r="AA17" s="245">
        <f>(B7+C7+E7)/(B6+C6+E6)</f>
        <v>0.15177343964806159</v>
      </c>
      <c r="AB17" s="245">
        <f>(F7+G7+H7+J7+K7)/(F6+G6+H6+J6+K6)</f>
        <v>0.13746468714311474</v>
      </c>
      <c r="AC17" s="245">
        <f>(L7+M7+O7)/(L6+M6+O6)</f>
        <v>0.27499769606487884</v>
      </c>
      <c r="AD17" s="245">
        <f>(L7+M7+O7+P7+Q7)/(L6+M6+O6+P6+Q6)</f>
        <v>0.27499769606487884</v>
      </c>
    </row>
    <row r="18" spans="1:30" x14ac:dyDescent="0.2">
      <c r="A18" s="52" t="s">
        <v>26</v>
      </c>
      <c r="B18" s="12">
        <v>2026</v>
      </c>
      <c r="C18" s="12">
        <v>1784</v>
      </c>
      <c r="D18" s="23">
        <v>23633</v>
      </c>
      <c r="E18" s="24">
        <v>13916</v>
      </c>
      <c r="F18" s="12">
        <v>5892</v>
      </c>
      <c r="G18" s="25">
        <v>5508</v>
      </c>
      <c r="H18" s="26">
        <v>5708</v>
      </c>
      <c r="I18" s="18">
        <f t="shared" si="1"/>
        <v>31024</v>
      </c>
      <c r="J18" s="27">
        <v>6512</v>
      </c>
      <c r="K18" s="53">
        <v>6018</v>
      </c>
      <c r="L18" s="28">
        <v>5323</v>
      </c>
      <c r="M18" s="53">
        <v>6441</v>
      </c>
      <c r="N18" s="18">
        <f t="shared" si="0"/>
        <v>24294</v>
      </c>
      <c r="O18" s="27">
        <v>7105</v>
      </c>
      <c r="P18" s="53"/>
      <c r="Q18" s="28"/>
      <c r="W18" s="391"/>
      <c r="X18" s="391"/>
      <c r="Y18" s="218" t="s">
        <v>235</v>
      </c>
      <c r="Z18" s="221">
        <f>D7</f>
        <v>2133</v>
      </c>
      <c r="AA18" s="221">
        <f>B7+C7+E7</f>
        <v>1104</v>
      </c>
      <c r="AB18" s="221">
        <f>F7+G7+H7+J7+K7</f>
        <v>2287</v>
      </c>
      <c r="AC18" s="221">
        <f>L7+M7+O7</f>
        <v>2984</v>
      </c>
      <c r="AD18" s="221">
        <f>L7+M7+O7+P7+Q7</f>
        <v>2984</v>
      </c>
    </row>
    <row r="19" spans="1:30" x14ac:dyDescent="0.2">
      <c r="A19" s="52" t="s">
        <v>27</v>
      </c>
      <c r="B19" s="26">
        <v>461</v>
      </c>
      <c r="C19" s="26">
        <v>375</v>
      </c>
      <c r="D19" s="54">
        <v>5495</v>
      </c>
      <c r="E19" s="27">
        <v>1454</v>
      </c>
      <c r="F19" s="26">
        <v>1483</v>
      </c>
      <c r="G19" s="25">
        <v>1191</v>
      </c>
      <c r="H19" s="26">
        <v>1164</v>
      </c>
      <c r="I19" s="18">
        <f t="shared" si="1"/>
        <v>5292</v>
      </c>
      <c r="J19" s="27">
        <v>1304</v>
      </c>
      <c r="K19" s="53">
        <v>1432</v>
      </c>
      <c r="L19" s="28">
        <v>1126</v>
      </c>
      <c r="M19" s="53">
        <v>1290</v>
      </c>
      <c r="N19" s="18">
        <f t="shared" si="0"/>
        <v>5152</v>
      </c>
      <c r="O19" s="27">
        <v>1500</v>
      </c>
      <c r="P19" s="53"/>
      <c r="Q19" s="28"/>
      <c r="W19" s="392"/>
      <c r="X19" s="392"/>
      <c r="Y19" s="218" t="s">
        <v>236</v>
      </c>
      <c r="Z19" s="221">
        <f>D6</f>
        <v>11203</v>
      </c>
      <c r="AA19" s="221">
        <f>B6+C6+E6</f>
        <v>7274</v>
      </c>
      <c r="AB19" s="221">
        <f>F6+G6+H6+J6+K6</f>
        <v>16637</v>
      </c>
      <c r="AC19" s="221">
        <f>L6+M6+O6</f>
        <v>10851</v>
      </c>
      <c r="AD19" s="221">
        <f>L6+M6+O6+P6+Q6</f>
        <v>10851</v>
      </c>
    </row>
    <row r="20" spans="1:30" x14ac:dyDescent="0.2">
      <c r="A20" s="52" t="s">
        <v>28</v>
      </c>
      <c r="B20" s="56">
        <v>38</v>
      </c>
      <c r="C20" s="56">
        <v>32</v>
      </c>
      <c r="D20" s="57">
        <v>466</v>
      </c>
      <c r="E20" s="58">
        <v>97</v>
      </c>
      <c r="F20" s="59">
        <v>90</v>
      </c>
      <c r="G20" s="60">
        <v>86</v>
      </c>
      <c r="H20" s="61">
        <v>102</v>
      </c>
      <c r="I20" s="18">
        <f t="shared" si="1"/>
        <v>375</v>
      </c>
      <c r="J20" s="27">
        <v>234</v>
      </c>
      <c r="K20" s="53">
        <v>138</v>
      </c>
      <c r="L20" s="28">
        <v>131</v>
      </c>
      <c r="M20" s="53">
        <v>117</v>
      </c>
      <c r="N20" s="18">
        <f t="shared" si="0"/>
        <v>620</v>
      </c>
      <c r="O20" s="27">
        <v>154</v>
      </c>
      <c r="P20" s="53"/>
      <c r="Q20" s="28"/>
      <c r="W20" s="421" t="s">
        <v>170</v>
      </c>
      <c r="X20" s="421" t="s">
        <v>226</v>
      </c>
      <c r="Y20" s="219" t="s">
        <v>195</v>
      </c>
      <c r="Z20" s="222">
        <f>D10+D13</f>
        <v>95086</v>
      </c>
      <c r="AA20" s="222">
        <f>B10+C10+E10+B13+C13+E13</f>
        <v>40801</v>
      </c>
      <c r="AB20" s="222">
        <f>F10+G10+H10+J10+K10+F13+G13+H13+J13+K13</f>
        <v>130924</v>
      </c>
      <c r="AC20" s="223">
        <f>L10+M10+O10+L13+M13+O13</f>
        <v>86750</v>
      </c>
      <c r="AD20" s="223">
        <f>L10+M10+O10+P10+Q10+L13+M13+O13+P13+Q13</f>
        <v>86750</v>
      </c>
    </row>
    <row r="21" spans="1:30" x14ac:dyDescent="0.2">
      <c r="A21" s="55" t="s">
        <v>22</v>
      </c>
      <c r="B21" s="56">
        <v>655</v>
      </c>
      <c r="C21" s="56">
        <v>296</v>
      </c>
      <c r="D21" s="57">
        <v>6940</v>
      </c>
      <c r="E21" s="58">
        <v>484</v>
      </c>
      <c r="F21" s="59">
        <v>1942</v>
      </c>
      <c r="G21" s="60">
        <v>1533</v>
      </c>
      <c r="H21" s="61">
        <v>1393</v>
      </c>
      <c r="I21" s="18">
        <f t="shared" si="1"/>
        <v>5352</v>
      </c>
      <c r="J21" s="27">
        <v>529</v>
      </c>
      <c r="K21" s="53">
        <v>295</v>
      </c>
      <c r="L21" s="28">
        <v>1133</v>
      </c>
      <c r="M21" s="53">
        <v>2073</v>
      </c>
      <c r="N21" s="18">
        <f t="shared" si="0"/>
        <v>4030</v>
      </c>
      <c r="O21" s="27">
        <v>1907</v>
      </c>
      <c r="P21" s="53"/>
      <c r="Q21" s="28"/>
      <c r="W21" s="419"/>
      <c r="X21" s="419"/>
      <c r="Y21" s="219" t="s">
        <v>205</v>
      </c>
      <c r="Z21" s="222">
        <f>Z20/12</f>
        <v>7923.833333333333</v>
      </c>
      <c r="AA21" s="222">
        <f>AA20/5</f>
        <v>8160.2</v>
      </c>
      <c r="AB21" s="222">
        <f>AB20/15</f>
        <v>8728.2666666666664</v>
      </c>
      <c r="AC21" s="223">
        <f>AC20/9</f>
        <v>9638.8888888888887</v>
      </c>
      <c r="AD21" s="223"/>
    </row>
    <row r="22" spans="1:30" x14ac:dyDescent="0.2">
      <c r="A22" s="52" t="s">
        <v>23</v>
      </c>
      <c r="B22" s="56">
        <v>309</v>
      </c>
      <c r="C22" s="56">
        <v>337</v>
      </c>
      <c r="D22" s="57">
        <v>5243</v>
      </c>
      <c r="E22" s="58">
        <v>350</v>
      </c>
      <c r="F22" s="59">
        <v>787</v>
      </c>
      <c r="G22" s="60">
        <v>1029</v>
      </c>
      <c r="H22" s="61">
        <v>1253</v>
      </c>
      <c r="I22" s="18">
        <f t="shared" si="1"/>
        <v>3419</v>
      </c>
      <c r="J22" s="27">
        <v>367</v>
      </c>
      <c r="K22" s="53">
        <v>274</v>
      </c>
      <c r="L22" s="28">
        <v>224</v>
      </c>
      <c r="M22" s="53">
        <v>2653</v>
      </c>
      <c r="N22" s="18">
        <f t="shared" si="0"/>
        <v>3518</v>
      </c>
      <c r="O22" s="27">
        <v>1945</v>
      </c>
      <c r="P22" s="53"/>
      <c r="Q22" s="28"/>
      <c r="W22" s="419"/>
      <c r="X22" s="419"/>
      <c r="Y22" s="219" t="s">
        <v>196</v>
      </c>
      <c r="Z22" s="223">
        <f>D12+D15</f>
        <v>21178</v>
      </c>
      <c r="AA22" s="223">
        <f>B12+C12+E12+B15+C15+E15</f>
        <v>8638</v>
      </c>
      <c r="AB22" s="223">
        <f>F12+G12+H12+J12+K12+F15+G15+H15+J15+K15</f>
        <v>20655</v>
      </c>
      <c r="AC22" s="223">
        <f>L12+M12+O12+L15+M15+O15</f>
        <v>17584</v>
      </c>
      <c r="AD22" s="223">
        <f>L12+M12+O12+P12+Q12+L15+M15+O15+P15+Q15</f>
        <v>17584</v>
      </c>
    </row>
    <row r="23" spans="1:30" ht="16" thickBot="1" x14ac:dyDescent="0.25">
      <c r="A23" s="52" t="s">
        <v>24</v>
      </c>
      <c r="B23" s="63">
        <v>310</v>
      </c>
      <c r="C23" s="63">
        <v>292</v>
      </c>
      <c r="D23" s="64">
        <v>4816</v>
      </c>
      <c r="E23" s="65">
        <v>368</v>
      </c>
      <c r="F23" s="66">
        <v>306</v>
      </c>
      <c r="G23" s="67">
        <v>710</v>
      </c>
      <c r="H23" s="68">
        <v>868</v>
      </c>
      <c r="I23" s="38">
        <f>SUM(E23:H23)</f>
        <v>2252</v>
      </c>
      <c r="J23" s="35">
        <v>326</v>
      </c>
      <c r="K23" s="49">
        <v>219</v>
      </c>
      <c r="L23" s="37">
        <v>96</v>
      </c>
      <c r="M23" s="49">
        <v>1632</v>
      </c>
      <c r="N23" s="18">
        <f t="shared" si="0"/>
        <v>2273</v>
      </c>
      <c r="O23" s="35">
        <v>2268</v>
      </c>
      <c r="P23" s="49"/>
      <c r="Q23" s="37"/>
      <c r="W23" s="419"/>
      <c r="X23" s="420"/>
      <c r="Y23" s="219" t="s">
        <v>206</v>
      </c>
      <c r="Z23" s="222">
        <f>Z22/12</f>
        <v>1764.8333333333333</v>
      </c>
      <c r="AA23" s="222">
        <f>AA22/5</f>
        <v>1727.6</v>
      </c>
      <c r="AB23" s="222">
        <f>AB22/15</f>
        <v>1377</v>
      </c>
      <c r="AC23" s="223">
        <f>AC22/9</f>
        <v>1953.7777777777778</v>
      </c>
      <c r="AD23" s="223"/>
    </row>
    <row r="24" spans="1:30" ht="16" thickTop="1" x14ac:dyDescent="0.2">
      <c r="A24" s="69" t="s">
        <v>29</v>
      </c>
      <c r="B24" s="13">
        <v>152</v>
      </c>
      <c r="C24" s="13">
        <v>280</v>
      </c>
      <c r="D24" s="14">
        <v>2003</v>
      </c>
      <c r="E24" s="40">
        <v>570</v>
      </c>
      <c r="F24" s="13">
        <v>470</v>
      </c>
      <c r="G24" s="41">
        <v>396</v>
      </c>
      <c r="H24" s="20">
        <v>410</v>
      </c>
      <c r="I24" s="18">
        <f>E24+F24+G24+H24</f>
        <v>1846</v>
      </c>
      <c r="J24" s="70">
        <v>1042</v>
      </c>
      <c r="K24" s="16">
        <v>718</v>
      </c>
      <c r="L24" s="16">
        <v>1215</v>
      </c>
      <c r="M24" s="16">
        <v>882</v>
      </c>
      <c r="N24" s="42">
        <f t="shared" si="0"/>
        <v>3857</v>
      </c>
      <c r="O24" s="70">
        <v>456</v>
      </c>
      <c r="P24" s="16"/>
      <c r="Q24" s="16"/>
      <c r="W24" s="419"/>
      <c r="X24" s="421" t="s">
        <v>189</v>
      </c>
      <c r="Y24" s="219" t="s">
        <v>197</v>
      </c>
      <c r="Z24" s="223">
        <f>D10</f>
        <v>27393</v>
      </c>
      <c r="AA24" s="223">
        <f>B10+C10+E10</f>
        <v>11889</v>
      </c>
      <c r="AB24" s="223">
        <f>F10+G10+H10+J10+K10</f>
        <v>32232</v>
      </c>
      <c r="AC24" s="223">
        <f>L10+M10+O10</f>
        <v>22670</v>
      </c>
      <c r="AD24" s="223">
        <f>L10+M10+O10+P10+Q10</f>
        <v>22670</v>
      </c>
    </row>
    <row r="25" spans="1:30" x14ac:dyDescent="0.2">
      <c r="A25" s="71" t="s">
        <v>30</v>
      </c>
      <c r="B25" s="12">
        <v>191</v>
      </c>
      <c r="C25" s="12">
        <v>347</v>
      </c>
      <c r="D25" s="23">
        <v>3186</v>
      </c>
      <c r="E25" s="24">
        <v>692</v>
      </c>
      <c r="F25" s="12">
        <v>646</v>
      </c>
      <c r="G25" s="25">
        <v>507</v>
      </c>
      <c r="H25" s="26">
        <v>566</v>
      </c>
      <c r="I25" s="18">
        <f t="shared" si="1"/>
        <v>2411</v>
      </c>
      <c r="J25" s="27">
        <v>1466</v>
      </c>
      <c r="K25" s="27">
        <v>1016</v>
      </c>
      <c r="L25" s="27">
        <v>1450</v>
      </c>
      <c r="M25" s="27">
        <v>1221</v>
      </c>
      <c r="N25" s="18">
        <f t="shared" si="0"/>
        <v>5153</v>
      </c>
      <c r="O25" s="27">
        <v>572</v>
      </c>
      <c r="P25" s="27"/>
      <c r="Q25" s="27"/>
      <c r="W25" s="419"/>
      <c r="X25" s="419"/>
      <c r="Y25" s="219" t="s">
        <v>207</v>
      </c>
      <c r="Z25" s="222">
        <f>Z24/12</f>
        <v>2282.75</v>
      </c>
      <c r="AA25" s="222">
        <f>AA24/5</f>
        <v>2377.8000000000002</v>
      </c>
      <c r="AB25" s="222">
        <f>AB24/15</f>
        <v>2148.8000000000002</v>
      </c>
      <c r="AC25" s="223">
        <f>AC24/9</f>
        <v>2518.8888888888887</v>
      </c>
      <c r="AD25" s="223"/>
    </row>
    <row r="26" spans="1:30" x14ac:dyDescent="0.2">
      <c r="A26" s="71" t="s">
        <v>31</v>
      </c>
      <c r="B26" s="12">
        <v>125</v>
      </c>
      <c r="C26" s="12">
        <v>198</v>
      </c>
      <c r="D26" s="23">
        <v>2099</v>
      </c>
      <c r="E26" s="24">
        <v>451</v>
      </c>
      <c r="F26" s="12">
        <v>402</v>
      </c>
      <c r="G26" s="25">
        <v>416</v>
      </c>
      <c r="H26" s="26">
        <v>372</v>
      </c>
      <c r="I26" s="18">
        <f t="shared" si="1"/>
        <v>1641</v>
      </c>
      <c r="J26" s="27">
        <v>1054</v>
      </c>
      <c r="K26" s="27">
        <v>946</v>
      </c>
      <c r="L26" s="27">
        <v>1032</v>
      </c>
      <c r="M26" s="27">
        <v>835</v>
      </c>
      <c r="N26" s="18">
        <f t="shared" si="0"/>
        <v>3867</v>
      </c>
      <c r="O26" s="27">
        <v>473</v>
      </c>
      <c r="P26" s="27"/>
      <c r="Q26" s="27"/>
      <c r="W26" s="419"/>
      <c r="X26" s="419"/>
      <c r="Y26" s="219" t="s">
        <v>199</v>
      </c>
      <c r="Z26" s="223">
        <f>D12</f>
        <v>4269</v>
      </c>
      <c r="AA26" s="223">
        <f>B12+C12+E12</f>
        <v>1989</v>
      </c>
      <c r="AB26" s="223">
        <f>F12+G12+H12+J12+K12</f>
        <v>3827</v>
      </c>
      <c r="AC26" s="223">
        <f>L12+M12+O12</f>
        <v>3367</v>
      </c>
      <c r="AD26" s="223">
        <f>L12+M12+O12+P12+Q12</f>
        <v>3367</v>
      </c>
    </row>
    <row r="27" spans="1:30" x14ac:dyDescent="0.2">
      <c r="A27" s="71" t="s">
        <v>32</v>
      </c>
      <c r="B27" s="12">
        <v>400</v>
      </c>
      <c r="C27" s="12">
        <v>728</v>
      </c>
      <c r="D27" s="23">
        <v>5512</v>
      </c>
      <c r="E27" s="24">
        <v>1376</v>
      </c>
      <c r="F27" s="12">
        <v>1351</v>
      </c>
      <c r="G27" s="25">
        <v>1148</v>
      </c>
      <c r="H27" s="26">
        <v>1104</v>
      </c>
      <c r="I27" s="18">
        <f t="shared" si="1"/>
        <v>4979</v>
      </c>
      <c r="J27" s="27">
        <v>3105</v>
      </c>
      <c r="K27" s="27">
        <v>1912</v>
      </c>
      <c r="L27" s="27">
        <v>2617</v>
      </c>
      <c r="M27" s="27">
        <v>2389</v>
      </c>
      <c r="N27" s="18">
        <f t="shared" si="0"/>
        <v>10023</v>
      </c>
      <c r="O27" s="27">
        <v>1367</v>
      </c>
      <c r="P27" s="27"/>
      <c r="Q27" s="27"/>
      <c r="W27" s="419"/>
      <c r="X27" s="420"/>
      <c r="Y27" s="219" t="s">
        <v>208</v>
      </c>
      <c r="Z27" s="222">
        <f>Z26/12</f>
        <v>355.75</v>
      </c>
      <c r="AA27" s="222">
        <f>AA26/5</f>
        <v>397.8</v>
      </c>
      <c r="AB27" s="222">
        <f>AB26/15</f>
        <v>255.13333333333333</v>
      </c>
      <c r="AC27" s="223">
        <f>AC26/9</f>
        <v>374.11111111111109</v>
      </c>
      <c r="AD27" s="223"/>
    </row>
    <row r="28" spans="1:30" x14ac:dyDescent="0.2">
      <c r="A28" s="72" t="s">
        <v>33</v>
      </c>
      <c r="B28" s="73">
        <f>SUM(B24:B27)</f>
        <v>868</v>
      </c>
      <c r="C28" s="73">
        <f>SUM(C24:C27)</f>
        <v>1553</v>
      </c>
      <c r="D28" s="74">
        <f>SUM(D24:D27)</f>
        <v>12800</v>
      </c>
      <c r="E28" s="73">
        <f t="shared" ref="E28:G28" si="2">SUM(E24:E27)</f>
        <v>3089</v>
      </c>
      <c r="F28" s="73">
        <f t="shared" si="2"/>
        <v>2869</v>
      </c>
      <c r="G28" s="73">
        <f t="shared" si="2"/>
        <v>2467</v>
      </c>
      <c r="H28" s="73">
        <f>SUM(H24:H27)</f>
        <v>2452</v>
      </c>
      <c r="I28" s="18">
        <f>E28+F28+G28+H28</f>
        <v>10877</v>
      </c>
      <c r="J28" s="75">
        <f t="shared" ref="J28:M28" si="3">SUM(J24:J27)</f>
        <v>6667</v>
      </c>
      <c r="K28" s="75">
        <f t="shared" si="3"/>
        <v>4592</v>
      </c>
      <c r="L28" s="75">
        <f t="shared" si="3"/>
        <v>6314</v>
      </c>
      <c r="M28" s="75">
        <f t="shared" si="3"/>
        <v>5327</v>
      </c>
      <c r="N28" s="18">
        <f t="shared" si="0"/>
        <v>22900</v>
      </c>
      <c r="O28" s="75"/>
      <c r="P28" s="75"/>
      <c r="Q28" s="75"/>
      <c r="W28" s="419"/>
      <c r="X28" s="421" t="s">
        <v>190</v>
      </c>
      <c r="Y28" s="219" t="s">
        <v>198</v>
      </c>
      <c r="Z28" s="223">
        <f>D13</f>
        <v>67693</v>
      </c>
      <c r="AA28" s="223">
        <f>B13+C13+E13</f>
        <v>28912</v>
      </c>
      <c r="AB28" s="223">
        <f>F13+G13+H13+J13+K13</f>
        <v>98692</v>
      </c>
      <c r="AC28" s="223">
        <f>L13+M13+O13</f>
        <v>64080</v>
      </c>
      <c r="AD28" s="223">
        <f>L13+M13+O13+P13+Q13</f>
        <v>64080</v>
      </c>
    </row>
    <row r="29" spans="1:30" x14ac:dyDescent="0.2">
      <c r="A29" s="71" t="s">
        <v>34</v>
      </c>
      <c r="B29" s="26">
        <v>655</v>
      </c>
      <c r="C29" s="26">
        <v>296</v>
      </c>
      <c r="D29" s="54">
        <v>6940</v>
      </c>
      <c r="E29" s="27">
        <v>484</v>
      </c>
      <c r="F29" s="26">
        <v>1942</v>
      </c>
      <c r="G29" s="25">
        <v>1533</v>
      </c>
      <c r="H29" s="26">
        <v>1393</v>
      </c>
      <c r="I29" s="18">
        <f t="shared" si="1"/>
        <v>5352</v>
      </c>
      <c r="J29" s="27">
        <v>529</v>
      </c>
      <c r="K29" s="27">
        <v>295</v>
      </c>
      <c r="L29" s="27">
        <v>1133</v>
      </c>
      <c r="M29" s="27">
        <v>2073</v>
      </c>
      <c r="N29" s="18">
        <f t="shared" si="0"/>
        <v>4030</v>
      </c>
      <c r="O29" s="27">
        <v>1907</v>
      </c>
      <c r="P29" s="27"/>
      <c r="Q29" s="27"/>
      <c r="W29" s="419"/>
      <c r="X29" s="419"/>
      <c r="Y29" s="219" t="s">
        <v>209</v>
      </c>
      <c r="Z29" s="222">
        <f>Z28/12</f>
        <v>5641.083333333333</v>
      </c>
      <c r="AA29" s="222">
        <f>AA28/5</f>
        <v>5782.4</v>
      </c>
      <c r="AB29" s="222">
        <f>AB28/15</f>
        <v>6579.4666666666662</v>
      </c>
      <c r="AC29" s="223">
        <f>AC28/9</f>
        <v>7120</v>
      </c>
      <c r="AD29" s="223"/>
    </row>
    <row r="30" spans="1:30" x14ac:dyDescent="0.2">
      <c r="A30" s="71" t="s">
        <v>35</v>
      </c>
      <c r="B30" s="26">
        <v>309</v>
      </c>
      <c r="C30" s="26">
        <v>337</v>
      </c>
      <c r="D30" s="54">
        <v>5243</v>
      </c>
      <c r="E30" s="27">
        <v>350</v>
      </c>
      <c r="F30" s="26">
        <v>787</v>
      </c>
      <c r="G30" s="25">
        <v>1029</v>
      </c>
      <c r="H30" s="26">
        <v>1253</v>
      </c>
      <c r="I30" s="18">
        <f t="shared" si="1"/>
        <v>3419</v>
      </c>
      <c r="J30" s="27">
        <v>367</v>
      </c>
      <c r="K30" s="53">
        <v>274</v>
      </c>
      <c r="L30" s="53">
        <v>224</v>
      </c>
      <c r="M30" s="53">
        <v>2653</v>
      </c>
      <c r="N30" s="18">
        <f t="shared" si="0"/>
        <v>3518</v>
      </c>
      <c r="O30" s="27">
        <v>1945</v>
      </c>
      <c r="P30" s="53"/>
      <c r="Q30" s="53"/>
      <c r="W30" s="419"/>
      <c r="X30" s="419"/>
      <c r="Y30" s="219" t="s">
        <v>200</v>
      </c>
      <c r="Z30" s="223">
        <f>D15</f>
        <v>16909</v>
      </c>
      <c r="AA30" s="223">
        <f>B15+C15+E15</f>
        <v>6649</v>
      </c>
      <c r="AB30" s="223">
        <f>F15+G15+H15+J15+K15</f>
        <v>16828</v>
      </c>
      <c r="AC30" s="223">
        <f>L15+M15+O15</f>
        <v>14217</v>
      </c>
      <c r="AD30" s="223">
        <f>L15+M15+O15+P15+Q15</f>
        <v>14217</v>
      </c>
    </row>
    <row r="31" spans="1:30" x14ac:dyDescent="0.2">
      <c r="A31" s="71" t="s">
        <v>36</v>
      </c>
      <c r="B31" s="26">
        <v>310</v>
      </c>
      <c r="C31" s="26">
        <v>292</v>
      </c>
      <c r="D31" s="54">
        <v>4816</v>
      </c>
      <c r="E31" s="27">
        <v>368</v>
      </c>
      <c r="F31" s="26">
        <v>306</v>
      </c>
      <c r="G31" s="25">
        <v>710</v>
      </c>
      <c r="H31" s="26">
        <v>868</v>
      </c>
      <c r="I31" s="18">
        <f t="shared" si="1"/>
        <v>2252</v>
      </c>
      <c r="J31" s="27">
        <v>326</v>
      </c>
      <c r="K31" s="53">
        <v>219</v>
      </c>
      <c r="L31" s="53">
        <v>98</v>
      </c>
      <c r="M31" s="53">
        <v>1632</v>
      </c>
      <c r="N31" s="18">
        <f t="shared" si="0"/>
        <v>2275</v>
      </c>
      <c r="O31" s="27">
        <v>2268</v>
      </c>
      <c r="P31" s="53"/>
      <c r="Q31" s="53"/>
      <c r="W31" s="420"/>
      <c r="X31" s="420"/>
      <c r="Y31" s="219" t="s">
        <v>210</v>
      </c>
      <c r="Z31" s="222">
        <f>Z30/12</f>
        <v>1409.0833333333333</v>
      </c>
      <c r="AA31" s="222">
        <f>AA30/5</f>
        <v>1329.8</v>
      </c>
      <c r="AB31" s="222">
        <f>AB30/15</f>
        <v>1121.8666666666666</v>
      </c>
      <c r="AC31" s="223">
        <f>AC30/9</f>
        <v>1579.6666666666667</v>
      </c>
      <c r="AD31" s="223"/>
    </row>
    <row r="32" spans="1:30" x14ac:dyDescent="0.2">
      <c r="A32" s="71" t="s">
        <v>38</v>
      </c>
      <c r="B32" s="26">
        <v>44</v>
      </c>
      <c r="C32" s="26">
        <v>48</v>
      </c>
      <c r="D32" s="54">
        <v>931</v>
      </c>
      <c r="E32" s="27">
        <v>104</v>
      </c>
      <c r="F32" s="26">
        <v>165</v>
      </c>
      <c r="G32" s="25">
        <v>166</v>
      </c>
      <c r="H32" s="26">
        <v>269</v>
      </c>
      <c r="I32" s="18">
        <f t="shared" si="1"/>
        <v>704</v>
      </c>
      <c r="J32" s="27">
        <v>629</v>
      </c>
      <c r="K32" s="27">
        <v>307</v>
      </c>
      <c r="L32" s="27">
        <v>614</v>
      </c>
      <c r="M32" s="27">
        <v>193</v>
      </c>
      <c r="N32" s="18">
        <f t="shared" si="0"/>
        <v>1743</v>
      </c>
      <c r="O32" s="27">
        <v>43</v>
      </c>
      <c r="P32" s="27"/>
      <c r="Q32" s="27"/>
      <c r="W32" s="423" t="s">
        <v>58</v>
      </c>
      <c r="X32" s="378" t="s">
        <v>226</v>
      </c>
      <c r="Y32" s="248" t="s">
        <v>201</v>
      </c>
      <c r="Z32" s="249">
        <f>(D12+D15)/(D11+D14)</f>
        <v>0.43014989641304791</v>
      </c>
      <c r="AA32" s="249">
        <f>(B12+C12+E12+B15+C15+E15)/(B11+C11+E11+B14+C14+E14)</f>
        <v>0.31549727893641111</v>
      </c>
      <c r="AB32" s="249">
        <f>(F12+G12+H12+J12+K12+F15+G15+H15)/(F11+G11+H11+J11+K11+F14+G14+H14+J14+K14+J15+K15)</f>
        <v>0.10748460606887611</v>
      </c>
      <c r="AC32" s="249">
        <f>(L12+M12+O12+L15+M15+O15)/(L11+M11+O11+L14+M14+O14)</f>
        <v>0.22532034853921065</v>
      </c>
      <c r="AD32" s="249">
        <f>(L12+M12+O12+P12+Q12+L15+M15+O15+P15+Q15)/(L11+M11+O11+P11+Q11+L14+M14+O14+P14+Q14)</f>
        <v>0.22532034853921065</v>
      </c>
    </row>
    <row r="33" spans="1:30" x14ac:dyDescent="0.2">
      <c r="A33" s="71" t="s">
        <v>37</v>
      </c>
      <c r="B33" s="26">
        <v>811</v>
      </c>
      <c r="C33" s="26">
        <v>1423</v>
      </c>
      <c r="D33" s="54">
        <v>10408</v>
      </c>
      <c r="E33" s="27">
        <v>3005</v>
      </c>
      <c r="F33" s="26">
        <v>2528</v>
      </c>
      <c r="G33" s="25">
        <v>1877</v>
      </c>
      <c r="H33" s="26">
        <v>2167</v>
      </c>
      <c r="I33" s="18">
        <f t="shared" si="1"/>
        <v>9577</v>
      </c>
      <c r="J33" s="27">
        <v>2672</v>
      </c>
      <c r="K33" s="27">
        <v>4290</v>
      </c>
      <c r="L33" s="27">
        <v>5832</v>
      </c>
      <c r="M33" s="27">
        <v>5063</v>
      </c>
      <c r="N33" s="18">
        <f t="shared" si="0"/>
        <v>17857</v>
      </c>
      <c r="O33" s="27">
        <v>2810</v>
      </c>
      <c r="P33" s="27"/>
      <c r="Q33" s="27"/>
      <c r="W33" s="423"/>
      <c r="X33" s="376"/>
      <c r="Y33" s="220" t="s">
        <v>229</v>
      </c>
      <c r="Z33" s="224">
        <f>D12+D15</f>
        <v>21178</v>
      </c>
      <c r="AA33" s="224">
        <f>B12+C12+E12+B15+C15+E15</f>
        <v>8638</v>
      </c>
      <c r="AB33" s="224">
        <f>F12+G12+H12+J12+K12+F15+G15+H15+J15+K15</f>
        <v>20655</v>
      </c>
      <c r="AC33" s="224">
        <f>L12+M12+O12+L15+M15+O15</f>
        <v>17584</v>
      </c>
      <c r="AD33" s="224">
        <f>L12+M12+O12+P12+Q12+L15+M15+O15+P15+Q15</f>
        <v>17584</v>
      </c>
    </row>
    <row r="34" spans="1:30" x14ac:dyDescent="0.2">
      <c r="A34" s="71" t="s">
        <v>40</v>
      </c>
      <c r="B34" s="26">
        <v>1231</v>
      </c>
      <c r="C34" s="26">
        <v>965</v>
      </c>
      <c r="D34" s="54">
        <v>19384</v>
      </c>
      <c r="E34" s="27">
        <v>2159</v>
      </c>
      <c r="F34" s="26">
        <v>2684</v>
      </c>
      <c r="G34" s="25">
        <v>3133</v>
      </c>
      <c r="H34" s="26">
        <v>6079</v>
      </c>
      <c r="I34" s="18">
        <f t="shared" si="1"/>
        <v>14055</v>
      </c>
      <c r="J34" s="27">
        <v>9746</v>
      </c>
      <c r="K34" s="27">
        <v>6654</v>
      </c>
      <c r="L34" s="27">
        <v>9436</v>
      </c>
      <c r="M34" s="27">
        <v>7112</v>
      </c>
      <c r="N34" s="18">
        <f t="shared" si="0"/>
        <v>32948</v>
      </c>
      <c r="O34" s="27">
        <v>1153</v>
      </c>
      <c r="P34" s="27"/>
      <c r="Q34" s="27"/>
      <c r="W34" s="423"/>
      <c r="X34" s="377"/>
      <c r="Y34" s="220" t="s">
        <v>215</v>
      </c>
      <c r="Z34" s="224">
        <f>D11+D14</f>
        <v>49234</v>
      </c>
      <c r="AA34" s="224">
        <f>B11+C11+E11+B14+C14+E14</f>
        <v>27379</v>
      </c>
      <c r="AB34" s="224">
        <f>F11+G11+H11+J11+K11+F14+G14+H14+J14+K14+J15+K15</f>
        <v>117254</v>
      </c>
      <c r="AC34" s="224">
        <f>L11+M11+O11+L14+M14+O14</f>
        <v>78040</v>
      </c>
      <c r="AD34" s="224">
        <f>L11+M11+O11+P11+Q11+L14+M14+O14+P14+Q14</f>
        <v>78040</v>
      </c>
    </row>
    <row r="35" spans="1:30" x14ac:dyDescent="0.2">
      <c r="A35" s="71" t="s">
        <v>39</v>
      </c>
      <c r="B35" s="26">
        <v>3610</v>
      </c>
      <c r="C35" s="26">
        <v>5143</v>
      </c>
      <c r="D35" s="54">
        <v>32859</v>
      </c>
      <c r="E35" s="27">
        <v>13696</v>
      </c>
      <c r="F35" s="26">
        <v>16664</v>
      </c>
      <c r="G35" s="25">
        <v>13680</v>
      </c>
      <c r="H35" s="26">
        <v>7900</v>
      </c>
      <c r="I35" s="18">
        <f t="shared" si="1"/>
        <v>51940</v>
      </c>
      <c r="J35" s="27">
        <v>5203</v>
      </c>
      <c r="K35" s="27">
        <v>8779</v>
      </c>
      <c r="L35" s="27">
        <v>12949</v>
      </c>
      <c r="M35" s="27">
        <v>13140</v>
      </c>
      <c r="N35" s="18">
        <f t="shared" si="0"/>
        <v>40071</v>
      </c>
      <c r="O35" s="27">
        <v>5556</v>
      </c>
      <c r="P35" s="27"/>
      <c r="Q35" s="27"/>
      <c r="W35" s="423"/>
      <c r="X35" s="378" t="s">
        <v>192</v>
      </c>
      <c r="Y35" s="248" t="s">
        <v>193</v>
      </c>
      <c r="Z35" s="249">
        <f>(D3+D5)/(D2+D4)</f>
        <v>9.8483458182485523E-2</v>
      </c>
      <c r="AA35" s="249">
        <f>(B3+C3+E3+B5+C5+E5)/(B2+C2+E2+B4+C4+E4)</f>
        <v>0.10622065727699531</v>
      </c>
      <c r="AB35" s="249">
        <f>(F3+G3+H3+J3+K3+F5+G5+H5+J5+K5)/(F2+G2+H2+J2+K2+F4+G4+H4+J4+K4)</f>
        <v>6.9259502645868637E-2</v>
      </c>
      <c r="AC35" s="249">
        <f>(L3+M3+O3+L5+M5+O5)/(L2+M2+O2+L4+M4+O4)</f>
        <v>6.0746096224797826E-2</v>
      </c>
      <c r="AD35" s="249">
        <f>(L3+M3+O3+P3+Q3+L5+M5+O5+P5+Q5)/(L2+M2+O2+P2+Q2+L4+M4+O4+P4+Q4)</f>
        <v>6.0746096224797826E-2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423"/>
      <c r="X36" s="376"/>
      <c r="Y36" s="220" t="s">
        <v>233</v>
      </c>
      <c r="Z36" s="224">
        <f>D3+D5</f>
        <v>5903</v>
      </c>
      <c r="AA36" s="224">
        <f>B3+C3+E3+B5+C5+E5</f>
        <v>1810</v>
      </c>
      <c r="AB36" s="224">
        <f>(F3+G3+H3+J3+K3+F5+G5+H5+J5+K5)</f>
        <v>4005</v>
      </c>
      <c r="AC36" s="224">
        <f>(L3+M3+O3+L5+M5+O5)</f>
        <v>1630</v>
      </c>
      <c r="AD36" s="250">
        <f>(L3+M3+O3+P3+Q3+L5+M5+O5+P5+Q5)</f>
        <v>1630</v>
      </c>
    </row>
    <row r="37" spans="1:30" x14ac:dyDescent="0.2">
      <c r="A37" s="71" t="s">
        <v>41</v>
      </c>
      <c r="B37" s="26">
        <v>309</v>
      </c>
      <c r="C37" s="189">
        <v>1013</v>
      </c>
      <c r="D37" s="54">
        <v>2338</v>
      </c>
      <c r="E37" s="27">
        <v>961</v>
      </c>
      <c r="F37" s="26">
        <v>1251</v>
      </c>
      <c r="G37" s="25">
        <v>733</v>
      </c>
      <c r="H37" s="26">
        <v>53</v>
      </c>
      <c r="I37" s="18">
        <f t="shared" si="1"/>
        <v>2998</v>
      </c>
      <c r="J37" s="27">
        <v>92</v>
      </c>
      <c r="K37" s="53">
        <v>45</v>
      </c>
      <c r="L37" s="53">
        <v>331</v>
      </c>
      <c r="M37" s="53">
        <v>40</v>
      </c>
      <c r="N37" s="18">
        <f t="shared" si="0"/>
        <v>508</v>
      </c>
      <c r="O37" s="27">
        <v>105</v>
      </c>
      <c r="P37" s="53"/>
      <c r="Q37" s="53"/>
      <c r="W37" s="423"/>
      <c r="X37" s="377"/>
      <c r="Y37" s="220" t="s">
        <v>234</v>
      </c>
      <c r="Z37" s="224">
        <f>D2+D4</f>
        <v>59939</v>
      </c>
      <c r="AA37" s="224">
        <f>B2+C2+E2+B4+C4+E4</f>
        <v>17040</v>
      </c>
      <c r="AB37" s="224">
        <f>(F2+G2+H2+J2+K2+F4+G4+H4+J4+K4)</f>
        <v>57826</v>
      </c>
      <c r="AC37" s="250">
        <f>(L2+M2+O2+L4+M4+O4)</f>
        <v>26833</v>
      </c>
      <c r="AD37" s="250">
        <f>(L2+M2+O2+P2+Q2+L4+M4+O4+P4+Q4)</f>
        <v>26833</v>
      </c>
    </row>
    <row r="38" spans="1:30" x14ac:dyDescent="0.2">
      <c r="A38" s="71" t="s">
        <v>44</v>
      </c>
      <c r="B38" s="26">
        <v>1275</v>
      </c>
      <c r="C38" s="26">
        <v>1013</v>
      </c>
      <c r="D38" s="54">
        <v>20315</v>
      </c>
      <c r="E38" s="27">
        <v>2263</v>
      </c>
      <c r="F38" s="26">
        <v>2849</v>
      </c>
      <c r="G38" s="25">
        <v>3299</v>
      </c>
      <c r="H38" s="26">
        <v>6348</v>
      </c>
      <c r="I38" s="18">
        <f t="shared" si="1"/>
        <v>14759</v>
      </c>
      <c r="J38" s="27">
        <v>10375</v>
      </c>
      <c r="K38" s="26">
        <v>6961</v>
      </c>
      <c r="L38" s="26">
        <v>10050</v>
      </c>
      <c r="M38" s="26">
        <v>7305</v>
      </c>
      <c r="N38" s="18">
        <f t="shared" si="0"/>
        <v>34691</v>
      </c>
      <c r="O38" s="27">
        <v>1196</v>
      </c>
      <c r="P38" s="26"/>
      <c r="Q38" s="26"/>
      <c r="W38" s="423"/>
      <c r="X38" s="378" t="s">
        <v>230</v>
      </c>
      <c r="Y38" s="248" t="s">
        <v>194</v>
      </c>
      <c r="Z38" s="249">
        <f>(D7+D9)/(D6+D8)</f>
        <v>0.2085249082549458</v>
      </c>
      <c r="AA38" s="249">
        <f>(B7+C7+E7+B9+C9+E9)/(B6+C6+E6+B8+C8+E8)</f>
        <v>0.1887618496273247</v>
      </c>
      <c r="AB38" s="249">
        <f>(F7+G7+H7+J7+K7+F9+G9+H9+J9+K9)/(F6+G6+H6+J6+K6+F8+G8+H8+J8+K8)</f>
        <v>0.19597835624451593</v>
      </c>
      <c r="AC38" s="249">
        <f>(L7+M7+O7+L9+M9+O9)/(L6+M6+O6+L8+M8+O8)</f>
        <v>0.29201425188282731</v>
      </c>
      <c r="AD38" s="249">
        <f>(L7+M7+O7+P7+Q7+L9+M9+O9+P9+Q9)/(L6+M6+O6+P6+Q6+L8+M8+O8+P8+Q8)</f>
        <v>0.29201425188282731</v>
      </c>
    </row>
    <row r="39" spans="1:30" x14ac:dyDescent="0.2">
      <c r="A39" s="71" t="s">
        <v>43</v>
      </c>
      <c r="B39" s="26">
        <v>4421</v>
      </c>
      <c r="C39" s="26">
        <v>6566</v>
      </c>
      <c r="D39" s="54">
        <v>43267</v>
      </c>
      <c r="E39" s="27">
        <v>16701</v>
      </c>
      <c r="F39" s="26">
        <v>19192</v>
      </c>
      <c r="G39" s="25">
        <v>15557</v>
      </c>
      <c r="H39" s="26">
        <v>10067</v>
      </c>
      <c r="I39" s="18">
        <f t="shared" si="1"/>
        <v>61517</v>
      </c>
      <c r="J39" s="27">
        <v>7875</v>
      </c>
      <c r="K39" s="26">
        <v>13069</v>
      </c>
      <c r="L39" s="26">
        <v>18781</v>
      </c>
      <c r="M39" s="26">
        <v>18203</v>
      </c>
      <c r="N39" s="18">
        <f t="shared" si="0"/>
        <v>57928</v>
      </c>
      <c r="O39" s="27">
        <v>8366</v>
      </c>
      <c r="P39" s="26"/>
      <c r="Q39" s="26"/>
      <c r="W39" s="423"/>
      <c r="X39" s="376"/>
      <c r="Y39" s="220" t="s">
        <v>235</v>
      </c>
      <c r="Z39" s="224">
        <f>D7+D9</f>
        <v>9887</v>
      </c>
      <c r="AA39" s="224">
        <f>B7+C7+E7+B9+C9+E9</f>
        <v>5217</v>
      </c>
      <c r="AB39" s="224">
        <f>(F7+G7+H7+J7+K7+F9+G9+H9+J9+K9)</f>
        <v>13401</v>
      </c>
      <c r="AC39" s="250">
        <f>(L7+M7+O7+L9+M9+O9)</f>
        <v>13687</v>
      </c>
      <c r="AD39" s="250">
        <f>(L7+M7+O7+P7+Q7+L9+M9+O9+P9+Q9)</f>
        <v>13687</v>
      </c>
    </row>
    <row r="40" spans="1:30" ht="16" thickBot="1" x14ac:dyDescent="0.25">
      <c r="A40" s="76" t="s">
        <v>45</v>
      </c>
      <c r="B40" s="34">
        <v>3</v>
      </c>
      <c r="C40" s="34">
        <v>439</v>
      </c>
      <c r="D40" s="47">
        <v>1174</v>
      </c>
      <c r="E40" s="48">
        <v>2</v>
      </c>
      <c r="F40" s="34">
        <v>1277</v>
      </c>
      <c r="G40" s="33">
        <v>724</v>
      </c>
      <c r="H40" s="34">
        <v>16</v>
      </c>
      <c r="I40" s="38">
        <f t="shared" si="1"/>
        <v>2019</v>
      </c>
      <c r="J40" s="48">
        <v>3280</v>
      </c>
      <c r="K40" s="77">
        <v>32</v>
      </c>
      <c r="L40" s="77">
        <v>35</v>
      </c>
      <c r="M40" s="77">
        <v>0</v>
      </c>
      <c r="N40" s="18">
        <f t="shared" si="0"/>
        <v>3347</v>
      </c>
      <c r="O40" s="48">
        <v>0</v>
      </c>
      <c r="P40" s="77"/>
      <c r="Q40" s="77"/>
      <c r="W40" s="423"/>
      <c r="X40" s="377"/>
      <c r="Y40" s="220" t="s">
        <v>236</v>
      </c>
      <c r="Z40" s="250">
        <f>D6+D8</f>
        <v>47414</v>
      </c>
      <c r="AA40" s="250">
        <f>B6+C6+E6+B8+C8+E8</f>
        <v>27638</v>
      </c>
      <c r="AB40" s="250">
        <f>(F6+G6+H6+J6+K6+F8+G8+H8+J8+K8)</f>
        <v>68380</v>
      </c>
      <c r="AC40" s="250">
        <f>(L6+M6+O6+L8+M8+O8)</f>
        <v>46871</v>
      </c>
      <c r="AD40" s="250">
        <f>(L6+M6+O6+P6+Q6+L8+M8+O8+P8+Q8)</f>
        <v>46871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f>69+139.5+99+156</f>
        <v>463.5</v>
      </c>
      <c r="N41" s="42">
        <f>SUM(M41)</f>
        <v>463.5</v>
      </c>
      <c r="O41" s="194">
        <f>75+72+87+75</f>
        <v>309</v>
      </c>
      <c r="P41" s="194">
        <v>0</v>
      </c>
      <c r="Q41" s="194">
        <v>0</v>
      </c>
      <c r="W41" s="485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701</v>
      </c>
      <c r="N42" s="18">
        <f t="shared" ref="N42:N56" si="4">SUM(M42)</f>
        <v>701</v>
      </c>
      <c r="O42" s="188">
        <v>432</v>
      </c>
      <c r="P42" s="188">
        <v>0</v>
      </c>
      <c r="Q42" s="188">
        <v>0</v>
      </c>
      <c r="W42" s="485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57</v>
      </c>
      <c r="N43" s="18">
        <f t="shared" si="4"/>
        <v>57</v>
      </c>
      <c r="O43" s="188">
        <v>46</v>
      </c>
      <c r="P43" s="188">
        <v>0</v>
      </c>
      <c r="Q43" s="188">
        <v>0</v>
      </c>
      <c r="W43" s="485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113</v>
      </c>
      <c r="N44" s="18">
        <f t="shared" si="4"/>
        <v>113</v>
      </c>
      <c r="O44" s="188">
        <v>71</v>
      </c>
      <c r="P44" s="188">
        <v>0</v>
      </c>
      <c r="Q44" s="188">
        <v>0</v>
      </c>
      <c r="W44" s="485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90</v>
      </c>
      <c r="N45" s="18">
        <f t="shared" si="4"/>
        <v>90</v>
      </c>
      <c r="O45" s="195">
        <v>48</v>
      </c>
      <c r="P45" s="195">
        <v>0</v>
      </c>
      <c r="Q45" s="195">
        <v>0</v>
      </c>
      <c r="W45" s="485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182</v>
      </c>
      <c r="N46" s="18">
        <f t="shared" si="4"/>
        <v>182</v>
      </c>
      <c r="O46" s="188">
        <v>112</v>
      </c>
      <c r="P46" s="188">
        <v>0</v>
      </c>
      <c r="Q46" s="188">
        <v>0</v>
      </c>
      <c r="W46" s="485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67</v>
      </c>
      <c r="N47" s="18">
        <f t="shared" si="4"/>
        <v>67</v>
      </c>
      <c r="O47" s="195">
        <v>49</v>
      </c>
      <c r="P47" s="195">
        <v>0</v>
      </c>
      <c r="Q47" s="195">
        <v>0</v>
      </c>
      <c r="W47" s="485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27</v>
      </c>
      <c r="N48" s="18">
        <f t="shared" si="4"/>
        <v>27</v>
      </c>
      <c r="O48" s="195">
        <v>36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0</v>
      </c>
      <c r="N49" s="18">
        <f t="shared" si="4"/>
        <v>0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106</v>
      </c>
      <c r="N50" s="18">
        <f t="shared" si="4"/>
        <v>106</v>
      </c>
      <c r="O50" s="195">
        <v>85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2</v>
      </c>
      <c r="N51" s="18">
        <f t="shared" si="4"/>
        <v>2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375</v>
      </c>
      <c r="N52" s="18">
        <f t="shared" si="4"/>
        <v>375</v>
      </c>
      <c r="O52" s="195">
        <v>225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226</v>
      </c>
      <c r="N53" s="18">
        <f t="shared" si="4"/>
        <v>226</v>
      </c>
      <c r="O53" s="195">
        <v>122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601</v>
      </c>
      <c r="N55" s="18">
        <f t="shared" si="4"/>
        <v>601</v>
      </c>
      <c r="O55" s="195">
        <v>347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4</v>
      </c>
      <c r="N56" s="38">
        <f t="shared" si="4"/>
        <v>4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158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0</v>
      </c>
      <c r="E60" s="15">
        <v>0</v>
      </c>
      <c r="F60" s="13">
        <v>0</v>
      </c>
      <c r="G60" s="13">
        <v>0</v>
      </c>
      <c r="H60" s="13">
        <v>0</v>
      </c>
      <c r="I60" s="18">
        <f>E60+F60+G60+H60</f>
        <v>0</v>
      </c>
      <c r="J60" s="19">
        <v>0</v>
      </c>
      <c r="K60" s="20">
        <v>0</v>
      </c>
      <c r="L60" s="20">
        <v>0</v>
      </c>
      <c r="M60" s="20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2">
        <v>0</v>
      </c>
      <c r="C61" s="12">
        <v>0</v>
      </c>
      <c r="D61" s="23">
        <v>0</v>
      </c>
      <c r="E61" s="24">
        <v>0</v>
      </c>
      <c r="F61" s="12">
        <v>0</v>
      </c>
      <c r="G61" s="12">
        <v>0</v>
      </c>
      <c r="H61" s="12">
        <v>0</v>
      </c>
      <c r="I61" s="18">
        <f t="shared" ref="I61:I80" si="6">E61+F61+G61+H61</f>
        <v>0</v>
      </c>
      <c r="J61" s="27">
        <v>0</v>
      </c>
      <c r="K61" s="26">
        <v>0</v>
      </c>
      <c r="L61" s="26">
        <v>0</v>
      </c>
      <c r="M61" s="26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2">
        <v>0</v>
      </c>
      <c r="C62" s="12">
        <v>0</v>
      </c>
      <c r="D62" s="23">
        <v>0</v>
      </c>
      <c r="E62" s="24">
        <v>0</v>
      </c>
      <c r="F62" s="12">
        <v>0</v>
      </c>
      <c r="G62" s="12">
        <v>0</v>
      </c>
      <c r="H62" s="12">
        <v>0</v>
      </c>
      <c r="I62" s="18">
        <f t="shared" si="6"/>
        <v>0</v>
      </c>
      <c r="J62" s="27">
        <v>0</v>
      </c>
      <c r="K62" s="26">
        <v>0</v>
      </c>
      <c r="L62" s="26">
        <v>0</v>
      </c>
      <c r="M62" s="26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0</v>
      </c>
      <c r="E63" s="24">
        <v>0</v>
      </c>
      <c r="F63" s="12">
        <v>0</v>
      </c>
      <c r="G63" s="12">
        <v>0</v>
      </c>
      <c r="H63" s="12">
        <v>0</v>
      </c>
      <c r="I63" s="18">
        <f t="shared" si="6"/>
        <v>0</v>
      </c>
      <c r="J63" s="27">
        <v>0</v>
      </c>
      <c r="K63" s="26">
        <v>0</v>
      </c>
      <c r="L63" s="26">
        <v>0</v>
      </c>
      <c r="M63" s="26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248</v>
      </c>
      <c r="C64" s="12">
        <v>249</v>
      </c>
      <c r="D64" s="23">
        <v>1741</v>
      </c>
      <c r="E64" s="24">
        <v>130</v>
      </c>
      <c r="F64" s="12">
        <v>113</v>
      </c>
      <c r="G64" s="25">
        <v>279</v>
      </c>
      <c r="H64" s="26">
        <v>396</v>
      </c>
      <c r="I64" s="18">
        <f t="shared" si="6"/>
        <v>918</v>
      </c>
      <c r="J64" s="27">
        <v>465</v>
      </c>
      <c r="K64" s="26">
        <v>384</v>
      </c>
      <c r="L64" s="28">
        <v>1360</v>
      </c>
      <c r="M64" s="26">
        <v>725</v>
      </c>
      <c r="N64" s="18">
        <f t="shared" si="5"/>
        <v>2934</v>
      </c>
      <c r="O64" s="27">
        <v>337</v>
      </c>
      <c r="P64" s="26"/>
      <c r="Q64" s="28"/>
    </row>
    <row r="65" spans="1:17" x14ac:dyDescent="0.2">
      <c r="A65" s="11" t="s">
        <v>7</v>
      </c>
      <c r="B65" s="12">
        <v>85</v>
      </c>
      <c r="C65" s="12">
        <v>119</v>
      </c>
      <c r="D65" s="23">
        <v>749</v>
      </c>
      <c r="E65" s="24">
        <v>43</v>
      </c>
      <c r="F65" s="12">
        <v>39</v>
      </c>
      <c r="G65" s="25">
        <v>161</v>
      </c>
      <c r="H65" s="26">
        <v>103</v>
      </c>
      <c r="I65" s="18">
        <f t="shared" si="6"/>
        <v>346</v>
      </c>
      <c r="J65" s="27">
        <v>181</v>
      </c>
      <c r="K65" s="26">
        <v>144</v>
      </c>
      <c r="L65" s="28">
        <v>716</v>
      </c>
      <c r="M65" s="26">
        <v>312</v>
      </c>
      <c r="N65" s="18">
        <f t="shared" si="5"/>
        <v>1353</v>
      </c>
      <c r="O65" s="27">
        <v>197</v>
      </c>
      <c r="P65" s="26"/>
      <c r="Q65" s="28"/>
    </row>
    <row r="66" spans="1:17" x14ac:dyDescent="0.2">
      <c r="A66" s="22" t="s">
        <v>12</v>
      </c>
      <c r="B66" s="12">
        <v>78</v>
      </c>
      <c r="C66" s="12">
        <v>546</v>
      </c>
      <c r="D66" s="23">
        <v>4215</v>
      </c>
      <c r="E66" s="24">
        <v>361</v>
      </c>
      <c r="F66" s="12">
        <v>669</v>
      </c>
      <c r="G66" s="25">
        <v>1121</v>
      </c>
      <c r="H66" s="26">
        <v>1215</v>
      </c>
      <c r="I66" s="18">
        <f t="shared" si="6"/>
        <v>3366</v>
      </c>
      <c r="J66" s="27">
        <v>1283</v>
      </c>
      <c r="K66" s="26">
        <v>1335</v>
      </c>
      <c r="L66" s="28">
        <v>2198</v>
      </c>
      <c r="M66" s="26">
        <v>2268</v>
      </c>
      <c r="N66" s="18">
        <f t="shared" si="5"/>
        <v>7084</v>
      </c>
      <c r="O66" s="27">
        <v>1377</v>
      </c>
      <c r="P66" s="49"/>
      <c r="Q66" s="37"/>
    </row>
    <row r="67" spans="1:17" ht="16" thickBot="1" x14ac:dyDescent="0.25">
      <c r="A67" s="22" t="s">
        <v>8</v>
      </c>
      <c r="B67" s="30">
        <v>38</v>
      </c>
      <c r="C67" s="30">
        <v>196</v>
      </c>
      <c r="D67" s="31">
        <v>1844</v>
      </c>
      <c r="E67" s="32">
        <v>151</v>
      </c>
      <c r="F67" s="30">
        <v>261</v>
      </c>
      <c r="G67" s="33">
        <v>459</v>
      </c>
      <c r="H67" s="34">
        <v>408</v>
      </c>
      <c r="I67" s="18">
        <f t="shared" si="6"/>
        <v>1279</v>
      </c>
      <c r="J67" s="35">
        <v>748</v>
      </c>
      <c r="K67" s="36">
        <v>534</v>
      </c>
      <c r="L67" s="37">
        <v>948</v>
      </c>
      <c r="M67" s="36">
        <v>1144</v>
      </c>
      <c r="N67" s="38">
        <f t="shared" si="5"/>
        <v>3374</v>
      </c>
      <c r="O67" s="182">
        <v>900</v>
      </c>
      <c r="P67" s="49"/>
      <c r="Q67" s="37"/>
    </row>
    <row r="68" spans="1:17" ht="16" thickTop="1" x14ac:dyDescent="0.2">
      <c r="A68" s="177" t="s">
        <v>19</v>
      </c>
      <c r="B68" s="13">
        <v>78</v>
      </c>
      <c r="C68" s="13">
        <v>257</v>
      </c>
      <c r="D68" s="14">
        <v>1584</v>
      </c>
      <c r="E68" s="40">
        <v>285</v>
      </c>
      <c r="F68" s="13">
        <v>298</v>
      </c>
      <c r="G68" s="41">
        <v>305</v>
      </c>
      <c r="H68" s="20">
        <v>456</v>
      </c>
      <c r="I68" s="42">
        <f t="shared" si="6"/>
        <v>1344</v>
      </c>
      <c r="J68" s="43">
        <v>467</v>
      </c>
      <c r="K68" s="17">
        <v>349</v>
      </c>
      <c r="L68" s="44">
        <v>617</v>
      </c>
      <c r="M68" s="17">
        <v>725</v>
      </c>
      <c r="N68" s="18">
        <f t="shared" si="5"/>
        <v>2158</v>
      </c>
      <c r="O68" s="43">
        <v>528</v>
      </c>
      <c r="P68" s="17"/>
      <c r="Q68" s="44"/>
    </row>
    <row r="69" spans="1:17" x14ac:dyDescent="0.2">
      <c r="A69" s="45" t="s">
        <v>16</v>
      </c>
      <c r="B69" s="12">
        <v>78</v>
      </c>
      <c r="C69" s="12">
        <v>257</v>
      </c>
      <c r="D69" s="23">
        <v>949</v>
      </c>
      <c r="E69" s="24">
        <v>285</v>
      </c>
      <c r="F69" s="12">
        <v>298</v>
      </c>
      <c r="G69" s="25">
        <v>305</v>
      </c>
      <c r="H69" s="26">
        <v>456</v>
      </c>
      <c r="I69" s="18">
        <f t="shared" si="6"/>
        <v>1344</v>
      </c>
      <c r="J69" s="27">
        <v>467</v>
      </c>
      <c r="K69" s="26">
        <v>343</v>
      </c>
      <c r="L69" s="28">
        <v>617</v>
      </c>
      <c r="M69" s="26">
        <v>725</v>
      </c>
      <c r="N69" s="18">
        <f t="shared" si="5"/>
        <v>2152</v>
      </c>
      <c r="O69" s="27">
        <v>528</v>
      </c>
      <c r="P69" s="26"/>
      <c r="Q69" s="28"/>
    </row>
    <row r="70" spans="1:17" x14ac:dyDescent="0.2">
      <c r="A70" s="177" t="s">
        <v>15</v>
      </c>
      <c r="B70" s="12">
        <v>26</v>
      </c>
      <c r="C70" s="12">
        <v>73</v>
      </c>
      <c r="D70" s="23">
        <v>646</v>
      </c>
      <c r="E70" s="24">
        <v>111</v>
      </c>
      <c r="F70" s="12">
        <v>99</v>
      </c>
      <c r="G70" s="25">
        <v>118</v>
      </c>
      <c r="H70" s="26">
        <v>103</v>
      </c>
      <c r="I70" s="18">
        <f t="shared" si="6"/>
        <v>431</v>
      </c>
      <c r="J70" s="27">
        <v>181</v>
      </c>
      <c r="K70" s="26">
        <v>81</v>
      </c>
      <c r="L70" s="28">
        <v>284</v>
      </c>
      <c r="M70" s="26">
        <v>312</v>
      </c>
      <c r="N70" s="18">
        <f t="shared" si="5"/>
        <v>858</v>
      </c>
      <c r="O70" s="27">
        <v>289</v>
      </c>
      <c r="P70" s="26"/>
      <c r="Q70" s="28"/>
    </row>
    <row r="71" spans="1:17" x14ac:dyDescent="0.2">
      <c r="A71" s="45" t="s">
        <v>20</v>
      </c>
      <c r="B71" s="12">
        <v>248</v>
      </c>
      <c r="C71" s="12">
        <v>546</v>
      </c>
      <c r="D71" s="23">
        <v>5340</v>
      </c>
      <c r="E71" s="24">
        <v>951</v>
      </c>
      <c r="F71" s="12">
        <v>1372</v>
      </c>
      <c r="G71" s="25">
        <v>1227</v>
      </c>
      <c r="H71" s="26">
        <v>1215</v>
      </c>
      <c r="I71" s="18">
        <f t="shared" si="6"/>
        <v>4765</v>
      </c>
      <c r="J71" s="27">
        <v>1283</v>
      </c>
      <c r="K71" s="26">
        <v>1149</v>
      </c>
      <c r="L71" s="28">
        <v>1973</v>
      </c>
      <c r="M71" s="26">
        <v>2278</v>
      </c>
      <c r="N71" s="18">
        <f t="shared" si="5"/>
        <v>6683</v>
      </c>
      <c r="O71" s="27">
        <v>2086</v>
      </c>
      <c r="P71" s="26"/>
      <c r="Q71" s="28"/>
    </row>
    <row r="72" spans="1:17" x14ac:dyDescent="0.2">
      <c r="A72" s="45" t="s">
        <v>18</v>
      </c>
      <c r="B72" s="189">
        <v>0</v>
      </c>
      <c r="C72" s="189">
        <v>0</v>
      </c>
      <c r="D72" s="23">
        <v>117</v>
      </c>
      <c r="E72" s="24">
        <v>0</v>
      </c>
      <c r="F72" s="12">
        <v>1123</v>
      </c>
      <c r="G72" s="25">
        <v>982</v>
      </c>
      <c r="H72" s="26">
        <v>788</v>
      </c>
      <c r="I72" s="18">
        <f t="shared" si="6"/>
        <v>2893</v>
      </c>
      <c r="J72" s="27">
        <v>1283</v>
      </c>
      <c r="K72" s="26">
        <v>1149</v>
      </c>
      <c r="L72" s="28">
        <v>1973</v>
      </c>
      <c r="M72" s="26">
        <v>2271</v>
      </c>
      <c r="N72" s="18">
        <f t="shared" si="5"/>
        <v>6676</v>
      </c>
      <c r="O72" s="27">
        <v>2086</v>
      </c>
      <c r="P72" s="26"/>
      <c r="Q72" s="28"/>
    </row>
    <row r="73" spans="1:17" x14ac:dyDescent="0.2">
      <c r="A73" s="45" t="s">
        <v>17</v>
      </c>
      <c r="B73" s="12">
        <v>85</v>
      </c>
      <c r="C73" s="12">
        <v>196</v>
      </c>
      <c r="D73" s="23">
        <v>2478</v>
      </c>
      <c r="E73" s="24">
        <v>388</v>
      </c>
      <c r="F73" s="12">
        <v>535</v>
      </c>
      <c r="G73" s="25">
        <v>493</v>
      </c>
      <c r="H73" s="26">
        <v>407</v>
      </c>
      <c r="I73" s="18">
        <f t="shared" si="6"/>
        <v>1823</v>
      </c>
      <c r="J73" s="27">
        <v>748</v>
      </c>
      <c r="K73" s="26">
        <v>414</v>
      </c>
      <c r="L73" s="28">
        <v>886</v>
      </c>
      <c r="M73" s="26">
        <v>1139</v>
      </c>
      <c r="N73" s="18">
        <f t="shared" si="5"/>
        <v>3187</v>
      </c>
      <c r="O73" s="27">
        <v>1304</v>
      </c>
      <c r="P73" s="26"/>
      <c r="Q73" s="28"/>
    </row>
    <row r="74" spans="1:17" ht="16" thickBot="1" x14ac:dyDescent="0.25">
      <c r="A74" s="179" t="s">
        <v>21</v>
      </c>
      <c r="B74" s="34">
        <v>15</v>
      </c>
      <c r="C74" s="34">
        <v>5</v>
      </c>
      <c r="D74" s="47">
        <v>21</v>
      </c>
      <c r="E74" s="48">
        <v>12</v>
      </c>
      <c r="F74" s="34">
        <v>23</v>
      </c>
      <c r="G74" s="33">
        <v>16</v>
      </c>
      <c r="H74" s="34">
        <v>2</v>
      </c>
      <c r="I74" s="38">
        <f t="shared" si="6"/>
        <v>53</v>
      </c>
      <c r="J74" s="48">
        <v>9</v>
      </c>
      <c r="K74" s="49">
        <v>7</v>
      </c>
      <c r="L74" s="37">
        <v>2</v>
      </c>
      <c r="M74" s="49">
        <v>5</v>
      </c>
      <c r="N74" s="18">
        <f t="shared" si="5"/>
        <v>23</v>
      </c>
      <c r="O74" s="48">
        <v>18</v>
      </c>
      <c r="P74" s="49"/>
      <c r="Q74" s="37"/>
    </row>
    <row r="75" spans="1:17" ht="16" thickTop="1" x14ac:dyDescent="0.2">
      <c r="A75" s="55" t="s">
        <v>25</v>
      </c>
      <c r="B75" s="13">
        <v>15</v>
      </c>
      <c r="C75" s="13">
        <v>14</v>
      </c>
      <c r="D75" s="14">
        <v>191</v>
      </c>
      <c r="E75" s="40">
        <v>46</v>
      </c>
      <c r="F75" s="13">
        <v>46</v>
      </c>
      <c r="G75" s="41">
        <v>41</v>
      </c>
      <c r="H75" s="20">
        <v>42</v>
      </c>
      <c r="I75" s="18">
        <f t="shared" si="6"/>
        <v>175</v>
      </c>
      <c r="J75" s="19">
        <v>53</v>
      </c>
      <c r="K75" s="51">
        <v>48</v>
      </c>
      <c r="L75" s="44">
        <v>44</v>
      </c>
      <c r="M75" s="51">
        <v>52</v>
      </c>
      <c r="N75" s="42">
        <f t="shared" si="5"/>
        <v>197</v>
      </c>
      <c r="O75" s="19">
        <v>37</v>
      </c>
      <c r="P75" s="51"/>
      <c r="Q75" s="44"/>
    </row>
    <row r="76" spans="1:17" x14ac:dyDescent="0.2">
      <c r="A76" s="52" t="s">
        <v>26</v>
      </c>
      <c r="B76" s="12">
        <v>49</v>
      </c>
      <c r="C76" s="12">
        <v>47</v>
      </c>
      <c r="D76" s="23">
        <v>663</v>
      </c>
      <c r="E76" s="24">
        <v>152</v>
      </c>
      <c r="F76" s="12">
        <v>137</v>
      </c>
      <c r="G76" s="25">
        <v>123</v>
      </c>
      <c r="H76" s="26">
        <v>111</v>
      </c>
      <c r="I76" s="18">
        <f t="shared" si="6"/>
        <v>523</v>
      </c>
      <c r="J76" s="27">
        <v>123</v>
      </c>
      <c r="K76" s="53">
        <v>123</v>
      </c>
      <c r="L76" s="28">
        <v>121</v>
      </c>
      <c r="M76" s="53">
        <v>148</v>
      </c>
      <c r="N76" s="18">
        <f t="shared" si="5"/>
        <v>515</v>
      </c>
      <c r="O76" s="27">
        <v>105</v>
      </c>
      <c r="P76" s="53"/>
      <c r="Q76" s="28"/>
    </row>
    <row r="77" spans="1:17" x14ac:dyDescent="0.2">
      <c r="A77" s="52" t="s">
        <v>27</v>
      </c>
      <c r="B77" s="26">
        <v>7</v>
      </c>
      <c r="C77" s="26">
        <v>9</v>
      </c>
      <c r="D77" s="54">
        <v>125</v>
      </c>
      <c r="E77" s="27">
        <v>25</v>
      </c>
      <c r="F77" s="26">
        <v>33</v>
      </c>
      <c r="G77" s="25">
        <v>29</v>
      </c>
      <c r="H77" s="26">
        <v>16</v>
      </c>
      <c r="I77" s="18">
        <f t="shared" si="6"/>
        <v>103</v>
      </c>
      <c r="J77" s="27">
        <v>26</v>
      </c>
      <c r="K77" s="53">
        <v>25</v>
      </c>
      <c r="L77" s="28">
        <v>21</v>
      </c>
      <c r="M77" s="53">
        <v>24</v>
      </c>
      <c r="N77" s="18">
        <f t="shared" si="5"/>
        <v>96</v>
      </c>
      <c r="O77" s="27">
        <v>21</v>
      </c>
      <c r="P77" s="53"/>
      <c r="Q77" s="28"/>
    </row>
    <row r="78" spans="1:17" x14ac:dyDescent="0.2">
      <c r="A78" s="52" t="s">
        <v>28</v>
      </c>
      <c r="B78" s="56">
        <v>1</v>
      </c>
      <c r="C78" s="56">
        <v>0</v>
      </c>
      <c r="D78" s="57">
        <v>5</v>
      </c>
      <c r="E78" s="58">
        <v>0</v>
      </c>
      <c r="F78" s="59">
        <v>1</v>
      </c>
      <c r="G78" s="60">
        <v>0</v>
      </c>
      <c r="H78" s="61">
        <v>7</v>
      </c>
      <c r="I78" s="18">
        <f t="shared" si="6"/>
        <v>8</v>
      </c>
      <c r="J78" s="27">
        <v>0</v>
      </c>
      <c r="K78" s="53">
        <v>1</v>
      </c>
      <c r="L78" s="28">
        <v>1</v>
      </c>
      <c r="M78" s="53">
        <v>0</v>
      </c>
      <c r="N78" s="18">
        <f t="shared" si="5"/>
        <v>2</v>
      </c>
      <c r="O78" s="27">
        <v>0</v>
      </c>
      <c r="P78" s="53"/>
      <c r="Q78" s="28"/>
    </row>
    <row r="79" spans="1:17" x14ac:dyDescent="0.2">
      <c r="A79" s="55" t="s">
        <v>22</v>
      </c>
      <c r="B79" s="56">
        <v>15</v>
      </c>
      <c r="C79" s="56">
        <v>17</v>
      </c>
      <c r="D79" s="57">
        <v>251</v>
      </c>
      <c r="E79" s="58">
        <v>42</v>
      </c>
      <c r="F79" s="59">
        <v>51</v>
      </c>
      <c r="G79" s="60">
        <v>45</v>
      </c>
      <c r="H79" s="61">
        <v>42</v>
      </c>
      <c r="I79" s="18">
        <f t="shared" si="6"/>
        <v>180</v>
      </c>
      <c r="J79" s="27">
        <v>50</v>
      </c>
      <c r="K79" s="53">
        <v>41</v>
      </c>
      <c r="L79" s="28">
        <v>29</v>
      </c>
      <c r="M79" s="53">
        <v>50</v>
      </c>
      <c r="N79" s="18">
        <f t="shared" si="5"/>
        <v>170</v>
      </c>
      <c r="O79" s="27">
        <v>35</v>
      </c>
      <c r="P79" s="53"/>
      <c r="Q79" s="28"/>
    </row>
    <row r="80" spans="1:17" x14ac:dyDescent="0.2">
      <c r="A80" s="52" t="s">
        <v>23</v>
      </c>
      <c r="B80" s="56">
        <v>16</v>
      </c>
      <c r="C80" s="56">
        <v>13</v>
      </c>
      <c r="D80" s="57">
        <v>203</v>
      </c>
      <c r="E80" s="58">
        <v>45</v>
      </c>
      <c r="F80" s="59">
        <v>16</v>
      </c>
      <c r="G80" s="60">
        <v>59</v>
      </c>
      <c r="H80" s="61">
        <v>42</v>
      </c>
      <c r="I80" s="18">
        <f t="shared" si="6"/>
        <v>162</v>
      </c>
      <c r="J80" s="27">
        <v>44</v>
      </c>
      <c r="K80" s="53">
        <v>39</v>
      </c>
      <c r="L80" s="28">
        <v>18</v>
      </c>
      <c r="M80" s="53">
        <v>61</v>
      </c>
      <c r="N80" s="18">
        <f t="shared" si="5"/>
        <v>162</v>
      </c>
      <c r="O80" s="27">
        <v>30</v>
      </c>
      <c r="P80" s="53"/>
      <c r="Q80" s="28"/>
    </row>
    <row r="81" spans="1:30" ht="17" thickBot="1" x14ac:dyDescent="0.25">
      <c r="A81" s="52" t="s">
        <v>24</v>
      </c>
      <c r="B81" s="63">
        <v>16</v>
      </c>
      <c r="C81" s="63">
        <v>18</v>
      </c>
      <c r="D81" s="64">
        <v>153</v>
      </c>
      <c r="E81" s="65">
        <v>43</v>
      </c>
      <c r="F81" s="66">
        <v>4</v>
      </c>
      <c r="G81" s="67">
        <v>35</v>
      </c>
      <c r="H81" s="68">
        <v>30</v>
      </c>
      <c r="I81" s="38">
        <f>SUM(E81:H81)</f>
        <v>112</v>
      </c>
      <c r="J81" s="35">
        <v>26</v>
      </c>
      <c r="K81" s="49">
        <v>37</v>
      </c>
      <c r="L81" s="37">
        <v>0</v>
      </c>
      <c r="M81" s="49">
        <v>44</v>
      </c>
      <c r="N81" s="18">
        <f t="shared" si="5"/>
        <v>107</v>
      </c>
      <c r="O81" s="35">
        <v>26</v>
      </c>
      <c r="P81" s="49"/>
      <c r="Q81" s="37"/>
      <c r="W81" s="482" t="s">
        <v>247</v>
      </c>
      <c r="X81" s="483"/>
      <c r="Y81" s="484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24</v>
      </c>
      <c r="C82" s="13">
        <v>64</v>
      </c>
      <c r="D82" s="14">
        <v>539</v>
      </c>
      <c r="E82" s="40">
        <v>80</v>
      </c>
      <c r="F82" s="13">
        <v>101</v>
      </c>
      <c r="G82" s="41">
        <v>111</v>
      </c>
      <c r="H82" s="20">
        <v>105</v>
      </c>
      <c r="I82" s="18">
        <f>E82+F82+G82+H82</f>
        <v>397</v>
      </c>
      <c r="J82" s="70">
        <v>186</v>
      </c>
      <c r="K82" s="16">
        <v>112</v>
      </c>
      <c r="L82" s="16">
        <v>366</v>
      </c>
      <c r="M82" s="16">
        <v>275</v>
      </c>
      <c r="N82" s="42">
        <f t="shared" si="5"/>
        <v>939</v>
      </c>
      <c r="O82" s="70">
        <v>188</v>
      </c>
      <c r="P82" s="16"/>
      <c r="Q82" s="16"/>
      <c r="W82" s="439" t="s">
        <v>59</v>
      </c>
      <c r="X82" s="238"/>
      <c r="Y82" s="226" t="s">
        <v>204</v>
      </c>
      <c r="Z82" s="252">
        <f>D81</f>
        <v>153</v>
      </c>
      <c r="AA82" s="252">
        <f>B81+C81+E81</f>
        <v>77</v>
      </c>
      <c r="AB82" s="252">
        <f>F81+G81+H81+J81+K81</f>
        <v>132</v>
      </c>
      <c r="AC82" s="252">
        <f>L81+M81+O81</f>
        <v>70</v>
      </c>
      <c r="AD82" s="252">
        <f>L81+M81+O81+P81+Q81</f>
        <v>70</v>
      </c>
    </row>
    <row r="83" spans="1:30" x14ac:dyDescent="0.2">
      <c r="A83" s="71" t="s">
        <v>30</v>
      </c>
      <c r="B83" s="12">
        <v>13</v>
      </c>
      <c r="C83" s="12">
        <v>48</v>
      </c>
      <c r="D83" s="23">
        <v>912</v>
      </c>
      <c r="E83" s="24">
        <v>69</v>
      </c>
      <c r="F83" s="12">
        <v>137</v>
      </c>
      <c r="G83" s="25">
        <v>122</v>
      </c>
      <c r="H83" s="26">
        <v>124</v>
      </c>
      <c r="I83" s="18">
        <f t="shared" ref="I83:I85" si="7">E83+F83+G83+H83</f>
        <v>452</v>
      </c>
      <c r="J83" s="27">
        <v>194</v>
      </c>
      <c r="K83" s="27">
        <v>104</v>
      </c>
      <c r="L83" s="27">
        <v>389</v>
      </c>
      <c r="M83" s="27">
        <v>327</v>
      </c>
      <c r="N83" s="18">
        <f t="shared" si="5"/>
        <v>1014</v>
      </c>
      <c r="O83" s="27">
        <v>206</v>
      </c>
      <c r="P83" s="27"/>
      <c r="Q83" s="27"/>
      <c r="W83" s="439"/>
      <c r="X83" s="238"/>
      <c r="Y83" s="226" t="s">
        <v>211</v>
      </c>
      <c r="Z83" s="253">
        <f>Z82/12</f>
        <v>12.75</v>
      </c>
      <c r="AA83" s="253">
        <f>AA82/5</f>
        <v>15.4</v>
      </c>
      <c r="AB83" s="253">
        <f>AB82/15</f>
        <v>8.8000000000000007</v>
      </c>
      <c r="AC83" s="253">
        <f>AC82/9</f>
        <v>7.7777777777777777</v>
      </c>
      <c r="AD83" s="226"/>
    </row>
    <row r="84" spans="1:30" x14ac:dyDescent="0.2">
      <c r="A84" s="71" t="s">
        <v>31</v>
      </c>
      <c r="B84" s="12">
        <v>18</v>
      </c>
      <c r="C84" s="12">
        <v>19</v>
      </c>
      <c r="D84" s="23">
        <v>401</v>
      </c>
      <c r="E84" s="24">
        <v>52</v>
      </c>
      <c r="F84" s="12">
        <v>98</v>
      </c>
      <c r="G84" s="25">
        <v>129</v>
      </c>
      <c r="H84" s="26">
        <v>71</v>
      </c>
      <c r="I84" s="18">
        <f t="shared" si="7"/>
        <v>350</v>
      </c>
      <c r="J84" s="27">
        <v>146</v>
      </c>
      <c r="K84" s="27">
        <v>72</v>
      </c>
      <c r="L84" s="27">
        <v>277</v>
      </c>
      <c r="M84" s="27">
        <v>210</v>
      </c>
      <c r="N84" s="18">
        <f t="shared" si="5"/>
        <v>705</v>
      </c>
      <c r="O84" s="27">
        <v>156</v>
      </c>
      <c r="P84" s="27"/>
      <c r="Q84" s="27"/>
      <c r="W84" s="440" t="s">
        <v>171</v>
      </c>
      <c r="X84" s="237"/>
      <c r="Y84" s="227" t="s">
        <v>212</v>
      </c>
      <c r="Z84" s="272">
        <f>Z85/Z86</f>
        <v>0.62815884476534301</v>
      </c>
      <c r="AA84" s="227">
        <v>0</v>
      </c>
      <c r="AB84" s="272">
        <f t="shared" ref="AB84:AC84" si="8">AB85/AB86</f>
        <v>0.41689306001481846</v>
      </c>
      <c r="AC84" s="272">
        <f t="shared" si="8"/>
        <v>0.84986720824871109</v>
      </c>
      <c r="AD84" s="227"/>
    </row>
    <row r="85" spans="1:30" x14ac:dyDescent="0.2">
      <c r="A85" s="71" t="s">
        <v>32</v>
      </c>
      <c r="B85" s="12">
        <v>68</v>
      </c>
      <c r="C85" s="12">
        <v>153</v>
      </c>
      <c r="D85" s="23">
        <v>1093</v>
      </c>
      <c r="E85" s="24">
        <v>172</v>
      </c>
      <c r="F85" s="12">
        <v>344</v>
      </c>
      <c r="G85" s="25">
        <v>219</v>
      </c>
      <c r="H85" s="26">
        <v>217</v>
      </c>
      <c r="I85" s="18">
        <f t="shared" si="7"/>
        <v>952</v>
      </c>
      <c r="J85" s="27">
        <v>403</v>
      </c>
      <c r="K85" s="27">
        <v>223</v>
      </c>
      <c r="L85" s="27">
        <v>591</v>
      </c>
      <c r="M85" s="27">
        <v>644</v>
      </c>
      <c r="N85" s="18">
        <f t="shared" si="5"/>
        <v>1861</v>
      </c>
      <c r="O85" s="27">
        <v>478</v>
      </c>
      <c r="P85" s="27"/>
      <c r="Q85" s="27"/>
      <c r="W85" s="440"/>
      <c r="X85" s="237"/>
      <c r="Y85" s="227" t="s">
        <v>217</v>
      </c>
      <c r="Z85" s="227">
        <v>522</v>
      </c>
      <c r="AA85" s="227">
        <v>0</v>
      </c>
      <c r="AB85" s="227">
        <v>5064</v>
      </c>
      <c r="AC85" s="227">
        <v>10880</v>
      </c>
      <c r="AD85" s="227"/>
    </row>
    <row r="86" spans="1:30" x14ac:dyDescent="0.2">
      <c r="A86" s="72" t="s">
        <v>33</v>
      </c>
      <c r="B86" s="73">
        <f>SUM(B82:B85)</f>
        <v>123</v>
      </c>
      <c r="C86" s="73">
        <f>SUM(C82:C85)</f>
        <v>284</v>
      </c>
      <c r="D86" s="74">
        <f>SUM(D82:D85)</f>
        <v>2945</v>
      </c>
      <c r="E86" s="73">
        <f t="shared" ref="E86:G86" si="9">SUM(E82:E85)</f>
        <v>373</v>
      </c>
      <c r="F86" s="73">
        <f t="shared" si="9"/>
        <v>680</v>
      </c>
      <c r="G86" s="73">
        <f t="shared" si="9"/>
        <v>581</v>
      </c>
      <c r="H86" s="73">
        <f>SUM(H82:H85)</f>
        <v>517</v>
      </c>
      <c r="I86" s="18">
        <f>E86+F86+G86+H86</f>
        <v>2151</v>
      </c>
      <c r="J86" s="75">
        <f t="shared" ref="J86:M86" si="10">SUM(J82:J85)</f>
        <v>929</v>
      </c>
      <c r="K86" s="75">
        <f t="shared" si="10"/>
        <v>511</v>
      </c>
      <c r="L86" s="75">
        <f t="shared" si="10"/>
        <v>1623</v>
      </c>
      <c r="M86" s="75">
        <f t="shared" si="10"/>
        <v>1456</v>
      </c>
      <c r="N86" s="18">
        <f t="shared" si="5"/>
        <v>4519</v>
      </c>
      <c r="O86" s="75"/>
      <c r="P86" s="75"/>
      <c r="Q86" s="75"/>
      <c r="W86" s="440"/>
      <c r="X86" s="237"/>
      <c r="Y86" s="227" t="s">
        <v>218</v>
      </c>
      <c r="Z86" s="227">
        <v>831</v>
      </c>
      <c r="AA86" s="227">
        <v>0</v>
      </c>
      <c r="AB86" s="227">
        <v>12147</v>
      </c>
      <c r="AC86" s="227">
        <v>12802</v>
      </c>
      <c r="AD86" s="227"/>
    </row>
    <row r="87" spans="1:30" x14ac:dyDescent="0.2">
      <c r="A87" s="71" t="s">
        <v>34</v>
      </c>
      <c r="B87" s="26">
        <v>15</v>
      </c>
      <c r="C87" s="26">
        <v>17</v>
      </c>
      <c r="D87" s="54">
        <v>251</v>
      </c>
      <c r="E87" s="27">
        <v>42</v>
      </c>
      <c r="F87" s="26">
        <v>51</v>
      </c>
      <c r="G87" s="25">
        <v>45</v>
      </c>
      <c r="H87" s="26">
        <v>42</v>
      </c>
      <c r="I87" s="18">
        <f t="shared" ref="I87:I98" si="11">E87+F87+G87+H87</f>
        <v>180</v>
      </c>
      <c r="J87" s="27">
        <v>50</v>
      </c>
      <c r="K87" s="27">
        <v>41</v>
      </c>
      <c r="L87" s="27">
        <v>29</v>
      </c>
      <c r="M87" s="27">
        <v>50</v>
      </c>
      <c r="N87" s="18">
        <f t="shared" si="5"/>
        <v>170</v>
      </c>
      <c r="O87" s="27">
        <v>35</v>
      </c>
      <c r="P87" s="27"/>
      <c r="Q87" s="27"/>
      <c r="W87" s="441" t="s">
        <v>180</v>
      </c>
      <c r="X87" s="239"/>
      <c r="Y87" s="228" t="s">
        <v>213</v>
      </c>
      <c r="Z87" s="274">
        <f>Z88/Z89</f>
        <v>0.29121540312876054</v>
      </c>
      <c r="AA87" s="228">
        <v>0</v>
      </c>
      <c r="AB87" s="274">
        <f t="shared" ref="AB87:AC87" si="12">AB88/AB89</f>
        <v>0.23956532477154854</v>
      </c>
      <c r="AC87" s="274">
        <f t="shared" si="12"/>
        <v>0.76191220121855963</v>
      </c>
      <c r="AD87" s="228"/>
    </row>
    <row r="88" spans="1:30" x14ac:dyDescent="0.2">
      <c r="A88" s="71" t="s">
        <v>35</v>
      </c>
      <c r="B88" s="26">
        <v>16</v>
      </c>
      <c r="C88" s="26">
        <v>13</v>
      </c>
      <c r="D88" s="54">
        <v>203</v>
      </c>
      <c r="E88" s="27">
        <v>45</v>
      </c>
      <c r="F88" s="26">
        <v>16</v>
      </c>
      <c r="G88" s="25">
        <v>59</v>
      </c>
      <c r="H88" s="26">
        <v>42</v>
      </c>
      <c r="I88" s="18">
        <f t="shared" si="11"/>
        <v>162</v>
      </c>
      <c r="J88" s="27">
        <v>44</v>
      </c>
      <c r="K88" s="53">
        <v>39</v>
      </c>
      <c r="L88" s="53">
        <v>18</v>
      </c>
      <c r="M88" s="53">
        <v>61</v>
      </c>
      <c r="N88" s="18">
        <f t="shared" si="5"/>
        <v>162</v>
      </c>
      <c r="O88" s="27">
        <v>30</v>
      </c>
      <c r="P88" s="53"/>
      <c r="Q88" s="53"/>
      <c r="W88" s="441"/>
      <c r="X88" s="239"/>
      <c r="Y88" s="228" t="s">
        <v>219</v>
      </c>
      <c r="Z88" s="228">
        <v>242</v>
      </c>
      <c r="AA88" s="228">
        <v>0</v>
      </c>
      <c r="AB88" s="228">
        <v>2910</v>
      </c>
      <c r="AC88" s="228">
        <v>9754</v>
      </c>
      <c r="AD88" s="228"/>
    </row>
    <row r="89" spans="1:30" x14ac:dyDescent="0.2">
      <c r="A89" s="71" t="s">
        <v>36</v>
      </c>
      <c r="B89" s="26">
        <v>16</v>
      </c>
      <c r="C89" s="26">
        <v>18</v>
      </c>
      <c r="D89" s="54">
        <v>153</v>
      </c>
      <c r="E89" s="27">
        <v>43</v>
      </c>
      <c r="F89" s="26">
        <v>4</v>
      </c>
      <c r="G89" s="25">
        <v>35</v>
      </c>
      <c r="H89" s="26">
        <v>30</v>
      </c>
      <c r="I89" s="18">
        <f t="shared" si="11"/>
        <v>112</v>
      </c>
      <c r="J89" s="27">
        <v>26</v>
      </c>
      <c r="K89" s="53">
        <v>37</v>
      </c>
      <c r="L89" s="53">
        <v>0</v>
      </c>
      <c r="M89" s="53">
        <v>44</v>
      </c>
      <c r="N89" s="18">
        <f t="shared" si="5"/>
        <v>107</v>
      </c>
      <c r="O89" s="27">
        <v>26</v>
      </c>
      <c r="P89" s="53"/>
      <c r="Q89" s="53"/>
      <c r="W89" s="441"/>
      <c r="X89" s="239"/>
      <c r="Y89" s="228" t="s">
        <v>218</v>
      </c>
      <c r="Z89" s="228">
        <v>831</v>
      </c>
      <c r="AA89" s="228">
        <v>0</v>
      </c>
      <c r="AB89" s="228">
        <v>12147</v>
      </c>
      <c r="AC89" s="228">
        <v>12802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1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442" t="s">
        <v>173</v>
      </c>
      <c r="X90" s="240"/>
      <c r="Y90" s="229" t="s">
        <v>214</v>
      </c>
      <c r="Z90" s="254">
        <f>(D69+D72)/(D68+D71)</f>
        <v>0.15395725014442518</v>
      </c>
      <c r="AA90" s="254">
        <f>(B69+C69+E69+B72+C72+E72)/(B68+C68+E68+B71+C71+E71)</f>
        <v>0.26215644820295986</v>
      </c>
      <c r="AB90" s="254">
        <f>(F69+G69+H69+J69+K69+F72+G72+H72+J72+K72)/(F68+G68+H68+J68+K68+F71+G71+H71+J71+K71)</f>
        <v>0.88585149612116731</v>
      </c>
      <c r="AC90" s="254">
        <f>(L69+M69+O69+L72+M72+O72)/(L68+M68+O68+L71+M71+O71)</f>
        <v>0.9991470695747533</v>
      </c>
      <c r="AD90" s="254">
        <f>(L69+M69+O69+P69+Q69+L72+M72+O72+P72+Q72)/(L68+M68+O68+P68+Q68+L71+M71+O71+P71+Q71)</f>
        <v>0.9991470695747533</v>
      </c>
    </row>
    <row r="91" spans="1:30" x14ac:dyDescent="0.2">
      <c r="A91" s="71" t="s">
        <v>37</v>
      </c>
      <c r="B91" s="26">
        <v>123</v>
      </c>
      <c r="C91" s="26">
        <v>284</v>
      </c>
      <c r="D91" s="54">
        <v>2732</v>
      </c>
      <c r="E91" s="27">
        <v>373</v>
      </c>
      <c r="F91" s="26">
        <v>680</v>
      </c>
      <c r="G91" s="25">
        <v>343</v>
      </c>
      <c r="H91" s="26">
        <v>517</v>
      </c>
      <c r="I91" s="18">
        <f t="shared" si="11"/>
        <v>1913</v>
      </c>
      <c r="J91" s="27">
        <v>939</v>
      </c>
      <c r="K91" s="27">
        <v>511</v>
      </c>
      <c r="L91" s="27">
        <v>1642</v>
      </c>
      <c r="M91" s="27">
        <v>1456</v>
      </c>
      <c r="N91" s="18">
        <f t="shared" si="5"/>
        <v>4548</v>
      </c>
      <c r="O91" s="27">
        <v>1028</v>
      </c>
      <c r="P91" s="27"/>
      <c r="Q91" s="27"/>
      <c r="W91" s="442"/>
      <c r="X91" s="240"/>
      <c r="Y91" s="229" t="s">
        <v>215</v>
      </c>
      <c r="Z91" s="255">
        <f>(D69+D72)</f>
        <v>1066</v>
      </c>
      <c r="AA91" s="255">
        <f>(B69+C69+E69+B72+C72+E72)</f>
        <v>620</v>
      </c>
      <c r="AB91" s="255">
        <f>F69+G69+H69+J69+K69+F72+G72+H72+J72+K72</f>
        <v>7194</v>
      </c>
      <c r="AC91" s="255">
        <f>L69+M69+O69+L72+M72+O72</f>
        <v>8200</v>
      </c>
      <c r="AD91" s="255">
        <f>(L69+M69+O69+P69+Q69+L72+M72+O72+P72+Q72)</f>
        <v>8200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1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442"/>
      <c r="X92" s="240"/>
      <c r="Y92" s="229" t="s">
        <v>216</v>
      </c>
      <c r="Z92" s="255">
        <f>D68+D71</f>
        <v>6924</v>
      </c>
      <c r="AA92" s="255">
        <f>(B68+C68+E68+B71+C71+E71)</f>
        <v>2365</v>
      </c>
      <c r="AB92" s="255">
        <f>F68+G68+H68+J68+K68+F71+G71+H71+J71+K71</f>
        <v>8121</v>
      </c>
      <c r="AC92" s="255">
        <f>(L68+M68+O68+L71+M71+O71)</f>
        <v>8207</v>
      </c>
      <c r="AD92" s="255">
        <f>(L68+M68+O68+P68+Q68+L71+M71+O71+P71+Q71)</f>
        <v>8207</v>
      </c>
    </row>
    <row r="93" spans="1:30" x14ac:dyDescent="0.2">
      <c r="A93" s="71" t="s">
        <v>39</v>
      </c>
      <c r="B93" s="26">
        <v>199</v>
      </c>
      <c r="C93" s="26">
        <v>503</v>
      </c>
      <c r="D93" s="54">
        <v>3349</v>
      </c>
      <c r="E93" s="27">
        <v>542</v>
      </c>
      <c r="F93" s="26">
        <v>886</v>
      </c>
      <c r="G93" s="25">
        <v>558</v>
      </c>
      <c r="H93" s="26">
        <v>1154</v>
      </c>
      <c r="I93" s="18">
        <f t="shared" si="11"/>
        <v>3140</v>
      </c>
      <c r="J93" s="27">
        <v>804</v>
      </c>
      <c r="K93" s="27">
        <v>987</v>
      </c>
      <c r="L93" s="27">
        <v>1916</v>
      </c>
      <c r="M93" s="27">
        <v>1550</v>
      </c>
      <c r="N93" s="18">
        <f t="shared" si="5"/>
        <v>5257</v>
      </c>
      <c r="O93" s="27">
        <v>698</v>
      </c>
      <c r="P93" s="27"/>
      <c r="Q93" s="27"/>
      <c r="W93" s="423" t="s">
        <v>174</v>
      </c>
      <c r="X93" s="241"/>
      <c r="Y93" s="230" t="s">
        <v>220</v>
      </c>
      <c r="Z93" s="256">
        <f>D86</f>
        <v>2945</v>
      </c>
      <c r="AA93" s="256">
        <f>B86+C86+E86</f>
        <v>780</v>
      </c>
      <c r="AB93" s="256">
        <f>F86+G86+H86+J86+K86</f>
        <v>3218</v>
      </c>
      <c r="AC93" s="256">
        <f>L86+M86+O86</f>
        <v>3079</v>
      </c>
      <c r="AD93" s="256">
        <f>L86+M86+O86+P86+Q86</f>
        <v>3079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1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423"/>
      <c r="X94" s="241"/>
      <c r="Y94" s="230" t="s">
        <v>221</v>
      </c>
      <c r="Z94" s="260">
        <f>Z93/12</f>
        <v>245.41666666666666</v>
      </c>
      <c r="AA94" s="260">
        <f>AA93/5</f>
        <v>156</v>
      </c>
      <c r="AB94" s="260">
        <f>AB93/15</f>
        <v>214.53333333333333</v>
      </c>
      <c r="AC94" s="260">
        <f>AC93/9</f>
        <v>342.11111111111109</v>
      </c>
      <c r="AD94" s="230"/>
    </row>
    <row r="95" spans="1:30" x14ac:dyDescent="0.2">
      <c r="A95" s="71" t="s">
        <v>41</v>
      </c>
      <c r="B95" s="26">
        <v>0</v>
      </c>
      <c r="C95" s="26">
        <v>0</v>
      </c>
      <c r="D95" s="54">
        <v>1</v>
      </c>
      <c r="E95" s="27">
        <v>0</v>
      </c>
      <c r="F95" s="26">
        <v>0</v>
      </c>
      <c r="G95" s="25">
        <v>0</v>
      </c>
      <c r="H95" s="26">
        <v>0</v>
      </c>
      <c r="I95" s="18">
        <f t="shared" si="11"/>
        <v>0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0</v>
      </c>
      <c r="P95" s="53"/>
      <c r="Q95" s="53"/>
      <c r="W95" s="446" t="s">
        <v>175</v>
      </c>
      <c r="X95" s="242"/>
      <c r="Y95" s="231" t="s">
        <v>178</v>
      </c>
      <c r="Z95" s="261">
        <f>D70+D73</f>
        <v>3124</v>
      </c>
      <c r="AA95" s="261">
        <f>B70+C70+E70+B73+C73+E73</f>
        <v>879</v>
      </c>
      <c r="AB95" s="261">
        <f>F70+G70+H70+J70+K70+F73+G73+H73+J73+K73</f>
        <v>3179</v>
      </c>
      <c r="AC95" s="261">
        <f>L70+M70+O70+L73+M73+O73</f>
        <v>4214</v>
      </c>
      <c r="AD95" s="257">
        <f>L70+M70+O70+P70+Q70+L73+M73+O73+P73+Q73</f>
        <v>4214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1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446"/>
      <c r="X96" s="242"/>
      <c r="Y96" s="231" t="s">
        <v>222</v>
      </c>
      <c r="Z96" s="262">
        <f>Z95/12</f>
        <v>260.33333333333331</v>
      </c>
      <c r="AA96" s="262">
        <f>AA95/5</f>
        <v>175.8</v>
      </c>
      <c r="AB96" s="262">
        <f>AB95/15</f>
        <v>211.93333333333334</v>
      </c>
      <c r="AC96" s="262">
        <f>AC95/9</f>
        <v>468.22222222222223</v>
      </c>
      <c r="AD96" s="231"/>
    </row>
    <row r="97" spans="1:30" x14ac:dyDescent="0.2">
      <c r="A97" s="71" t="s">
        <v>43</v>
      </c>
      <c r="B97" s="26">
        <v>322</v>
      </c>
      <c r="C97" s="26">
        <v>787</v>
      </c>
      <c r="D97" s="54">
        <v>6081</v>
      </c>
      <c r="E97" s="27">
        <v>915</v>
      </c>
      <c r="F97" s="26">
        <v>1566</v>
      </c>
      <c r="G97" s="25">
        <v>901</v>
      </c>
      <c r="H97" s="26">
        <v>1671</v>
      </c>
      <c r="I97" s="18">
        <f t="shared" si="11"/>
        <v>5053</v>
      </c>
      <c r="J97" s="27">
        <v>1743</v>
      </c>
      <c r="K97" s="26">
        <v>1498</v>
      </c>
      <c r="L97" s="26">
        <v>3558</v>
      </c>
      <c r="M97" s="26">
        <v>3006</v>
      </c>
      <c r="N97" s="18">
        <f t="shared" si="5"/>
        <v>9805</v>
      </c>
      <c r="O97" s="27">
        <v>1726</v>
      </c>
      <c r="P97" s="26"/>
      <c r="Q97" s="26"/>
      <c r="W97" s="446"/>
      <c r="X97" s="242"/>
      <c r="Y97" s="231" t="s">
        <v>179</v>
      </c>
      <c r="Z97" s="261">
        <f>D90+D91</f>
        <v>2732</v>
      </c>
      <c r="AA97" s="261">
        <f>B90+C90+E90+B91+C91+E91</f>
        <v>780</v>
      </c>
      <c r="AB97" s="261">
        <f>F90+G90+H90+J90+K90+F91+G91+H91+J91+K91</f>
        <v>2990</v>
      </c>
      <c r="AC97" s="261">
        <f>L90+M90+O90+L91+M91+O91</f>
        <v>4126</v>
      </c>
      <c r="AD97" s="257">
        <f>L90+M90+O90+P90+Q90+L91+M91+O91+P91+Q91</f>
        <v>4126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1"/>
        <v>0</v>
      </c>
      <c r="J98" s="48">
        <v>0</v>
      </c>
      <c r="K98" s="77">
        <v>0</v>
      </c>
      <c r="L98" s="77">
        <v>0</v>
      </c>
      <c r="M98" s="77">
        <v>0</v>
      </c>
      <c r="N98" s="18">
        <f t="shared" si="5"/>
        <v>0</v>
      </c>
      <c r="O98" s="48">
        <v>0</v>
      </c>
      <c r="P98" s="77"/>
      <c r="Q98" s="77"/>
      <c r="W98" s="446"/>
      <c r="X98" s="242"/>
      <c r="Y98" s="231" t="s">
        <v>223</v>
      </c>
      <c r="Z98" s="261">
        <f>Z97/12</f>
        <v>227.66666666666666</v>
      </c>
      <c r="AA98" s="261">
        <f>AA97/5</f>
        <v>156</v>
      </c>
      <c r="AB98" s="261">
        <f>AB97/15</f>
        <v>199.33333333333334</v>
      </c>
      <c r="AC98" s="261">
        <f>AC97/9</f>
        <v>458.44444444444446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>
        <f>65+134.5+94+145</f>
        <v>438.5</v>
      </c>
      <c r="N99" s="42">
        <f>SUM(M99)</f>
        <v>438.5</v>
      </c>
      <c r="O99" s="194">
        <f>73+68+82+66</f>
        <v>289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277</v>
      </c>
      <c r="AB99" s="264" t="s">
        <v>278</v>
      </c>
      <c r="AC99" s="263" t="s">
        <v>274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610</v>
      </c>
      <c r="N100" s="18">
        <f t="shared" ref="N100:N114" si="13">SUM(M100)</f>
        <v>610</v>
      </c>
      <c r="O100" s="188">
        <v>380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282</v>
      </c>
      <c r="AA100" s="265" t="s">
        <v>283</v>
      </c>
      <c r="AB100" s="265" t="s">
        <v>284</v>
      </c>
      <c r="AC100" s="265" t="s">
        <v>244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53</v>
      </c>
      <c r="N101" s="18">
        <f t="shared" si="13"/>
        <v>53</v>
      </c>
      <c r="O101" s="188">
        <v>44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108</v>
      </c>
      <c r="N102" s="18">
        <f t="shared" si="13"/>
        <v>108</v>
      </c>
      <c r="O102" s="188">
        <v>67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85</v>
      </c>
      <c r="N103" s="18">
        <f t="shared" si="13"/>
        <v>85</v>
      </c>
      <c r="O103" s="195">
        <v>43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171</v>
      </c>
      <c r="N104" s="18">
        <f t="shared" si="13"/>
        <v>171</v>
      </c>
      <c r="O104" s="188">
        <v>103</v>
      </c>
      <c r="P104" s="188">
        <v>0</v>
      </c>
      <c r="Q104" s="188">
        <v>0</v>
      </c>
      <c r="W104" s="216"/>
      <c r="X104" s="216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63</v>
      </c>
      <c r="N105" s="18">
        <f t="shared" si="13"/>
        <v>63</v>
      </c>
      <c r="O105" s="195">
        <v>43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14</v>
      </c>
      <c r="N106" s="18">
        <f t="shared" si="13"/>
        <v>14</v>
      </c>
      <c r="O106" s="195">
        <v>28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8">
        <f t="shared" si="13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87</v>
      </c>
      <c r="N108" s="18">
        <f t="shared" si="13"/>
        <v>87</v>
      </c>
      <c r="O108" s="195">
        <v>71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2</v>
      </c>
      <c r="N109" s="18">
        <f t="shared" si="13"/>
        <v>2</v>
      </c>
      <c r="O109" s="195">
        <v>0</v>
      </c>
      <c r="P109" s="195">
        <v>0</v>
      </c>
      <c r="Q109" s="195">
        <v>0</v>
      </c>
      <c r="W109" s="485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354</v>
      </c>
      <c r="N110" s="18">
        <f t="shared" si="13"/>
        <v>354</v>
      </c>
      <c r="O110" s="195">
        <v>211</v>
      </c>
      <c r="P110" s="195">
        <v>0</v>
      </c>
      <c r="Q110" s="195">
        <v>0</v>
      </c>
      <c r="W110" s="485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173</v>
      </c>
      <c r="N111" s="18">
        <f t="shared" si="13"/>
        <v>173</v>
      </c>
      <c r="O111" s="195">
        <v>98</v>
      </c>
      <c r="P111" s="195">
        <v>0</v>
      </c>
      <c r="Q111" s="195">
        <v>0</v>
      </c>
      <c r="W111" s="485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8">
        <f t="shared" si="13"/>
        <v>0</v>
      </c>
      <c r="O112" s="195">
        <v>0</v>
      </c>
      <c r="P112" s="195">
        <v>0</v>
      </c>
      <c r="Q112" s="195">
        <v>0</v>
      </c>
      <c r="W112" s="485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527</v>
      </c>
      <c r="N113" s="18">
        <f t="shared" si="13"/>
        <v>527</v>
      </c>
      <c r="O113" s="195">
        <v>309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4</v>
      </c>
      <c r="N114" s="38">
        <f t="shared" si="13"/>
        <v>4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O115" t="s">
        <v>182</v>
      </c>
      <c r="W115" s="485"/>
      <c r="X115" s="209"/>
      <c r="Z115" s="80"/>
      <c r="AA115" s="80"/>
      <c r="AB115" s="80"/>
      <c r="AC115" s="80"/>
      <c r="AD115" s="80"/>
    </row>
    <row r="116" spans="1:30" x14ac:dyDescent="0.2">
      <c r="W116" s="485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159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5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47</v>
      </c>
      <c r="E118" s="15">
        <v>0</v>
      </c>
      <c r="F118" s="13">
        <v>0</v>
      </c>
      <c r="G118" s="13">
        <v>0</v>
      </c>
      <c r="H118" s="13">
        <v>0</v>
      </c>
      <c r="I118" s="18">
        <f>E118+F118+G118+H118</f>
        <v>0</v>
      </c>
      <c r="J118" s="15">
        <v>0</v>
      </c>
      <c r="K118" s="13">
        <v>0</v>
      </c>
      <c r="L118" s="13">
        <v>0</v>
      </c>
      <c r="M118" s="13">
        <v>0</v>
      </c>
      <c r="N118" s="18">
        <f t="shared" ref="N118:N156" si="14">SUM(J118:M118)</f>
        <v>0</v>
      </c>
      <c r="O118" s="19">
        <v>0</v>
      </c>
      <c r="P118" s="20"/>
      <c r="Q118" s="21"/>
      <c r="W118" s="485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28</v>
      </c>
      <c r="E119" s="24">
        <v>0</v>
      </c>
      <c r="F119" s="12">
        <v>0</v>
      </c>
      <c r="G119" s="12">
        <v>0</v>
      </c>
      <c r="H119" s="12">
        <v>0</v>
      </c>
      <c r="I119" s="18">
        <f t="shared" ref="I119:I138" si="15">E119+F119+G119+H119</f>
        <v>0</v>
      </c>
      <c r="J119" s="24">
        <v>0</v>
      </c>
      <c r="K119" s="12">
        <v>0</v>
      </c>
      <c r="L119" s="12">
        <v>0</v>
      </c>
      <c r="M119" s="12">
        <v>0</v>
      </c>
      <c r="N119" s="18">
        <f t="shared" si="14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214</v>
      </c>
      <c r="E120" s="24">
        <v>0</v>
      </c>
      <c r="F120" s="12">
        <v>0</v>
      </c>
      <c r="G120" s="12">
        <v>0</v>
      </c>
      <c r="H120" s="12">
        <v>0</v>
      </c>
      <c r="I120" s="18">
        <f t="shared" si="15"/>
        <v>0</v>
      </c>
      <c r="J120" s="24">
        <v>1</v>
      </c>
      <c r="K120" s="12">
        <v>0</v>
      </c>
      <c r="L120" s="12">
        <v>0</v>
      </c>
      <c r="M120" s="12">
        <v>0</v>
      </c>
      <c r="N120" s="18">
        <f t="shared" si="14"/>
        <v>1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137</v>
      </c>
      <c r="E121" s="24">
        <v>0</v>
      </c>
      <c r="F121" s="12">
        <v>0</v>
      </c>
      <c r="G121" s="12">
        <v>0</v>
      </c>
      <c r="H121" s="12">
        <v>0</v>
      </c>
      <c r="I121" s="18">
        <f t="shared" si="15"/>
        <v>0</v>
      </c>
      <c r="J121" s="24">
        <v>0</v>
      </c>
      <c r="K121" s="12">
        <v>0</v>
      </c>
      <c r="L121" s="12">
        <v>0</v>
      </c>
      <c r="M121" s="12">
        <v>0</v>
      </c>
      <c r="N121" s="18">
        <f t="shared" si="14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48</v>
      </c>
      <c r="C122" s="12">
        <v>38</v>
      </c>
      <c r="D122" s="23">
        <v>811</v>
      </c>
      <c r="E122" s="24">
        <v>237</v>
      </c>
      <c r="F122" s="12">
        <v>128</v>
      </c>
      <c r="G122" s="25">
        <v>244</v>
      </c>
      <c r="H122" s="26">
        <v>52</v>
      </c>
      <c r="I122" s="18">
        <f t="shared" si="15"/>
        <v>661</v>
      </c>
      <c r="J122" s="27">
        <v>21</v>
      </c>
      <c r="K122" s="26">
        <v>118</v>
      </c>
      <c r="L122" s="28">
        <v>258</v>
      </c>
      <c r="M122" s="26">
        <v>186</v>
      </c>
      <c r="N122" s="18">
        <f t="shared" si="14"/>
        <v>583</v>
      </c>
      <c r="O122" s="19">
        <v>84</v>
      </c>
      <c r="P122" s="26"/>
      <c r="Q122" s="28"/>
      <c r="AB122" s="79"/>
    </row>
    <row r="123" spans="1:30" x14ac:dyDescent="0.2">
      <c r="A123" s="11" t="s">
        <v>7</v>
      </c>
      <c r="B123" s="12">
        <v>32</v>
      </c>
      <c r="C123" s="12">
        <v>21</v>
      </c>
      <c r="D123" s="23">
        <v>405</v>
      </c>
      <c r="E123" s="24">
        <v>59</v>
      </c>
      <c r="F123" s="12">
        <v>63</v>
      </c>
      <c r="G123" s="25">
        <v>78</v>
      </c>
      <c r="H123" s="26">
        <v>20</v>
      </c>
      <c r="I123" s="18">
        <f t="shared" si="15"/>
        <v>220</v>
      </c>
      <c r="J123" s="27">
        <v>3</v>
      </c>
      <c r="K123" s="26">
        <v>36</v>
      </c>
      <c r="L123" s="28">
        <v>92</v>
      </c>
      <c r="M123" s="26">
        <v>61</v>
      </c>
      <c r="N123" s="18">
        <f t="shared" si="14"/>
        <v>192</v>
      </c>
      <c r="O123" s="27">
        <v>19</v>
      </c>
      <c r="P123" s="26"/>
      <c r="Q123" s="28"/>
    </row>
    <row r="124" spans="1:30" x14ac:dyDescent="0.2">
      <c r="A124" s="22" t="s">
        <v>12</v>
      </c>
      <c r="B124" s="12">
        <v>162</v>
      </c>
      <c r="C124" s="12">
        <v>115</v>
      </c>
      <c r="D124" s="23">
        <v>1989</v>
      </c>
      <c r="E124" s="24">
        <v>571</v>
      </c>
      <c r="F124" s="12">
        <v>525</v>
      </c>
      <c r="G124" s="25">
        <v>626</v>
      </c>
      <c r="H124" s="26">
        <v>144</v>
      </c>
      <c r="I124" s="18">
        <f t="shared" si="15"/>
        <v>1866</v>
      </c>
      <c r="J124" s="27">
        <v>42</v>
      </c>
      <c r="K124" s="26">
        <v>397</v>
      </c>
      <c r="L124" s="28">
        <v>826</v>
      </c>
      <c r="M124" s="26">
        <v>510</v>
      </c>
      <c r="N124" s="18">
        <f t="shared" si="14"/>
        <v>1775</v>
      </c>
      <c r="O124" s="27">
        <v>191</v>
      </c>
      <c r="P124" s="49"/>
      <c r="Q124" s="37"/>
    </row>
    <row r="125" spans="1:30" ht="16" thickBot="1" x14ac:dyDescent="0.25">
      <c r="A125" s="22" t="s">
        <v>8</v>
      </c>
      <c r="B125" s="30">
        <v>94</v>
      </c>
      <c r="C125" s="30">
        <v>59</v>
      </c>
      <c r="D125" s="31">
        <v>1112</v>
      </c>
      <c r="E125" s="32">
        <v>260</v>
      </c>
      <c r="F125" s="30">
        <v>264</v>
      </c>
      <c r="G125" s="33">
        <v>242</v>
      </c>
      <c r="H125" s="34">
        <v>75</v>
      </c>
      <c r="I125" s="18">
        <f t="shared" si="15"/>
        <v>841</v>
      </c>
      <c r="J125" s="35">
        <v>12</v>
      </c>
      <c r="K125" s="36">
        <v>125</v>
      </c>
      <c r="L125" s="37">
        <v>317</v>
      </c>
      <c r="M125" s="36">
        <v>166</v>
      </c>
      <c r="N125" s="38">
        <f t="shared" si="14"/>
        <v>620</v>
      </c>
      <c r="O125" s="27">
        <v>65</v>
      </c>
      <c r="P125" s="49"/>
      <c r="Q125" s="37"/>
    </row>
    <row r="126" spans="1:30" ht="16" thickTop="1" x14ac:dyDescent="0.2">
      <c r="A126" s="177" t="s">
        <v>19</v>
      </c>
      <c r="B126" s="13">
        <v>48</v>
      </c>
      <c r="C126" s="13">
        <v>38</v>
      </c>
      <c r="D126" s="14">
        <v>838</v>
      </c>
      <c r="E126" s="40">
        <v>239</v>
      </c>
      <c r="F126" s="13">
        <v>173</v>
      </c>
      <c r="G126" s="41">
        <v>244</v>
      </c>
      <c r="H126" s="20">
        <v>58</v>
      </c>
      <c r="I126" s="42">
        <f t="shared" si="15"/>
        <v>714</v>
      </c>
      <c r="J126" s="43">
        <v>72</v>
      </c>
      <c r="K126" s="17">
        <v>118</v>
      </c>
      <c r="L126" s="44">
        <v>254</v>
      </c>
      <c r="M126" s="17">
        <v>260</v>
      </c>
      <c r="N126" s="18">
        <f t="shared" si="14"/>
        <v>704</v>
      </c>
      <c r="O126" s="43">
        <v>153</v>
      </c>
      <c r="P126" s="17"/>
      <c r="Q126" s="44"/>
    </row>
    <row r="127" spans="1:30" x14ac:dyDescent="0.2">
      <c r="A127" s="45" t="s">
        <v>16</v>
      </c>
      <c r="B127" s="12">
        <v>48</v>
      </c>
      <c r="C127" s="12">
        <v>38</v>
      </c>
      <c r="D127" s="23">
        <v>791</v>
      </c>
      <c r="E127" s="24">
        <v>239</v>
      </c>
      <c r="F127" s="12">
        <v>173</v>
      </c>
      <c r="G127" s="25">
        <v>244</v>
      </c>
      <c r="H127" s="26">
        <v>58</v>
      </c>
      <c r="I127" s="18">
        <f t="shared" si="15"/>
        <v>714</v>
      </c>
      <c r="J127" s="27">
        <v>52</v>
      </c>
      <c r="K127" s="26">
        <v>118</v>
      </c>
      <c r="L127" s="28">
        <v>254</v>
      </c>
      <c r="M127" s="26">
        <v>260</v>
      </c>
      <c r="N127" s="18">
        <f t="shared" si="14"/>
        <v>684</v>
      </c>
      <c r="O127" s="27">
        <v>134</v>
      </c>
      <c r="P127" s="26"/>
      <c r="Q127" s="28"/>
    </row>
    <row r="128" spans="1:30" x14ac:dyDescent="0.2">
      <c r="A128" s="177" t="s">
        <v>15</v>
      </c>
      <c r="B128" s="12">
        <v>32</v>
      </c>
      <c r="C128" s="12">
        <v>21</v>
      </c>
      <c r="D128" s="23">
        <v>353</v>
      </c>
      <c r="E128" s="24">
        <v>94</v>
      </c>
      <c r="F128" s="12">
        <v>75</v>
      </c>
      <c r="G128" s="25">
        <v>78</v>
      </c>
      <c r="H128" s="26">
        <v>26</v>
      </c>
      <c r="I128" s="18">
        <f t="shared" si="15"/>
        <v>273</v>
      </c>
      <c r="J128" s="27">
        <v>3</v>
      </c>
      <c r="K128" s="26">
        <v>36</v>
      </c>
      <c r="L128" s="28">
        <v>92</v>
      </c>
      <c r="M128" s="26">
        <v>77</v>
      </c>
      <c r="N128" s="18">
        <f t="shared" si="14"/>
        <v>208</v>
      </c>
      <c r="O128" s="27">
        <v>28</v>
      </c>
      <c r="P128" s="26"/>
      <c r="Q128" s="28"/>
    </row>
    <row r="129" spans="1:30" x14ac:dyDescent="0.2">
      <c r="A129" s="45" t="s">
        <v>20</v>
      </c>
      <c r="B129" s="12">
        <v>167</v>
      </c>
      <c r="C129" s="12">
        <v>115</v>
      </c>
      <c r="D129" s="23">
        <v>2784</v>
      </c>
      <c r="E129" s="24">
        <v>571</v>
      </c>
      <c r="F129" s="12">
        <v>657</v>
      </c>
      <c r="G129" s="25">
        <v>627</v>
      </c>
      <c r="H129" s="26">
        <v>131</v>
      </c>
      <c r="I129" s="18">
        <f t="shared" si="15"/>
        <v>1986</v>
      </c>
      <c r="J129" s="27">
        <v>222</v>
      </c>
      <c r="K129" s="26">
        <v>397</v>
      </c>
      <c r="L129" s="28">
        <v>821</v>
      </c>
      <c r="M129" s="26">
        <v>701</v>
      </c>
      <c r="N129" s="18">
        <f t="shared" si="14"/>
        <v>2141</v>
      </c>
      <c r="O129" s="27">
        <v>350</v>
      </c>
      <c r="P129" s="26"/>
      <c r="Q129" s="28"/>
    </row>
    <row r="130" spans="1:30" x14ac:dyDescent="0.2">
      <c r="A130" s="45" t="s">
        <v>18</v>
      </c>
      <c r="B130" s="12">
        <v>167</v>
      </c>
      <c r="C130" s="189">
        <v>0</v>
      </c>
      <c r="D130" s="23">
        <v>167</v>
      </c>
      <c r="E130" s="24">
        <v>0</v>
      </c>
      <c r="F130" s="12">
        <v>464</v>
      </c>
      <c r="G130" s="25">
        <v>500</v>
      </c>
      <c r="H130" s="26">
        <v>131</v>
      </c>
      <c r="I130" s="18">
        <f t="shared" si="15"/>
        <v>1095</v>
      </c>
      <c r="J130" s="27">
        <v>222</v>
      </c>
      <c r="K130" s="26">
        <v>390</v>
      </c>
      <c r="L130" s="28">
        <v>818</v>
      </c>
      <c r="M130" s="26">
        <v>701</v>
      </c>
      <c r="N130" s="18">
        <f t="shared" si="14"/>
        <v>2131</v>
      </c>
      <c r="O130" s="27">
        <v>350</v>
      </c>
      <c r="P130" s="26"/>
      <c r="Q130" s="28"/>
    </row>
    <row r="131" spans="1:30" x14ac:dyDescent="0.2">
      <c r="A131" s="45" t="s">
        <v>17</v>
      </c>
      <c r="B131" s="12">
        <v>95</v>
      </c>
      <c r="C131" s="12">
        <v>59</v>
      </c>
      <c r="D131" s="23">
        <v>1416</v>
      </c>
      <c r="E131" s="24">
        <v>260</v>
      </c>
      <c r="F131" s="12">
        <v>315</v>
      </c>
      <c r="G131" s="25">
        <v>242</v>
      </c>
      <c r="H131" s="26">
        <v>46</v>
      </c>
      <c r="I131" s="18">
        <f t="shared" si="15"/>
        <v>863</v>
      </c>
      <c r="J131" s="27">
        <v>12</v>
      </c>
      <c r="K131" s="26">
        <v>125</v>
      </c>
      <c r="L131" s="28">
        <v>317</v>
      </c>
      <c r="M131" s="26">
        <v>236</v>
      </c>
      <c r="N131" s="18">
        <f t="shared" si="14"/>
        <v>690</v>
      </c>
      <c r="O131" s="27">
        <v>132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10</v>
      </c>
      <c r="E132" s="48">
        <v>4</v>
      </c>
      <c r="F132" s="34">
        <v>5</v>
      </c>
      <c r="G132" s="33">
        <v>6</v>
      </c>
      <c r="H132" s="34">
        <v>0</v>
      </c>
      <c r="I132" s="38">
        <f t="shared" si="15"/>
        <v>15</v>
      </c>
      <c r="J132" s="48">
        <v>0</v>
      </c>
      <c r="K132" s="49">
        <v>0</v>
      </c>
      <c r="L132" s="37">
        <v>0</v>
      </c>
      <c r="M132" s="49">
        <v>1</v>
      </c>
      <c r="N132" s="18">
        <f t="shared" si="14"/>
        <v>1</v>
      </c>
      <c r="O132" s="48">
        <v>0</v>
      </c>
      <c r="P132" s="49"/>
      <c r="Q132" s="37"/>
    </row>
    <row r="133" spans="1:30" ht="16" thickTop="1" x14ac:dyDescent="0.2">
      <c r="A133" s="55" t="s">
        <v>25</v>
      </c>
      <c r="B133" s="13">
        <v>1</v>
      </c>
      <c r="C133" s="13">
        <v>1</v>
      </c>
      <c r="D133" s="14">
        <v>21</v>
      </c>
      <c r="E133" s="40">
        <v>13</v>
      </c>
      <c r="F133" s="13">
        <v>10</v>
      </c>
      <c r="G133" s="41">
        <v>5</v>
      </c>
      <c r="H133" s="20">
        <v>9</v>
      </c>
      <c r="I133" s="18">
        <f t="shared" si="15"/>
        <v>37</v>
      </c>
      <c r="J133" s="19">
        <v>6</v>
      </c>
      <c r="K133" s="51">
        <v>15</v>
      </c>
      <c r="L133" s="44">
        <v>7</v>
      </c>
      <c r="M133" s="51">
        <v>9</v>
      </c>
      <c r="N133" s="42">
        <f t="shared" si="14"/>
        <v>37</v>
      </c>
      <c r="O133" s="19">
        <v>9</v>
      </c>
      <c r="P133" s="51"/>
      <c r="Q133" s="44"/>
    </row>
    <row r="134" spans="1:30" x14ac:dyDescent="0.2">
      <c r="A134" s="52" t="s">
        <v>26</v>
      </c>
      <c r="B134" s="12">
        <v>12</v>
      </c>
      <c r="C134" s="12">
        <v>10</v>
      </c>
      <c r="D134" s="23">
        <v>117</v>
      </c>
      <c r="E134" s="24">
        <v>15</v>
      </c>
      <c r="F134" s="12">
        <v>18</v>
      </c>
      <c r="G134" s="25">
        <v>24</v>
      </c>
      <c r="H134" s="26">
        <v>15</v>
      </c>
      <c r="I134" s="18">
        <f t="shared" si="15"/>
        <v>72</v>
      </c>
      <c r="J134" s="27">
        <v>14</v>
      </c>
      <c r="K134" s="53">
        <v>32</v>
      </c>
      <c r="L134" s="28">
        <v>17</v>
      </c>
      <c r="M134" s="53">
        <v>17</v>
      </c>
      <c r="N134" s="18">
        <f t="shared" si="14"/>
        <v>80</v>
      </c>
      <c r="O134" s="27">
        <v>15</v>
      </c>
      <c r="P134" s="53"/>
      <c r="Q134" s="28"/>
    </row>
    <row r="135" spans="1:30" x14ac:dyDescent="0.2">
      <c r="A135" s="52" t="s">
        <v>27</v>
      </c>
      <c r="B135" s="26">
        <v>2</v>
      </c>
      <c r="C135" s="26">
        <v>1</v>
      </c>
      <c r="D135" s="54">
        <v>50</v>
      </c>
      <c r="E135" s="27">
        <v>1</v>
      </c>
      <c r="F135" s="26">
        <v>4</v>
      </c>
      <c r="G135" s="25">
        <v>6</v>
      </c>
      <c r="H135" s="26">
        <v>4</v>
      </c>
      <c r="I135" s="18">
        <f t="shared" si="15"/>
        <v>15</v>
      </c>
      <c r="J135" s="27">
        <v>4</v>
      </c>
      <c r="K135" s="53">
        <v>6</v>
      </c>
      <c r="L135" s="28">
        <v>4</v>
      </c>
      <c r="M135" s="53">
        <v>4</v>
      </c>
      <c r="N135" s="18">
        <f t="shared" si="14"/>
        <v>18</v>
      </c>
      <c r="O135" s="27">
        <v>0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2</v>
      </c>
      <c r="E136" s="58">
        <v>0</v>
      </c>
      <c r="F136" s="59">
        <v>0</v>
      </c>
      <c r="G136" s="60">
        <v>0</v>
      </c>
      <c r="H136" s="61">
        <v>0</v>
      </c>
      <c r="I136" s="18">
        <f t="shared" si="15"/>
        <v>0</v>
      </c>
      <c r="J136" s="27">
        <v>0</v>
      </c>
      <c r="K136" s="53">
        <v>0</v>
      </c>
      <c r="L136" s="28">
        <v>0</v>
      </c>
      <c r="M136" s="53">
        <v>0</v>
      </c>
      <c r="N136" s="18">
        <f t="shared" si="14"/>
        <v>0</v>
      </c>
      <c r="O136" s="27">
        <v>0</v>
      </c>
      <c r="P136" s="53"/>
      <c r="Q136" s="28"/>
    </row>
    <row r="137" spans="1:30" x14ac:dyDescent="0.2">
      <c r="A137" s="55" t="s">
        <v>22</v>
      </c>
      <c r="B137" s="56">
        <v>0</v>
      </c>
      <c r="C137" s="56">
        <v>1</v>
      </c>
      <c r="D137" s="57">
        <v>20</v>
      </c>
      <c r="E137" s="58">
        <v>6</v>
      </c>
      <c r="F137" s="59">
        <v>9</v>
      </c>
      <c r="G137" s="60">
        <v>5</v>
      </c>
      <c r="H137" s="61">
        <v>8</v>
      </c>
      <c r="I137" s="18">
        <f t="shared" si="15"/>
        <v>28</v>
      </c>
      <c r="J137" s="27">
        <v>7</v>
      </c>
      <c r="K137" s="53">
        <v>14</v>
      </c>
      <c r="L137" s="28">
        <v>9</v>
      </c>
      <c r="M137" s="53">
        <v>8</v>
      </c>
      <c r="N137" s="18">
        <f t="shared" si="14"/>
        <v>38</v>
      </c>
      <c r="O137" s="27">
        <v>5</v>
      </c>
      <c r="P137" s="53"/>
      <c r="Q137" s="28"/>
    </row>
    <row r="138" spans="1:30" x14ac:dyDescent="0.2">
      <c r="A138" s="52" t="s">
        <v>23</v>
      </c>
      <c r="B138" s="56">
        <v>4</v>
      </c>
      <c r="C138" s="56">
        <v>2</v>
      </c>
      <c r="D138" s="57">
        <v>30</v>
      </c>
      <c r="E138" s="58">
        <v>4</v>
      </c>
      <c r="F138" s="59">
        <v>5</v>
      </c>
      <c r="G138" s="60">
        <v>5</v>
      </c>
      <c r="H138" s="61">
        <v>5</v>
      </c>
      <c r="I138" s="18">
        <f t="shared" si="15"/>
        <v>19</v>
      </c>
      <c r="J138" s="27">
        <v>4</v>
      </c>
      <c r="K138" s="53">
        <v>11</v>
      </c>
      <c r="L138" s="28">
        <v>4</v>
      </c>
      <c r="M138" s="53">
        <v>6</v>
      </c>
      <c r="N138" s="18">
        <f t="shared" si="14"/>
        <v>25</v>
      </c>
      <c r="O138" s="27">
        <v>7</v>
      </c>
      <c r="P138" s="53"/>
      <c r="Q138" s="28"/>
    </row>
    <row r="139" spans="1:30" ht="17" thickBot="1" x14ac:dyDescent="0.25">
      <c r="A139" s="52" t="s">
        <v>24</v>
      </c>
      <c r="B139" s="63">
        <v>2</v>
      </c>
      <c r="C139" s="63">
        <v>4</v>
      </c>
      <c r="D139" s="64">
        <v>24</v>
      </c>
      <c r="E139" s="65">
        <v>12</v>
      </c>
      <c r="F139" s="66">
        <v>8</v>
      </c>
      <c r="G139" s="67">
        <v>5</v>
      </c>
      <c r="H139" s="68">
        <v>4</v>
      </c>
      <c r="I139" s="38">
        <f>SUM(E139:H139)</f>
        <v>29</v>
      </c>
      <c r="J139" s="35">
        <v>2</v>
      </c>
      <c r="K139" s="49">
        <v>7</v>
      </c>
      <c r="L139" s="37">
        <v>5</v>
      </c>
      <c r="M139" s="49">
        <v>4</v>
      </c>
      <c r="N139" s="18">
        <f t="shared" si="14"/>
        <v>18</v>
      </c>
      <c r="O139" s="35">
        <v>3</v>
      </c>
      <c r="P139" s="49"/>
      <c r="Q139" s="37"/>
      <c r="W139" s="482" t="s">
        <v>248</v>
      </c>
      <c r="X139" s="483"/>
      <c r="Y139" s="484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22</v>
      </c>
      <c r="C140" s="13">
        <v>16</v>
      </c>
      <c r="D140" s="14">
        <v>310</v>
      </c>
      <c r="E140" s="40">
        <v>82</v>
      </c>
      <c r="F140" s="13">
        <v>68</v>
      </c>
      <c r="G140" s="41">
        <v>74</v>
      </c>
      <c r="H140" s="20">
        <v>25</v>
      </c>
      <c r="I140" s="18">
        <f>E140+F140+G140+H140</f>
        <v>249</v>
      </c>
      <c r="J140" s="70">
        <v>50</v>
      </c>
      <c r="K140" s="16">
        <v>38</v>
      </c>
      <c r="L140" s="16">
        <v>88</v>
      </c>
      <c r="M140" s="16">
        <v>69</v>
      </c>
      <c r="N140" s="42">
        <f t="shared" si="14"/>
        <v>245</v>
      </c>
      <c r="O140" s="70">
        <v>19</v>
      </c>
      <c r="P140" s="16"/>
      <c r="Q140" s="16"/>
      <c r="W140" s="439" t="s">
        <v>59</v>
      </c>
      <c r="X140" s="238"/>
      <c r="Y140" s="226" t="s">
        <v>204</v>
      </c>
      <c r="Z140" s="252">
        <f>D139</f>
        <v>24</v>
      </c>
      <c r="AA140" s="252">
        <f>B139+C139+E139</f>
        <v>18</v>
      </c>
      <c r="AB140" s="252">
        <f>F139+G139+H139+J139+K139</f>
        <v>26</v>
      </c>
      <c r="AC140" s="252">
        <f>L139+M139+O139</f>
        <v>12</v>
      </c>
      <c r="AD140" s="252">
        <f>L139+M139+O139+P139+Q139</f>
        <v>12</v>
      </c>
    </row>
    <row r="141" spans="1:30" x14ac:dyDescent="0.2">
      <c r="A141" s="71" t="s">
        <v>30</v>
      </c>
      <c r="B141" s="12">
        <v>32</v>
      </c>
      <c r="C141" s="12">
        <v>15</v>
      </c>
      <c r="D141" s="23">
        <v>417</v>
      </c>
      <c r="E141" s="24">
        <v>91</v>
      </c>
      <c r="F141" s="12">
        <v>85</v>
      </c>
      <c r="G141" s="25">
        <v>62</v>
      </c>
      <c r="H141" s="26">
        <v>20</v>
      </c>
      <c r="I141" s="18">
        <f t="shared" ref="I141:I143" si="16">E141+F141+G141+H141</f>
        <v>258</v>
      </c>
      <c r="J141" s="27">
        <v>56</v>
      </c>
      <c r="K141" s="27">
        <v>47</v>
      </c>
      <c r="L141" s="27">
        <v>107</v>
      </c>
      <c r="M141" s="27">
        <v>87</v>
      </c>
      <c r="N141" s="18">
        <f t="shared" si="14"/>
        <v>297</v>
      </c>
      <c r="O141" s="27">
        <v>7</v>
      </c>
      <c r="P141" s="27"/>
      <c r="Q141" s="27"/>
      <c r="W141" s="439"/>
      <c r="X141" s="238"/>
      <c r="Y141" s="226" t="s">
        <v>211</v>
      </c>
      <c r="Z141" s="253">
        <f>Z140/12</f>
        <v>2</v>
      </c>
      <c r="AA141" s="253">
        <f>AA140/5</f>
        <v>3.6</v>
      </c>
      <c r="AB141" s="253">
        <f>AB140/15</f>
        <v>1.7333333333333334</v>
      </c>
      <c r="AC141" s="253">
        <f>AC140/9</f>
        <v>1.3333333333333333</v>
      </c>
      <c r="AD141" s="226"/>
    </row>
    <row r="142" spans="1:30" x14ac:dyDescent="0.2">
      <c r="A142" s="71" t="s">
        <v>31</v>
      </c>
      <c r="B142" s="12">
        <v>24</v>
      </c>
      <c r="C142" s="12">
        <v>17</v>
      </c>
      <c r="D142" s="23">
        <v>443</v>
      </c>
      <c r="E142" s="24">
        <v>59</v>
      </c>
      <c r="F142" s="12">
        <v>86</v>
      </c>
      <c r="G142" s="25">
        <v>51</v>
      </c>
      <c r="H142" s="26">
        <v>16</v>
      </c>
      <c r="I142" s="18">
        <f t="shared" si="16"/>
        <v>212</v>
      </c>
      <c r="J142" s="27">
        <v>40</v>
      </c>
      <c r="K142" s="27">
        <v>27</v>
      </c>
      <c r="L142" s="27">
        <v>64</v>
      </c>
      <c r="M142" s="27">
        <v>47</v>
      </c>
      <c r="N142" s="18">
        <f t="shared" si="14"/>
        <v>178</v>
      </c>
      <c r="O142" s="27">
        <v>33</v>
      </c>
      <c r="P142" s="27"/>
      <c r="Q142" s="27"/>
      <c r="W142" s="440" t="s">
        <v>171</v>
      </c>
      <c r="X142" s="237"/>
      <c r="Y142" s="227" t="s">
        <v>212</v>
      </c>
      <c r="Z142" s="272">
        <f>Z143/Z144</f>
        <v>0.18421052631578946</v>
      </c>
      <c r="AA142" s="227">
        <v>0</v>
      </c>
      <c r="AB142" s="272">
        <f t="shared" ref="AB142" si="17">AB143/AB144</f>
        <v>0.31925645190398844</v>
      </c>
      <c r="AC142" s="272">
        <f t="shared" ref="AC142" si="18">AC143/AC144</f>
        <v>0.8402652200120555</v>
      </c>
      <c r="AD142" s="227"/>
    </row>
    <row r="143" spans="1:30" x14ac:dyDescent="0.2">
      <c r="A143" s="71" t="s">
        <v>32</v>
      </c>
      <c r="B143" s="12">
        <v>48</v>
      </c>
      <c r="C143" s="12">
        <v>32</v>
      </c>
      <c r="D143" s="23">
        <v>952</v>
      </c>
      <c r="E143" s="24">
        <v>118</v>
      </c>
      <c r="F143" s="12">
        <v>156</v>
      </c>
      <c r="G143" s="25">
        <v>133</v>
      </c>
      <c r="H143" s="26">
        <v>50</v>
      </c>
      <c r="I143" s="18">
        <f t="shared" si="16"/>
        <v>457</v>
      </c>
      <c r="J143" s="27">
        <v>101</v>
      </c>
      <c r="K143" s="27">
        <v>51</v>
      </c>
      <c r="L143" s="27">
        <v>150</v>
      </c>
      <c r="M143" s="27">
        <v>114</v>
      </c>
      <c r="N143" s="18">
        <f t="shared" si="14"/>
        <v>416</v>
      </c>
      <c r="O143" s="27">
        <v>25</v>
      </c>
      <c r="P143" s="27"/>
      <c r="Q143" s="27"/>
      <c r="W143" s="440"/>
      <c r="X143" s="237"/>
      <c r="Y143" s="227" t="s">
        <v>217</v>
      </c>
      <c r="Z143" s="227">
        <v>273</v>
      </c>
      <c r="AA143" s="227">
        <v>0</v>
      </c>
      <c r="AB143" s="227">
        <v>3538</v>
      </c>
      <c r="AC143" s="227">
        <v>5576</v>
      </c>
      <c r="AD143" s="227"/>
    </row>
    <row r="144" spans="1:30" x14ac:dyDescent="0.2">
      <c r="A144" s="72" t="s">
        <v>33</v>
      </c>
      <c r="B144" s="73">
        <f>SUM(B140:B143)</f>
        <v>126</v>
      </c>
      <c r="C144" s="73">
        <f>SUM(C140:C143)</f>
        <v>80</v>
      </c>
      <c r="D144" s="74">
        <f>SUM(D140:D143)</f>
        <v>2122</v>
      </c>
      <c r="E144" s="73">
        <f t="shared" ref="E144:G144" si="19">SUM(E140:E143)</f>
        <v>350</v>
      </c>
      <c r="F144" s="73">
        <f t="shared" si="19"/>
        <v>395</v>
      </c>
      <c r="G144" s="73">
        <f t="shared" si="19"/>
        <v>320</v>
      </c>
      <c r="H144" s="73">
        <f>SUM(H140:H143)</f>
        <v>111</v>
      </c>
      <c r="I144" s="18">
        <f>E144+F144+G144+H144</f>
        <v>1176</v>
      </c>
      <c r="J144" s="75">
        <f t="shared" ref="J144:M144" si="20">SUM(J140:J143)</f>
        <v>247</v>
      </c>
      <c r="K144" s="75">
        <f t="shared" si="20"/>
        <v>163</v>
      </c>
      <c r="L144" s="75">
        <f t="shared" si="20"/>
        <v>409</v>
      </c>
      <c r="M144" s="75">
        <f t="shared" si="20"/>
        <v>317</v>
      </c>
      <c r="N144" s="18">
        <f t="shared" si="14"/>
        <v>1136</v>
      </c>
      <c r="O144" s="75"/>
      <c r="P144" s="75"/>
      <c r="Q144" s="75"/>
      <c r="W144" s="440"/>
      <c r="X144" s="237"/>
      <c r="Y144" s="227" t="s">
        <v>218</v>
      </c>
      <c r="Z144" s="227">
        <v>1482</v>
      </c>
      <c r="AA144" s="227">
        <v>0</v>
      </c>
      <c r="AB144" s="227">
        <v>11082</v>
      </c>
      <c r="AC144" s="227">
        <v>6636</v>
      </c>
      <c r="AD144" s="227"/>
    </row>
    <row r="145" spans="1:30" x14ac:dyDescent="0.2">
      <c r="A145" s="71" t="s">
        <v>34</v>
      </c>
      <c r="B145" s="26">
        <v>0</v>
      </c>
      <c r="C145" s="26">
        <v>1</v>
      </c>
      <c r="D145" s="54">
        <v>20</v>
      </c>
      <c r="E145" s="27">
        <v>6</v>
      </c>
      <c r="F145" s="26">
        <v>9</v>
      </c>
      <c r="G145" s="25">
        <v>5</v>
      </c>
      <c r="H145" s="26">
        <v>8</v>
      </c>
      <c r="I145" s="18">
        <f t="shared" ref="I145:I156" si="21">E145+F145+G145+H145</f>
        <v>28</v>
      </c>
      <c r="J145" s="27">
        <v>7</v>
      </c>
      <c r="K145" s="27">
        <v>14</v>
      </c>
      <c r="L145" s="27">
        <v>9</v>
      </c>
      <c r="M145" s="27">
        <v>8</v>
      </c>
      <c r="N145" s="18">
        <f t="shared" si="14"/>
        <v>38</v>
      </c>
      <c r="O145" s="27">
        <v>5</v>
      </c>
      <c r="P145" s="27"/>
      <c r="Q145" s="27"/>
      <c r="W145" s="441" t="s">
        <v>180</v>
      </c>
      <c r="X145" s="239"/>
      <c r="Y145" s="228" t="s">
        <v>213</v>
      </c>
      <c r="Z145" s="274">
        <f>Z146/Z147</f>
        <v>0.12213225371120108</v>
      </c>
      <c r="AA145" s="228">
        <v>0</v>
      </c>
      <c r="AB145" s="274">
        <f t="shared" ref="AB145" si="22">AB146/AB147</f>
        <v>0.27486013354990074</v>
      </c>
      <c r="AC145" s="274">
        <f t="shared" ref="AC145" si="23">AC146/AC147</f>
        <v>0.49442435201928875</v>
      </c>
      <c r="AD145" s="228"/>
    </row>
    <row r="146" spans="1:30" x14ac:dyDescent="0.2">
      <c r="A146" s="71" t="s">
        <v>35</v>
      </c>
      <c r="B146" s="26">
        <v>4</v>
      </c>
      <c r="C146" s="26">
        <v>2</v>
      </c>
      <c r="D146" s="54">
        <v>30</v>
      </c>
      <c r="E146" s="27">
        <v>4</v>
      </c>
      <c r="F146" s="26">
        <v>5</v>
      </c>
      <c r="G146" s="25">
        <v>5</v>
      </c>
      <c r="H146" s="26">
        <v>5</v>
      </c>
      <c r="I146" s="18">
        <f t="shared" si="21"/>
        <v>19</v>
      </c>
      <c r="J146" s="27">
        <v>4</v>
      </c>
      <c r="K146" s="53">
        <v>11</v>
      </c>
      <c r="L146" s="53">
        <v>4</v>
      </c>
      <c r="M146" s="53">
        <v>6</v>
      </c>
      <c r="N146" s="18">
        <f t="shared" si="14"/>
        <v>25</v>
      </c>
      <c r="O146" s="27">
        <v>7</v>
      </c>
      <c r="P146" s="53"/>
      <c r="Q146" s="53"/>
      <c r="W146" s="441"/>
      <c r="X146" s="239"/>
      <c r="Y146" s="228" t="s">
        <v>219</v>
      </c>
      <c r="Z146" s="228">
        <v>181</v>
      </c>
      <c r="AA146" s="228">
        <v>0</v>
      </c>
      <c r="AB146" s="228">
        <v>3046</v>
      </c>
      <c r="AC146" s="228">
        <v>3281</v>
      </c>
      <c r="AD146" s="228"/>
    </row>
    <row r="147" spans="1:30" x14ac:dyDescent="0.2">
      <c r="A147" s="71" t="s">
        <v>36</v>
      </c>
      <c r="B147" s="26">
        <v>2</v>
      </c>
      <c r="C147" s="26">
        <v>4</v>
      </c>
      <c r="D147" s="54">
        <v>24</v>
      </c>
      <c r="E147" s="27">
        <v>12</v>
      </c>
      <c r="F147" s="26">
        <v>8</v>
      </c>
      <c r="G147" s="25">
        <v>5</v>
      </c>
      <c r="H147" s="26">
        <v>4</v>
      </c>
      <c r="I147" s="18">
        <f t="shared" si="21"/>
        <v>29</v>
      </c>
      <c r="J147" s="27">
        <v>2</v>
      </c>
      <c r="K147" s="53">
        <v>7</v>
      </c>
      <c r="L147" s="53">
        <v>5</v>
      </c>
      <c r="M147" s="53">
        <v>4</v>
      </c>
      <c r="N147" s="18">
        <f t="shared" si="14"/>
        <v>18</v>
      </c>
      <c r="O147" s="27">
        <v>3</v>
      </c>
      <c r="P147" s="53"/>
      <c r="Q147" s="53"/>
      <c r="W147" s="441"/>
      <c r="X147" s="239"/>
      <c r="Y147" s="228" t="s">
        <v>218</v>
      </c>
      <c r="Z147" s="228">
        <v>1482</v>
      </c>
      <c r="AA147" s="228">
        <v>0</v>
      </c>
      <c r="AB147" s="228">
        <v>11082</v>
      </c>
      <c r="AC147" s="228">
        <v>6636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1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4"/>
        <v>0</v>
      </c>
      <c r="O148" s="27">
        <v>0</v>
      </c>
      <c r="P148" s="27"/>
      <c r="Q148" s="27"/>
      <c r="W148" s="442" t="s">
        <v>173</v>
      </c>
      <c r="X148" s="240"/>
      <c r="Y148" s="229" t="s">
        <v>214</v>
      </c>
      <c r="Z148" s="254">
        <f>(D127+D130)/(D126+D129)</f>
        <v>0.26449475427940367</v>
      </c>
      <c r="AA148" s="254">
        <f>(B127+C127+E127+B130+C130+E130)/(B126+C126+E126+B129+C129+E129)</f>
        <v>0.41765704584040747</v>
      </c>
      <c r="AB148" s="254">
        <f>(F127+G127+H127+J127+K127+F130+G130+H130+J130+K130)/(F126+G126+H126+J126+K126+F129+G129+H129+J129+K129)</f>
        <v>0.8714338643942201</v>
      </c>
      <c r="AC148" s="254">
        <f>(L127+M127+O127+L130+M130+O130)/(L126+M126+O126+L129+M129+O129)</f>
        <v>0.99133517132729421</v>
      </c>
      <c r="AD148" s="254">
        <f>(L127+M127+O127+P127+Q127+L130+M130+O130+P130+Q130)/(L126+M126+O126+P126+Q126+L129+M129+O129+P129+Q129)</f>
        <v>0.99133517132729421</v>
      </c>
    </row>
    <row r="149" spans="1:30" x14ac:dyDescent="0.2">
      <c r="A149" s="71" t="s">
        <v>37</v>
      </c>
      <c r="B149" s="26">
        <v>126</v>
      </c>
      <c r="C149" s="26">
        <v>80</v>
      </c>
      <c r="D149" s="54">
        <v>1761</v>
      </c>
      <c r="E149" s="27">
        <v>345</v>
      </c>
      <c r="F149" s="26">
        <v>390</v>
      </c>
      <c r="G149" s="25">
        <v>320</v>
      </c>
      <c r="H149" s="26">
        <v>95</v>
      </c>
      <c r="I149" s="18">
        <f t="shared" si="21"/>
        <v>1150</v>
      </c>
      <c r="J149" s="27">
        <v>15</v>
      </c>
      <c r="K149" s="27">
        <v>161</v>
      </c>
      <c r="L149" s="27">
        <v>409</v>
      </c>
      <c r="M149" s="27">
        <v>313</v>
      </c>
      <c r="N149" s="18">
        <f t="shared" si="14"/>
        <v>898</v>
      </c>
      <c r="O149" s="27">
        <v>84</v>
      </c>
      <c r="P149" s="27"/>
      <c r="Q149" s="27"/>
      <c r="W149" s="442"/>
      <c r="X149" s="240"/>
      <c r="Y149" s="229" t="s">
        <v>215</v>
      </c>
      <c r="Z149" s="255">
        <f>(D127+D130)</f>
        <v>958</v>
      </c>
      <c r="AA149" s="255">
        <f>(B127+C127+E127+B130+C130+E130)</f>
        <v>492</v>
      </c>
      <c r="AB149" s="255">
        <f>F127+G127+H127+J127+K127+F130+G130+H130+J130+K130</f>
        <v>2352</v>
      </c>
      <c r="AC149" s="255">
        <f>L127+M127+O127+L130+M130+O130</f>
        <v>2517</v>
      </c>
      <c r="AD149" s="255">
        <f>(L127+M127+O127+P127+Q127+L130+M130+O130+P130+Q130)</f>
        <v>2517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21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4"/>
        <v>0</v>
      </c>
      <c r="O150" s="27">
        <v>0</v>
      </c>
      <c r="P150" s="27"/>
      <c r="Q150" s="27"/>
      <c r="W150" s="442"/>
      <c r="X150" s="240"/>
      <c r="Y150" s="229" t="s">
        <v>216</v>
      </c>
      <c r="Z150" s="255">
        <f>D126+D129</f>
        <v>3622</v>
      </c>
      <c r="AA150" s="255">
        <f>(B126+C126+E126+B129+C129+E129)</f>
        <v>1178</v>
      </c>
      <c r="AB150" s="255">
        <f>F126+G126+H126+J126+K126+F129+G129+H129+J129+K129</f>
        <v>2699</v>
      </c>
      <c r="AC150" s="255">
        <f>(L126+M126+O126+L129+M129+O129)</f>
        <v>2539</v>
      </c>
      <c r="AD150" s="255">
        <f>(L126+M126+O126+P126+Q126+L129+M129+O129+P129+Q129)</f>
        <v>2539</v>
      </c>
    </row>
    <row r="151" spans="1:30" x14ac:dyDescent="0.2">
      <c r="A151" s="71" t="s">
        <v>39</v>
      </c>
      <c r="B151" s="26">
        <v>84</v>
      </c>
      <c r="C151" s="26">
        <v>63</v>
      </c>
      <c r="D151" s="54">
        <v>1450</v>
      </c>
      <c r="E151" s="27">
        <v>428</v>
      </c>
      <c r="F151" s="26">
        <v>469</v>
      </c>
      <c r="G151" s="25">
        <v>548</v>
      </c>
      <c r="H151" s="26">
        <v>101</v>
      </c>
      <c r="I151" s="18">
        <f t="shared" si="21"/>
        <v>1546</v>
      </c>
      <c r="J151" s="27">
        <v>47</v>
      </c>
      <c r="K151" s="27">
        <v>354</v>
      </c>
      <c r="L151" s="27">
        <v>666</v>
      </c>
      <c r="M151" s="27">
        <v>630</v>
      </c>
      <c r="N151" s="18">
        <f t="shared" si="14"/>
        <v>1697</v>
      </c>
      <c r="O151" s="27">
        <v>191</v>
      </c>
      <c r="P151" s="27"/>
      <c r="Q151" s="27"/>
      <c r="W151" s="423" t="s">
        <v>174</v>
      </c>
      <c r="X151" s="241"/>
      <c r="Y151" s="230" t="s">
        <v>220</v>
      </c>
      <c r="Z151" s="256">
        <f>D144</f>
        <v>2122</v>
      </c>
      <c r="AA151" s="256">
        <f>B144+C144+E144</f>
        <v>556</v>
      </c>
      <c r="AB151" s="256">
        <f>F144+G144+H144+J144+K144</f>
        <v>1236</v>
      </c>
      <c r="AC151" s="256">
        <f>L144+M144+O144</f>
        <v>726</v>
      </c>
      <c r="AD151" s="256">
        <f>L144+M144+O144+P144+Q144</f>
        <v>726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1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4"/>
        <v>0</v>
      </c>
      <c r="O152" s="27">
        <v>0</v>
      </c>
      <c r="P152" s="27"/>
      <c r="Q152" s="27"/>
      <c r="W152" s="423"/>
      <c r="X152" s="241"/>
      <c r="Y152" s="230" t="s">
        <v>221</v>
      </c>
      <c r="Z152" s="260">
        <f>Z151/12</f>
        <v>176.83333333333334</v>
      </c>
      <c r="AA152" s="260">
        <f>AA151/5</f>
        <v>111.2</v>
      </c>
      <c r="AB152" s="260">
        <f>AB151/15</f>
        <v>82.4</v>
      </c>
      <c r="AC152" s="260">
        <f>AC151/9</f>
        <v>80.666666666666671</v>
      </c>
      <c r="AD152" s="230"/>
    </row>
    <row r="153" spans="1:30" x14ac:dyDescent="0.2">
      <c r="A153" s="71" t="s">
        <v>41</v>
      </c>
      <c r="B153" s="26">
        <v>0</v>
      </c>
      <c r="C153" s="26">
        <v>0</v>
      </c>
      <c r="D153" s="54">
        <v>23</v>
      </c>
      <c r="E153" s="27">
        <v>0</v>
      </c>
      <c r="F153" s="26">
        <v>0</v>
      </c>
      <c r="G153" s="25">
        <v>3</v>
      </c>
      <c r="H153" s="26">
        <v>0</v>
      </c>
      <c r="I153" s="18">
        <f t="shared" si="21"/>
        <v>3</v>
      </c>
      <c r="J153" s="27">
        <v>0</v>
      </c>
      <c r="K153" s="53">
        <v>2</v>
      </c>
      <c r="L153" s="53">
        <v>9</v>
      </c>
      <c r="M153" s="53">
        <v>17</v>
      </c>
      <c r="N153" s="18">
        <f t="shared" si="14"/>
        <v>28</v>
      </c>
      <c r="O153" s="27">
        <v>0</v>
      </c>
      <c r="P153" s="53"/>
      <c r="Q153" s="53"/>
      <c r="W153" s="446" t="s">
        <v>175</v>
      </c>
      <c r="X153" s="242"/>
      <c r="Y153" s="231" t="s">
        <v>178</v>
      </c>
      <c r="Z153" s="261">
        <f>D128+D131</f>
        <v>1769</v>
      </c>
      <c r="AA153" s="261">
        <f>B128+C128+E128+B131+C131+E131</f>
        <v>561</v>
      </c>
      <c r="AB153" s="261">
        <f>F128+G128+H128+J128+K128+F131+G131+H131+J131+K131</f>
        <v>958</v>
      </c>
      <c r="AC153" s="261">
        <f>L128+M128+O128+L131+M131+O131</f>
        <v>882</v>
      </c>
      <c r="AD153" s="261">
        <f>L128+M128+O128+P128+Q128+L131+M131+O131+P131+Q131</f>
        <v>882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21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4"/>
        <v>0</v>
      </c>
      <c r="O154" s="27">
        <v>0</v>
      </c>
      <c r="P154" s="26"/>
      <c r="Q154" s="26"/>
      <c r="W154" s="446"/>
      <c r="X154" s="242"/>
      <c r="Y154" s="231" t="s">
        <v>222</v>
      </c>
      <c r="Z154" s="262">
        <f>Z153/12</f>
        <v>147.41666666666666</v>
      </c>
      <c r="AA154" s="262">
        <f>AA153/5</f>
        <v>112.2</v>
      </c>
      <c r="AB154" s="262">
        <f>AB153/15</f>
        <v>63.866666666666667</v>
      </c>
      <c r="AC154" s="262">
        <f>AC153/9</f>
        <v>98</v>
      </c>
      <c r="AD154" s="242"/>
    </row>
    <row r="155" spans="1:30" x14ac:dyDescent="0.2">
      <c r="A155" s="71" t="s">
        <v>43</v>
      </c>
      <c r="B155" s="26">
        <v>210</v>
      </c>
      <c r="C155" s="26">
        <v>143</v>
      </c>
      <c r="D155" s="54">
        <v>3211</v>
      </c>
      <c r="E155" s="27">
        <v>773</v>
      </c>
      <c r="F155" s="26">
        <v>859</v>
      </c>
      <c r="G155" s="25">
        <v>868</v>
      </c>
      <c r="H155" s="26">
        <v>196</v>
      </c>
      <c r="I155" s="18">
        <f t="shared" si="21"/>
        <v>2696</v>
      </c>
      <c r="J155" s="27">
        <v>62</v>
      </c>
      <c r="K155" s="26">
        <v>515</v>
      </c>
      <c r="L155" s="26">
        <v>1075</v>
      </c>
      <c r="M155" s="26">
        <v>943</v>
      </c>
      <c r="N155" s="18">
        <f t="shared" si="14"/>
        <v>2595</v>
      </c>
      <c r="O155" s="27">
        <v>275</v>
      </c>
      <c r="P155" s="26"/>
      <c r="Q155" s="26"/>
      <c r="W155" s="446"/>
      <c r="X155" s="242"/>
      <c r="Y155" s="231" t="s">
        <v>179</v>
      </c>
      <c r="Z155" s="261">
        <f>D148+D149</f>
        <v>1761</v>
      </c>
      <c r="AA155" s="261">
        <f>B148+C148+E148+B149+C149+E149</f>
        <v>551</v>
      </c>
      <c r="AB155" s="261">
        <f>F148+G148+H148+J148+K148+F149+G149+H149+J149+K149</f>
        <v>981</v>
      </c>
      <c r="AC155" s="261">
        <f>L148+M148+O148+L149+M149+O149</f>
        <v>806</v>
      </c>
      <c r="AD155" s="261">
        <f>L148+M148+O148+P148+Q148+L149+M149+O149+P149+Q149</f>
        <v>806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16</v>
      </c>
      <c r="I156" s="38">
        <f t="shared" si="21"/>
        <v>16</v>
      </c>
      <c r="J156" s="48">
        <v>225</v>
      </c>
      <c r="K156" s="77">
        <v>0</v>
      </c>
      <c r="L156" s="77">
        <v>0</v>
      </c>
      <c r="M156" s="77">
        <v>0</v>
      </c>
      <c r="N156" s="18">
        <f t="shared" si="14"/>
        <v>225</v>
      </c>
      <c r="O156" s="48">
        <v>0</v>
      </c>
      <c r="P156" s="77"/>
      <c r="Q156" s="77"/>
      <c r="W156" s="446"/>
      <c r="X156" s="242"/>
      <c r="Y156" s="231" t="s">
        <v>223</v>
      </c>
      <c r="Z156" s="261">
        <f>Z155/12</f>
        <v>146.75</v>
      </c>
      <c r="AA156" s="261">
        <f>AA155/5</f>
        <v>110.2</v>
      </c>
      <c r="AB156" s="261">
        <f>AB155/15</f>
        <v>65.400000000000006</v>
      </c>
      <c r="AC156" s="261">
        <f>AC155/9</f>
        <v>89.555555555555557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f>4+5+5+11</f>
        <v>25</v>
      </c>
      <c r="N157" s="42">
        <f>SUM(M157)</f>
        <v>25</v>
      </c>
      <c r="O157" s="194">
        <f>2+4+5+9</f>
        <v>20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279</v>
      </c>
      <c r="AA157" s="263" t="s">
        <v>277</v>
      </c>
      <c r="AB157" s="264" t="s">
        <v>278</v>
      </c>
      <c r="AC157" s="263" t="s">
        <v>240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91</v>
      </c>
      <c r="N158" s="18">
        <f t="shared" ref="N158:N172" si="24">SUM(M158)</f>
        <v>91</v>
      </c>
      <c r="O158" s="188">
        <v>52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282</v>
      </c>
      <c r="AA158" s="265" t="s">
        <v>283</v>
      </c>
      <c r="AB158" s="265" t="s">
        <v>285</v>
      </c>
      <c r="AC158" s="265" t="s">
        <v>244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4</v>
      </c>
      <c r="N159" s="18">
        <f t="shared" si="24"/>
        <v>4</v>
      </c>
      <c r="O159" s="188">
        <v>2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5</v>
      </c>
      <c r="N160" s="18">
        <f t="shared" si="24"/>
        <v>5</v>
      </c>
      <c r="O160" s="188">
        <v>4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5</v>
      </c>
      <c r="N161" s="18">
        <f t="shared" si="24"/>
        <v>5</v>
      </c>
      <c r="O161" s="195">
        <v>5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11</v>
      </c>
      <c r="N162" s="18">
        <f t="shared" si="24"/>
        <v>11</v>
      </c>
      <c r="O162" s="188">
        <v>9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4</v>
      </c>
      <c r="N163" s="18">
        <f t="shared" si="24"/>
        <v>4</v>
      </c>
      <c r="O163" s="195">
        <v>6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13</v>
      </c>
      <c r="N164" s="18">
        <f t="shared" si="24"/>
        <v>13</v>
      </c>
      <c r="O164" s="195">
        <v>8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0</v>
      </c>
      <c r="N165" s="18">
        <f t="shared" si="24"/>
        <v>0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19</v>
      </c>
      <c r="N166" s="18">
        <f t="shared" si="24"/>
        <v>19</v>
      </c>
      <c r="O166" s="195">
        <v>14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8">
        <f t="shared" si="24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21</v>
      </c>
      <c r="N168" s="18">
        <f t="shared" si="24"/>
        <v>21</v>
      </c>
      <c r="O168" s="195">
        <v>14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53</v>
      </c>
      <c r="N169" s="18">
        <f t="shared" si="24"/>
        <v>53</v>
      </c>
      <c r="O169" s="195">
        <v>24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8">
        <f t="shared" si="24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74</v>
      </c>
      <c r="N171" s="18">
        <f t="shared" si="24"/>
        <v>74</v>
      </c>
      <c r="O171" s="195">
        <v>38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38">
        <f t="shared" si="24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>
      <c r="O173" t="s">
        <v>182</v>
      </c>
    </row>
  </sheetData>
  <mergeCells count="35">
    <mergeCell ref="W148:W150"/>
    <mergeCell ref="W151:W152"/>
    <mergeCell ref="W153:W156"/>
    <mergeCell ref="W90:W92"/>
    <mergeCell ref="W93:W94"/>
    <mergeCell ref="W95:W98"/>
    <mergeCell ref="W109:W112"/>
    <mergeCell ref="W115:W118"/>
    <mergeCell ref="W139:Y139"/>
    <mergeCell ref="W140:W141"/>
    <mergeCell ref="W142:W144"/>
    <mergeCell ref="W145:W147"/>
    <mergeCell ref="X17:X19"/>
    <mergeCell ref="W20:W31"/>
    <mergeCell ref="X20:X23"/>
    <mergeCell ref="X24:X27"/>
    <mergeCell ref="X28:X31"/>
    <mergeCell ref="W11:W19"/>
    <mergeCell ref="X11:X13"/>
    <mergeCell ref="X14:X16"/>
    <mergeCell ref="W1:Y1"/>
    <mergeCell ref="W2:W10"/>
    <mergeCell ref="X2:X4"/>
    <mergeCell ref="X5:X7"/>
    <mergeCell ref="X8:X10"/>
    <mergeCell ref="W32:W40"/>
    <mergeCell ref="X32:X34"/>
    <mergeCell ref="X35:X37"/>
    <mergeCell ref="X38:X40"/>
    <mergeCell ref="W41:W43"/>
    <mergeCell ref="W44:W47"/>
    <mergeCell ref="W81:Y81"/>
    <mergeCell ref="W82:W83"/>
    <mergeCell ref="W84:W86"/>
    <mergeCell ref="W87:W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D822-DC64-4EA7-92A1-FED9EE569D90}">
  <dimension ref="A1:AD173"/>
  <sheetViews>
    <sheetView topLeftCell="A128" zoomScale="73" workbookViewId="0">
      <pane xSplit="1" topLeftCell="X1" activePane="topRight" state="frozen"/>
      <selection activeCell="A2" sqref="A2"/>
      <selection pane="topRight" activeCell="AB159" sqref="AB159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4" width="7.83203125" customWidth="1"/>
    <col min="15" max="15" width="10.1640625" bestFit="1" customWidth="1"/>
    <col min="19" max="19" width="17.33203125" bestFit="1" customWidth="1"/>
    <col min="20" max="20" width="28.1640625" customWidth="1"/>
    <col min="21" max="21" width="29" customWidth="1"/>
    <col min="22" max="22" width="27.6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160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1" t="s">
        <v>160</v>
      </c>
      <c r="X1" s="481"/>
      <c r="Y1" s="481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223</v>
      </c>
      <c r="C2" s="12">
        <v>205</v>
      </c>
      <c r="D2" s="197">
        <v>3198</v>
      </c>
      <c r="E2" s="15">
        <v>744</v>
      </c>
      <c r="F2" s="13">
        <v>1106</v>
      </c>
      <c r="G2" s="16">
        <v>797</v>
      </c>
      <c r="H2" s="17">
        <v>827</v>
      </c>
      <c r="I2" s="204">
        <f>E2+F2+G2+H2</f>
        <v>3474</v>
      </c>
      <c r="J2" s="19">
        <v>1118</v>
      </c>
      <c r="K2" s="20">
        <v>716</v>
      </c>
      <c r="L2" s="21">
        <v>1574</v>
      </c>
      <c r="M2" s="20">
        <v>1048</v>
      </c>
      <c r="N2" s="204">
        <f t="shared" ref="N2:N40" si="0">SUM(J2:M2)</f>
        <v>4456</v>
      </c>
      <c r="O2" s="19">
        <v>710</v>
      </c>
      <c r="P2" s="20"/>
      <c r="Q2" s="21"/>
      <c r="W2" s="387" t="s">
        <v>51</v>
      </c>
      <c r="X2" s="387" t="s">
        <v>226</v>
      </c>
      <c r="Y2" s="243" t="s">
        <v>188</v>
      </c>
      <c r="Z2" s="247">
        <f>((D12+D15)/(D10+D13))*1000</f>
        <v>149.17127071823205</v>
      </c>
      <c r="AA2" s="247">
        <f>((B12+C12+E12+B15+C15+E15)/(B10+C10+E10+B13+C13+E13))*1000</f>
        <v>487.89283874291601</v>
      </c>
      <c r="AB2" s="247">
        <f>((F12+G12+H12+J12+K12+F15+G15+H15+J15+K15)/(F10+G10+H10+J10+K10+F13+G13+H13+J13+K13))*1000</f>
        <v>209.2557298538826</v>
      </c>
      <c r="AC2" s="247">
        <f>((L12+M12+O12+L15+M15+O15)/(L10+M10+O10+L13+M13+O13))*1000</f>
        <v>310.78431372549022</v>
      </c>
      <c r="AD2" s="247">
        <f>((L12+M12+O12+P12+Q12+L15+M15+O15+P15+Q15)/(L10+M10+O10+P10+Q10+L13+M13+O13+P13+Q13))*1000</f>
        <v>310.78431372549022</v>
      </c>
    </row>
    <row r="3" spans="1:30" x14ac:dyDescent="0.2">
      <c r="A3" s="22" t="s">
        <v>10</v>
      </c>
      <c r="B3" s="12">
        <v>32</v>
      </c>
      <c r="C3" s="12">
        <v>9</v>
      </c>
      <c r="D3" s="187">
        <v>155</v>
      </c>
      <c r="E3" s="24">
        <v>44</v>
      </c>
      <c r="F3" s="12">
        <v>25</v>
      </c>
      <c r="G3" s="25">
        <v>36</v>
      </c>
      <c r="H3" s="26">
        <v>31</v>
      </c>
      <c r="I3" s="204">
        <f t="shared" ref="I3:I40" si="1">E3+F3+G3+H3</f>
        <v>136</v>
      </c>
      <c r="J3" s="27">
        <v>90</v>
      </c>
      <c r="K3" s="26">
        <v>70</v>
      </c>
      <c r="L3" s="28">
        <v>135</v>
      </c>
      <c r="M3" s="26">
        <v>57</v>
      </c>
      <c r="N3" s="204">
        <f t="shared" si="0"/>
        <v>352</v>
      </c>
      <c r="O3" s="27">
        <v>27</v>
      </c>
      <c r="P3" s="26"/>
      <c r="Q3" s="28"/>
      <c r="W3" s="388"/>
      <c r="X3" s="388"/>
      <c r="Y3" s="217" t="s">
        <v>229</v>
      </c>
      <c r="Z3" s="236">
        <f>D12+D15</f>
        <v>1863</v>
      </c>
      <c r="AA3" s="236">
        <f>B12+C12+E12+B15+C15+E15</f>
        <v>947</v>
      </c>
      <c r="AB3" s="236">
        <f>F12+G12+H12+J12+K12+F15+G15+H15+J15+K15</f>
        <v>4282</v>
      </c>
      <c r="AC3" s="236">
        <f>L12+M12+O12+L15+M15+O15</f>
        <v>5389</v>
      </c>
      <c r="AD3" s="236">
        <f>L12+M12+O12+P12+Q12+L15+M15+O15+P15+Q15</f>
        <v>5389</v>
      </c>
    </row>
    <row r="4" spans="1:30" x14ac:dyDescent="0.2">
      <c r="A4" s="22" t="s">
        <v>13</v>
      </c>
      <c r="B4" s="12">
        <v>890</v>
      </c>
      <c r="C4" s="12">
        <v>566</v>
      </c>
      <c r="D4" s="23">
        <v>10772</v>
      </c>
      <c r="E4" s="24">
        <v>2765</v>
      </c>
      <c r="F4" s="12">
        <v>2455</v>
      </c>
      <c r="G4" s="25">
        <v>2318</v>
      </c>
      <c r="H4" s="26">
        <v>1839</v>
      </c>
      <c r="I4" s="18">
        <f t="shared" si="1"/>
        <v>9377</v>
      </c>
      <c r="J4" s="27">
        <v>2127</v>
      </c>
      <c r="K4" s="26">
        <v>1542</v>
      </c>
      <c r="L4" s="28">
        <v>2744</v>
      </c>
      <c r="M4" s="26">
        <v>1528</v>
      </c>
      <c r="N4" s="18">
        <f t="shared" si="0"/>
        <v>7941</v>
      </c>
      <c r="O4" s="27">
        <v>1307</v>
      </c>
      <c r="P4" s="26"/>
      <c r="Q4" s="28"/>
      <c r="W4" s="388"/>
      <c r="X4" s="389"/>
      <c r="Y4" s="217" t="s">
        <v>216</v>
      </c>
      <c r="Z4" s="236">
        <f>D10+D13</f>
        <v>12489</v>
      </c>
      <c r="AA4" s="236">
        <f>(B10+C10+E10+B13+C13+E13)</f>
        <v>1941</v>
      </c>
      <c r="AB4" s="236">
        <f>F10+G10+H10+J10+K10+F13+G13+H13+J13+K13</f>
        <v>20463</v>
      </c>
      <c r="AC4" s="236">
        <f>L10+M10+O10+L13+M13+O13</f>
        <v>17340</v>
      </c>
      <c r="AD4" s="236">
        <f>L10+M10+O10+P10+Q10+L13+M13+O13+P13+Q13</f>
        <v>17340</v>
      </c>
    </row>
    <row r="5" spans="1:30" x14ac:dyDescent="0.2">
      <c r="A5" s="22" t="s">
        <v>9</v>
      </c>
      <c r="B5" s="12">
        <v>124</v>
      </c>
      <c r="C5" s="12">
        <v>48</v>
      </c>
      <c r="D5" s="23">
        <v>819</v>
      </c>
      <c r="E5" s="24">
        <v>216</v>
      </c>
      <c r="F5" s="12">
        <v>161</v>
      </c>
      <c r="G5" s="25">
        <v>154</v>
      </c>
      <c r="H5" s="26">
        <v>129</v>
      </c>
      <c r="I5" s="18">
        <f t="shared" si="1"/>
        <v>660</v>
      </c>
      <c r="J5" s="27">
        <v>239</v>
      </c>
      <c r="K5" s="26">
        <v>133</v>
      </c>
      <c r="L5" s="28">
        <v>374</v>
      </c>
      <c r="M5" s="26">
        <v>177</v>
      </c>
      <c r="N5" s="18">
        <f t="shared" si="0"/>
        <v>923</v>
      </c>
      <c r="O5" s="27">
        <v>149</v>
      </c>
      <c r="P5" s="26"/>
      <c r="Q5" s="28"/>
      <c r="W5" s="388"/>
      <c r="X5" s="387" t="s">
        <v>227</v>
      </c>
      <c r="Y5" s="217" t="s">
        <v>188</v>
      </c>
      <c r="Z5" s="247">
        <f>(D12/D10)*1000</f>
        <v>98.12256464753807</v>
      </c>
      <c r="AA5" s="247">
        <f>((B12+C12+E12)/(B10+C10+E10))*1000</f>
        <v>329.6</v>
      </c>
      <c r="AB5" s="247">
        <f>((F12+G12+H12+J12+K12)/(F10+G10+H10+J10+K10))*1000</f>
        <v>166.87453230231978</v>
      </c>
      <c r="AC5" s="247">
        <f>((L12+M12+O12)/(L10+M10+O10))*1000</f>
        <v>182.9472175782183</v>
      </c>
      <c r="AD5" s="247">
        <f>((L12+M12+O12+P12+Q12)/(L10+M10+O10+P10+Q10))*1000</f>
        <v>182.9472175782183</v>
      </c>
    </row>
    <row r="6" spans="1:30" x14ac:dyDescent="0.2">
      <c r="A6" s="22" t="s">
        <v>11</v>
      </c>
      <c r="B6" s="12">
        <v>304</v>
      </c>
      <c r="C6" s="12">
        <v>335</v>
      </c>
      <c r="D6" s="187">
        <v>3836</v>
      </c>
      <c r="E6" s="24">
        <v>1276</v>
      </c>
      <c r="F6" s="12">
        <v>1666</v>
      </c>
      <c r="G6" s="25">
        <v>1206</v>
      </c>
      <c r="H6" s="26">
        <v>971</v>
      </c>
      <c r="I6" s="204">
        <f t="shared" si="1"/>
        <v>5119</v>
      </c>
      <c r="J6" s="27">
        <v>756</v>
      </c>
      <c r="K6" s="26">
        <v>994</v>
      </c>
      <c r="L6" s="28">
        <v>3163</v>
      </c>
      <c r="M6" s="26">
        <v>1636</v>
      </c>
      <c r="N6" s="204">
        <f t="shared" si="0"/>
        <v>6549</v>
      </c>
      <c r="O6" s="27">
        <v>946</v>
      </c>
      <c r="P6" s="26"/>
      <c r="Q6" s="28"/>
      <c r="W6" s="388"/>
      <c r="X6" s="388"/>
      <c r="Y6" s="217" t="s">
        <v>229</v>
      </c>
      <c r="Z6" s="236">
        <f>D12</f>
        <v>277</v>
      </c>
      <c r="AA6" s="236">
        <f>B12+C12+E12</f>
        <v>206</v>
      </c>
      <c r="AB6" s="236">
        <f>F12+G12+H12+J12+K12</f>
        <v>669</v>
      </c>
      <c r="AC6" s="236">
        <f>L12+M12+O12</f>
        <v>766</v>
      </c>
      <c r="AD6" s="236">
        <f>L12+M12+O12+P12+Q12</f>
        <v>766</v>
      </c>
    </row>
    <row r="7" spans="1:30" ht="15" customHeight="1" x14ac:dyDescent="0.2">
      <c r="A7" s="11" t="s">
        <v>7</v>
      </c>
      <c r="B7" s="12">
        <v>17</v>
      </c>
      <c r="C7" s="12">
        <v>26</v>
      </c>
      <c r="D7" s="187">
        <v>440</v>
      </c>
      <c r="E7" s="24">
        <v>134</v>
      </c>
      <c r="F7" s="12">
        <v>138</v>
      </c>
      <c r="G7" s="25">
        <v>100</v>
      </c>
      <c r="H7" s="26">
        <v>46</v>
      </c>
      <c r="I7" s="204">
        <f t="shared" si="1"/>
        <v>418</v>
      </c>
      <c r="J7" s="27">
        <v>53</v>
      </c>
      <c r="K7" s="26">
        <v>106</v>
      </c>
      <c r="L7" s="28">
        <v>789</v>
      </c>
      <c r="M7" s="26">
        <v>283</v>
      </c>
      <c r="N7" s="204">
        <f t="shared" si="0"/>
        <v>1231</v>
      </c>
      <c r="O7" s="27">
        <v>134</v>
      </c>
      <c r="P7" s="26"/>
      <c r="Q7" s="28"/>
      <c r="W7" s="388"/>
      <c r="X7" s="389"/>
      <c r="Y7" s="217" t="s">
        <v>216</v>
      </c>
      <c r="Z7" s="236">
        <f>D10</f>
        <v>2823</v>
      </c>
      <c r="AA7" s="236">
        <f>B10+C10+E10</f>
        <v>625</v>
      </c>
      <c r="AB7" s="236">
        <f>F10+G10+H10+J10+K10</f>
        <v>4009</v>
      </c>
      <c r="AC7" s="236">
        <f>L10+M10+O10</f>
        <v>4187</v>
      </c>
      <c r="AD7" s="236">
        <f>L10+M10+O10+P10+Q10</f>
        <v>4187</v>
      </c>
    </row>
    <row r="8" spans="1:30" ht="29.5" customHeight="1" x14ac:dyDescent="0.2">
      <c r="A8" s="22" t="s">
        <v>12</v>
      </c>
      <c r="B8" s="12">
        <v>556</v>
      </c>
      <c r="C8" s="12">
        <v>1545</v>
      </c>
      <c r="D8" s="23">
        <v>12061</v>
      </c>
      <c r="E8" s="24">
        <v>3869</v>
      </c>
      <c r="F8" s="12">
        <v>7784</v>
      </c>
      <c r="G8" s="25">
        <v>6210</v>
      </c>
      <c r="H8" s="26">
        <v>3264</v>
      </c>
      <c r="I8" s="18">
        <f t="shared" si="1"/>
        <v>21127</v>
      </c>
      <c r="J8" s="27">
        <v>3031</v>
      </c>
      <c r="K8" s="26">
        <v>5606</v>
      </c>
      <c r="L8" s="28">
        <v>8065</v>
      </c>
      <c r="M8" s="26">
        <v>4595</v>
      </c>
      <c r="N8" s="18">
        <f t="shared" si="0"/>
        <v>21297</v>
      </c>
      <c r="O8" s="27">
        <v>2654</v>
      </c>
      <c r="P8" s="49"/>
      <c r="Q8" s="37"/>
      <c r="W8" s="388"/>
      <c r="X8" s="387" t="s">
        <v>228</v>
      </c>
      <c r="Y8" s="217" t="s">
        <v>188</v>
      </c>
      <c r="Z8" s="247">
        <f>(D15/D13)*1000</f>
        <v>164.08028139871718</v>
      </c>
      <c r="AA8" s="247">
        <f>((B15+C15+E15)/(B13+C13+E13))*1000</f>
        <v>563.06990881458967</v>
      </c>
      <c r="AB8" s="247">
        <f>((F15+G15+H15+J15+K15)/(F13+G13+H13+J13+K13))*1000</f>
        <v>219.58186459219641</v>
      </c>
      <c r="AC8" s="247">
        <f>((L15+M15+O15)/(L13+M13+O13))*1000</f>
        <v>351.47875009503537</v>
      </c>
      <c r="AD8" s="247">
        <f>((L15+M15+O15+P15+Q15)/(L13+M13+O13+P13+Q13))*1000</f>
        <v>351.47875009503537</v>
      </c>
    </row>
    <row r="9" spans="1:30" ht="16" thickBot="1" x14ac:dyDescent="0.25">
      <c r="A9" s="22" t="s">
        <v>8</v>
      </c>
      <c r="B9" s="30">
        <v>22</v>
      </c>
      <c r="C9" s="30">
        <v>141</v>
      </c>
      <c r="D9" s="31">
        <v>1955</v>
      </c>
      <c r="E9" s="32">
        <v>212</v>
      </c>
      <c r="F9" s="30">
        <v>761</v>
      </c>
      <c r="G9" s="33">
        <v>510</v>
      </c>
      <c r="H9" s="34">
        <v>329</v>
      </c>
      <c r="I9" s="18">
        <f t="shared" si="1"/>
        <v>1812</v>
      </c>
      <c r="J9" s="35">
        <v>492</v>
      </c>
      <c r="K9" s="36">
        <v>868</v>
      </c>
      <c r="L9" s="37">
        <v>1839</v>
      </c>
      <c r="M9" s="36">
        <v>862</v>
      </c>
      <c r="N9" s="38">
        <f t="shared" si="0"/>
        <v>4061</v>
      </c>
      <c r="O9" s="182">
        <v>386</v>
      </c>
      <c r="P9" s="49"/>
      <c r="Q9" s="37"/>
      <c r="W9" s="388"/>
      <c r="X9" s="388"/>
      <c r="Y9" s="217" t="s">
        <v>229</v>
      </c>
      <c r="Z9" s="236">
        <f>D15</f>
        <v>1586</v>
      </c>
      <c r="AA9" s="236">
        <f>B15+C15+E15</f>
        <v>741</v>
      </c>
      <c r="AB9" s="236">
        <f>F15+G15+H15+J15+K15</f>
        <v>3613</v>
      </c>
      <c r="AC9" s="236">
        <f>L15+M15+O15</f>
        <v>4623</v>
      </c>
      <c r="AD9" s="236">
        <f>L15+M15+O15+P15+Q15</f>
        <v>4623</v>
      </c>
    </row>
    <row r="10" spans="1:30" ht="16" thickTop="1" x14ac:dyDescent="0.2">
      <c r="A10" s="177" t="s">
        <v>19</v>
      </c>
      <c r="B10" s="13">
        <v>80</v>
      </c>
      <c r="C10" s="13">
        <v>142</v>
      </c>
      <c r="D10" s="42">
        <v>2823</v>
      </c>
      <c r="E10" s="40">
        <v>403</v>
      </c>
      <c r="F10" s="13">
        <v>831</v>
      </c>
      <c r="G10" s="41">
        <v>787</v>
      </c>
      <c r="H10" s="20">
        <v>750</v>
      </c>
      <c r="I10" s="42">
        <f t="shared" si="1"/>
        <v>2771</v>
      </c>
      <c r="J10" s="43">
        <v>941</v>
      </c>
      <c r="K10" s="17">
        <v>700</v>
      </c>
      <c r="L10" s="44">
        <v>2148</v>
      </c>
      <c r="M10" s="17">
        <v>1487</v>
      </c>
      <c r="N10" s="18">
        <f t="shared" si="0"/>
        <v>5276</v>
      </c>
      <c r="O10" s="43">
        <v>552</v>
      </c>
      <c r="P10" s="17"/>
      <c r="Q10" s="44"/>
      <c r="W10" s="389"/>
      <c r="X10" s="389"/>
      <c r="Y10" s="217" t="s">
        <v>216</v>
      </c>
      <c r="Z10" s="236">
        <f>D13</f>
        <v>9666</v>
      </c>
      <c r="AA10" s="236">
        <f>B13+C13+E13</f>
        <v>1316</v>
      </c>
      <c r="AB10" s="236">
        <f>F13+G13+H13+J13+K13</f>
        <v>16454</v>
      </c>
      <c r="AC10" s="236">
        <f>L13+M13+O13</f>
        <v>13153</v>
      </c>
      <c r="AD10" s="236">
        <f>L13+M13+O13+P13+Q13</f>
        <v>13153</v>
      </c>
    </row>
    <row r="11" spans="1:30" x14ac:dyDescent="0.2">
      <c r="A11" s="45" t="s">
        <v>16</v>
      </c>
      <c r="B11" s="12">
        <v>41</v>
      </c>
      <c r="C11" s="12">
        <v>32</v>
      </c>
      <c r="D11" s="18">
        <v>1542</v>
      </c>
      <c r="E11" s="24">
        <v>4</v>
      </c>
      <c r="F11" s="12">
        <v>147</v>
      </c>
      <c r="G11" s="25">
        <v>10</v>
      </c>
      <c r="H11" s="26">
        <v>24</v>
      </c>
      <c r="I11" s="18">
        <f t="shared" si="1"/>
        <v>185</v>
      </c>
      <c r="J11" s="27">
        <v>57</v>
      </c>
      <c r="K11" s="26">
        <v>333</v>
      </c>
      <c r="L11" s="28">
        <v>2045</v>
      </c>
      <c r="M11" s="26">
        <v>1264</v>
      </c>
      <c r="N11" s="18">
        <f t="shared" si="0"/>
        <v>3699</v>
      </c>
      <c r="O11" s="27">
        <v>545</v>
      </c>
      <c r="P11" s="26"/>
      <c r="Q11" s="28"/>
      <c r="W11" s="390" t="s">
        <v>46</v>
      </c>
      <c r="X11" s="390" t="s">
        <v>226</v>
      </c>
      <c r="Y11" s="244" t="s">
        <v>191</v>
      </c>
      <c r="Z11" s="245">
        <f>(D3+D7)/(D2+D6)</f>
        <v>8.4589138470287178E-2</v>
      </c>
      <c r="AA11" s="245">
        <f>(B3+C3+E3+B7+C7+E7)/(B2+C2+E2+B6+C6+E6)</f>
        <v>8.4872044055717522E-2</v>
      </c>
      <c r="AB11" s="245">
        <f>(F3+G3+H3+J3+K3+F7+G7+H7+J7+K7)/(F2+G2+H2+J2+K2+F6+G6+H6+J6+K6)</f>
        <v>6.8425716254799651E-2</v>
      </c>
      <c r="AC11" s="245">
        <f>(L3+M3+O3+L7+M7+O7)/(L2+M2+O2+L6+M6+O6)</f>
        <v>0.15699019499834746</v>
      </c>
      <c r="AD11" s="245">
        <f>(L3+M3+O3+P3+Q3+L7+M7+O7+P7+Q7)/(L2+M2+O2+P2+Q2+L6+M6+O6+P6+Q6)</f>
        <v>0.15699019499834746</v>
      </c>
    </row>
    <row r="12" spans="1:30" x14ac:dyDescent="0.2">
      <c r="A12" s="177" t="s">
        <v>15</v>
      </c>
      <c r="B12" s="12">
        <v>46</v>
      </c>
      <c r="C12" s="12">
        <v>31</v>
      </c>
      <c r="D12" s="18">
        <v>277</v>
      </c>
      <c r="E12" s="24">
        <v>129</v>
      </c>
      <c r="F12" s="12">
        <v>124</v>
      </c>
      <c r="G12" s="25">
        <v>99</v>
      </c>
      <c r="H12" s="26">
        <v>116</v>
      </c>
      <c r="I12" s="18">
        <f t="shared" si="1"/>
        <v>468</v>
      </c>
      <c r="J12" s="27">
        <v>150</v>
      </c>
      <c r="K12" s="26">
        <v>180</v>
      </c>
      <c r="L12" s="28">
        <v>465</v>
      </c>
      <c r="M12" s="26">
        <v>234</v>
      </c>
      <c r="N12" s="18">
        <f t="shared" si="0"/>
        <v>1029</v>
      </c>
      <c r="O12" s="27">
        <v>67</v>
      </c>
      <c r="P12" s="26"/>
      <c r="Q12" s="28"/>
      <c r="W12" s="391"/>
      <c r="X12" s="391"/>
      <c r="Y12" s="218" t="s">
        <v>231</v>
      </c>
      <c r="Z12" s="246">
        <f>D3+D7</f>
        <v>595</v>
      </c>
      <c r="AA12" s="246">
        <f>B3+C3+E3+B7+C7+E7</f>
        <v>262</v>
      </c>
      <c r="AB12" s="246">
        <f>F3+G3+H3+J3+K3+F7+G7+H7+J7+K7</f>
        <v>695</v>
      </c>
      <c r="AC12" s="246">
        <f>L3+M3+O3+L7+M7+O7</f>
        <v>1425</v>
      </c>
      <c r="AD12" s="246">
        <f>L3+M3+O3+P3+Q3+L7+M7+O7+P7+Q7</f>
        <v>1425</v>
      </c>
    </row>
    <row r="13" spans="1:30" x14ac:dyDescent="0.2">
      <c r="A13" s="45" t="s">
        <v>20</v>
      </c>
      <c r="B13" s="12">
        <v>192</v>
      </c>
      <c r="C13" s="12">
        <v>274</v>
      </c>
      <c r="D13" s="18">
        <v>9666</v>
      </c>
      <c r="E13" s="24">
        <v>850</v>
      </c>
      <c r="F13" s="12">
        <v>3939</v>
      </c>
      <c r="G13" s="25">
        <v>3189</v>
      </c>
      <c r="H13" s="26">
        <v>2552</v>
      </c>
      <c r="I13" s="18">
        <f t="shared" si="1"/>
        <v>10530</v>
      </c>
      <c r="J13" s="27">
        <v>2978</v>
      </c>
      <c r="K13" s="26">
        <v>3796</v>
      </c>
      <c r="L13" s="28">
        <v>7252</v>
      </c>
      <c r="M13" s="26">
        <v>4183</v>
      </c>
      <c r="N13" s="18">
        <f t="shared" si="0"/>
        <v>18209</v>
      </c>
      <c r="O13" s="27">
        <v>1718</v>
      </c>
      <c r="P13" s="26"/>
      <c r="Q13" s="28"/>
      <c r="W13" s="391"/>
      <c r="X13" s="392"/>
      <c r="Y13" s="218" t="s">
        <v>232</v>
      </c>
      <c r="Z13" s="246">
        <f>D2+D6</f>
        <v>7034</v>
      </c>
      <c r="AA13" s="246">
        <f>(B2+C2+E2+B6+C6+E6)</f>
        <v>3087</v>
      </c>
      <c r="AB13" s="246">
        <f>F2+G2+H2+J2+K2+F6+G6+H6+J6+K6</f>
        <v>10157</v>
      </c>
      <c r="AC13" s="246">
        <f>L2+M2+O2+L6+M6+O6</f>
        <v>9077</v>
      </c>
      <c r="AD13" s="246">
        <f>L2+M2+O2+P2+Q2+L6+M6+O6+P6+Q6</f>
        <v>9077</v>
      </c>
    </row>
    <row r="14" spans="1:30" x14ac:dyDescent="0.2">
      <c r="A14" s="45" t="s">
        <v>18</v>
      </c>
      <c r="B14" s="12">
        <v>5</v>
      </c>
      <c r="C14" s="12">
        <v>0</v>
      </c>
      <c r="D14" s="18">
        <v>2733</v>
      </c>
      <c r="E14" s="24">
        <v>0</v>
      </c>
      <c r="F14" s="12"/>
      <c r="G14" s="25">
        <v>68</v>
      </c>
      <c r="H14" s="26">
        <v>1</v>
      </c>
      <c r="I14" s="18">
        <f t="shared" si="1"/>
        <v>69</v>
      </c>
      <c r="J14" s="27">
        <v>213</v>
      </c>
      <c r="K14" s="26">
        <v>2400</v>
      </c>
      <c r="L14" s="28">
        <v>6034</v>
      </c>
      <c r="M14" s="26">
        <v>3772</v>
      </c>
      <c r="N14" s="18">
        <f t="shared" si="0"/>
        <v>12419</v>
      </c>
      <c r="O14" s="27">
        <v>1166</v>
      </c>
      <c r="P14" s="26"/>
      <c r="Q14" s="28"/>
      <c r="W14" s="391"/>
      <c r="X14" s="390" t="s">
        <v>192</v>
      </c>
      <c r="Y14" s="244" t="s">
        <v>193</v>
      </c>
      <c r="Z14" s="245">
        <f>D3/D2</f>
        <v>4.8467792370231397E-2</v>
      </c>
      <c r="AA14" s="245">
        <f>(B3+C3+E3)/(B2+C2+E2)</f>
        <v>7.252559726962457E-2</v>
      </c>
      <c r="AB14" s="245">
        <f>(F3+G3+H3+J3+K3)/(F2+G2+H2+J2+K2)</f>
        <v>5.5214723926380369E-2</v>
      </c>
      <c r="AC14" s="245">
        <f>(L3+M3+O3)/(L2+M2+O2)</f>
        <v>6.5726290516206487E-2</v>
      </c>
      <c r="AD14" s="245">
        <f>(L3+M3+O3+P3+Q3)/(L2+M2+O2+P2+Q2)</f>
        <v>6.5726290516206487E-2</v>
      </c>
    </row>
    <row r="15" spans="1:30" x14ac:dyDescent="0.2">
      <c r="A15" s="45" t="s">
        <v>17</v>
      </c>
      <c r="B15" s="12">
        <v>138</v>
      </c>
      <c r="C15" s="12">
        <v>140</v>
      </c>
      <c r="D15" s="18">
        <v>1586</v>
      </c>
      <c r="E15" s="24">
        <v>463</v>
      </c>
      <c r="F15" s="12">
        <v>850</v>
      </c>
      <c r="G15" s="25">
        <v>648</v>
      </c>
      <c r="H15" s="26">
        <v>342</v>
      </c>
      <c r="I15" s="18">
        <f t="shared" si="1"/>
        <v>2303</v>
      </c>
      <c r="J15" s="27">
        <v>660</v>
      </c>
      <c r="K15" s="26">
        <v>1113</v>
      </c>
      <c r="L15" s="28">
        <v>2659</v>
      </c>
      <c r="M15" s="26">
        <v>1431</v>
      </c>
      <c r="N15" s="18">
        <f t="shared" si="0"/>
        <v>5863</v>
      </c>
      <c r="O15" s="27">
        <v>533</v>
      </c>
      <c r="P15" s="26"/>
      <c r="Q15" s="28"/>
      <c r="W15" s="391"/>
      <c r="X15" s="391"/>
      <c r="Y15" s="218" t="s">
        <v>233</v>
      </c>
      <c r="Z15" s="246">
        <f>D3</f>
        <v>155</v>
      </c>
      <c r="AA15" s="246">
        <f>B3+C3+E3</f>
        <v>85</v>
      </c>
      <c r="AB15" s="246">
        <f>F3+G3+H3+J3+K3</f>
        <v>252</v>
      </c>
      <c r="AC15" s="246">
        <f>L3+M3+O3</f>
        <v>219</v>
      </c>
      <c r="AD15" s="246">
        <f>L3+M3+O3+P3+Q3</f>
        <v>219</v>
      </c>
    </row>
    <row r="16" spans="1:30" ht="16" thickBot="1" x14ac:dyDescent="0.25">
      <c r="A16" s="179" t="s">
        <v>21</v>
      </c>
      <c r="B16" s="34">
        <v>5</v>
      </c>
      <c r="C16" s="34">
        <v>0</v>
      </c>
      <c r="D16" s="38">
        <v>32</v>
      </c>
      <c r="E16" s="48">
        <v>3</v>
      </c>
      <c r="F16" s="34">
        <v>1</v>
      </c>
      <c r="G16" s="33">
        <v>2</v>
      </c>
      <c r="H16" s="34">
        <v>4</v>
      </c>
      <c r="I16" s="38">
        <f t="shared" si="1"/>
        <v>10</v>
      </c>
      <c r="J16" s="48">
        <v>3</v>
      </c>
      <c r="K16" s="49">
        <v>4</v>
      </c>
      <c r="L16" s="37">
        <v>91</v>
      </c>
      <c r="M16" s="49">
        <v>11</v>
      </c>
      <c r="N16" s="18">
        <f t="shared" si="0"/>
        <v>109</v>
      </c>
      <c r="O16" s="48">
        <v>1</v>
      </c>
      <c r="P16" s="49"/>
      <c r="Q16" s="37"/>
      <c r="W16" s="391"/>
      <c r="X16" s="392"/>
      <c r="Y16" s="218" t="s">
        <v>234</v>
      </c>
      <c r="Z16" s="246">
        <f>D2</f>
        <v>3198</v>
      </c>
      <c r="AA16" s="246">
        <f>B2+C2+E2</f>
        <v>1172</v>
      </c>
      <c r="AB16" s="246">
        <f>F2+G2+H2+J2+K2</f>
        <v>4564</v>
      </c>
      <c r="AC16" s="246">
        <f>L2+M2+O2</f>
        <v>3332</v>
      </c>
      <c r="AD16" s="246">
        <f>L2+M2+O2+P2+Q2</f>
        <v>3332</v>
      </c>
    </row>
    <row r="17" spans="1:30" ht="16" thickTop="1" x14ac:dyDescent="0.2">
      <c r="A17" s="55" t="s">
        <v>25</v>
      </c>
      <c r="B17" s="13">
        <v>294</v>
      </c>
      <c r="C17" s="13">
        <v>245</v>
      </c>
      <c r="D17" s="14">
        <v>3132</v>
      </c>
      <c r="E17" s="40">
        <v>828</v>
      </c>
      <c r="F17" s="13">
        <v>676</v>
      </c>
      <c r="G17" s="41">
        <v>695</v>
      </c>
      <c r="H17" s="20">
        <v>746</v>
      </c>
      <c r="I17" s="18">
        <f t="shared" si="1"/>
        <v>2945</v>
      </c>
      <c r="J17" s="19">
        <v>829</v>
      </c>
      <c r="K17" s="51">
        <v>671</v>
      </c>
      <c r="L17" s="44">
        <v>703</v>
      </c>
      <c r="M17" s="51">
        <v>780</v>
      </c>
      <c r="N17" s="42">
        <f t="shared" si="0"/>
        <v>2983</v>
      </c>
      <c r="O17" s="19">
        <v>319</v>
      </c>
      <c r="P17" s="51"/>
      <c r="Q17" s="44"/>
      <c r="W17" s="391"/>
      <c r="X17" s="390" t="s">
        <v>230</v>
      </c>
      <c r="Y17" s="244" t="s">
        <v>194</v>
      </c>
      <c r="Z17" s="245">
        <f>D7/D6</f>
        <v>0.11470281543274244</v>
      </c>
      <c r="AA17" s="245">
        <f>(B7+C7+E7)/(B6+C6+E6)</f>
        <v>9.2428198433420372E-2</v>
      </c>
      <c r="AB17" s="245">
        <f>(F7+G7+H7+J7+K7)/(F6+G6+H6+J6+K6)</f>
        <v>7.9206150545324511E-2</v>
      </c>
      <c r="AC17" s="245">
        <f>(L7+M7+O7)/(L6+M6+O6)</f>
        <v>0.20992167101827677</v>
      </c>
      <c r="AD17" s="245">
        <f>(L7+M7+O7+P7+Q7)/(L6+M6+O6+P6+Q6)</f>
        <v>0.20992167101827677</v>
      </c>
    </row>
    <row r="18" spans="1:30" x14ac:dyDescent="0.2">
      <c r="A18" s="52" t="s">
        <v>26</v>
      </c>
      <c r="B18" s="12">
        <v>989</v>
      </c>
      <c r="C18" s="12">
        <v>890</v>
      </c>
      <c r="D18" s="23">
        <v>10821</v>
      </c>
      <c r="E18" s="24">
        <v>3107</v>
      </c>
      <c r="F18" s="12">
        <v>2707</v>
      </c>
      <c r="G18" s="25">
        <v>2563</v>
      </c>
      <c r="H18" s="26">
        <v>2685</v>
      </c>
      <c r="I18" s="18">
        <f t="shared" si="1"/>
        <v>11062</v>
      </c>
      <c r="J18" s="27">
        <v>2884</v>
      </c>
      <c r="K18" s="53">
        <v>2888</v>
      </c>
      <c r="L18" s="28">
        <v>2754</v>
      </c>
      <c r="M18" s="53">
        <v>2807</v>
      </c>
      <c r="N18" s="18">
        <f t="shared" si="0"/>
        <v>11333</v>
      </c>
      <c r="O18" s="27">
        <v>1129</v>
      </c>
      <c r="P18" s="53"/>
      <c r="Q18" s="28"/>
      <c r="W18" s="391"/>
      <c r="X18" s="391"/>
      <c r="Y18" s="218" t="s">
        <v>235</v>
      </c>
      <c r="Z18" s="221">
        <f>D7</f>
        <v>440</v>
      </c>
      <c r="AA18" s="221">
        <f>B7+C7+E7</f>
        <v>177</v>
      </c>
      <c r="AB18" s="221">
        <f>F7+G7+H7+J7+K7</f>
        <v>443</v>
      </c>
      <c r="AC18" s="221">
        <f>L7+M7+O7</f>
        <v>1206</v>
      </c>
      <c r="AD18" s="221">
        <f>L7+M7+O7+P7+Q7</f>
        <v>1206</v>
      </c>
    </row>
    <row r="19" spans="1:30" x14ac:dyDescent="0.2">
      <c r="A19" s="52" t="s">
        <v>27</v>
      </c>
      <c r="B19" s="26">
        <v>186</v>
      </c>
      <c r="C19" s="26">
        <v>197</v>
      </c>
      <c r="D19" s="54">
        <v>2344</v>
      </c>
      <c r="E19" s="27">
        <v>590</v>
      </c>
      <c r="F19" s="26">
        <v>576</v>
      </c>
      <c r="G19" s="25">
        <v>554</v>
      </c>
      <c r="H19" s="26">
        <v>534</v>
      </c>
      <c r="I19" s="18">
        <f t="shared" si="1"/>
        <v>2254</v>
      </c>
      <c r="J19" s="27">
        <v>570</v>
      </c>
      <c r="K19" s="53">
        <v>650</v>
      </c>
      <c r="L19" s="28">
        <v>576</v>
      </c>
      <c r="M19" s="53">
        <v>544</v>
      </c>
      <c r="N19" s="18">
        <f t="shared" si="0"/>
        <v>2340</v>
      </c>
      <c r="O19" s="27">
        <v>234</v>
      </c>
      <c r="P19" s="53"/>
      <c r="Q19" s="28"/>
      <c r="W19" s="392"/>
      <c r="X19" s="392"/>
      <c r="Y19" s="218" t="s">
        <v>236</v>
      </c>
      <c r="Z19" s="221">
        <f>D6</f>
        <v>3836</v>
      </c>
      <c r="AA19" s="221">
        <f>B6+C6+E6</f>
        <v>1915</v>
      </c>
      <c r="AB19" s="221">
        <f>F6+G6+H6+J6+K6</f>
        <v>5593</v>
      </c>
      <c r="AC19" s="221">
        <f>L6+M6+O6</f>
        <v>5745</v>
      </c>
      <c r="AD19" s="221">
        <f>L6+M6+O6+P6+Q6</f>
        <v>5745</v>
      </c>
    </row>
    <row r="20" spans="1:30" x14ac:dyDescent="0.2">
      <c r="A20" s="52" t="s">
        <v>28</v>
      </c>
      <c r="B20" s="56">
        <v>12</v>
      </c>
      <c r="C20" s="56">
        <v>9</v>
      </c>
      <c r="D20" s="57">
        <v>133</v>
      </c>
      <c r="E20" s="58">
        <v>87</v>
      </c>
      <c r="F20" s="59">
        <v>102</v>
      </c>
      <c r="G20" s="60">
        <v>45</v>
      </c>
      <c r="H20" s="61">
        <v>67</v>
      </c>
      <c r="I20" s="18">
        <f t="shared" si="1"/>
        <v>301</v>
      </c>
      <c r="J20" s="27">
        <v>90</v>
      </c>
      <c r="K20" s="53">
        <v>76</v>
      </c>
      <c r="L20" s="28">
        <v>106</v>
      </c>
      <c r="M20" s="53">
        <v>78</v>
      </c>
      <c r="N20" s="18">
        <f t="shared" si="0"/>
        <v>350</v>
      </c>
      <c r="O20" s="27">
        <v>33</v>
      </c>
      <c r="P20" s="53"/>
      <c r="Q20" s="28"/>
      <c r="W20" s="421" t="s">
        <v>170</v>
      </c>
      <c r="X20" s="421" t="s">
        <v>226</v>
      </c>
      <c r="Y20" s="219" t="s">
        <v>195</v>
      </c>
      <c r="Z20" s="222">
        <f>D10+D13</f>
        <v>12489</v>
      </c>
      <c r="AA20" s="222">
        <f>B10+C10+E10+B13+C13+E13</f>
        <v>1941</v>
      </c>
      <c r="AB20" s="222">
        <f>F10+G10+H10+J10+K10+F13+G13+H13+J13+K13</f>
        <v>20463</v>
      </c>
      <c r="AC20" s="223">
        <f>L10+M10+O10+L13+M13+O13</f>
        <v>17340</v>
      </c>
      <c r="AD20" s="223">
        <f>L10+M10+O10+P10+Q10+L13+M13+O13+P13+Q13</f>
        <v>17340</v>
      </c>
    </row>
    <row r="21" spans="1:30" x14ac:dyDescent="0.2">
      <c r="A21" s="55" t="s">
        <v>22</v>
      </c>
      <c r="B21" s="56">
        <v>245</v>
      </c>
      <c r="C21" s="56">
        <v>208</v>
      </c>
      <c r="D21" s="57">
        <v>3302</v>
      </c>
      <c r="E21" s="58">
        <v>474</v>
      </c>
      <c r="F21" s="59">
        <v>723</v>
      </c>
      <c r="G21" s="60">
        <v>553</v>
      </c>
      <c r="H21" s="61">
        <v>628</v>
      </c>
      <c r="I21" s="18">
        <f t="shared" si="1"/>
        <v>2378</v>
      </c>
      <c r="J21" s="27">
        <v>473</v>
      </c>
      <c r="K21" s="53">
        <v>195</v>
      </c>
      <c r="L21" s="28">
        <v>650</v>
      </c>
      <c r="M21" s="53">
        <v>761</v>
      </c>
      <c r="N21" s="18">
        <f t="shared" si="0"/>
        <v>2079</v>
      </c>
      <c r="O21" s="27">
        <v>266</v>
      </c>
      <c r="P21" s="53"/>
      <c r="Q21" s="28"/>
      <c r="W21" s="419"/>
      <c r="X21" s="419"/>
      <c r="Y21" s="219" t="s">
        <v>205</v>
      </c>
      <c r="Z21" s="222">
        <f>Z20/12</f>
        <v>1040.75</v>
      </c>
      <c r="AA21" s="222">
        <f>AA20/5</f>
        <v>388.2</v>
      </c>
      <c r="AB21" s="222">
        <f>AB20/15</f>
        <v>1364.2</v>
      </c>
      <c r="AC21" s="223">
        <f>AC20/9</f>
        <v>1926.6666666666667</v>
      </c>
      <c r="AD21" s="223"/>
    </row>
    <row r="22" spans="1:30" x14ac:dyDescent="0.2">
      <c r="A22" s="52" t="s">
        <v>23</v>
      </c>
      <c r="B22" s="56">
        <v>246</v>
      </c>
      <c r="C22" s="56">
        <v>222</v>
      </c>
      <c r="D22" s="57">
        <v>2705</v>
      </c>
      <c r="E22" s="58">
        <v>509</v>
      </c>
      <c r="F22" s="59">
        <v>518</v>
      </c>
      <c r="G22" s="60">
        <v>739</v>
      </c>
      <c r="H22" s="61">
        <v>644</v>
      </c>
      <c r="I22" s="18">
        <f t="shared" si="1"/>
        <v>2410</v>
      </c>
      <c r="J22" s="27">
        <v>411</v>
      </c>
      <c r="K22" s="53">
        <v>159</v>
      </c>
      <c r="L22" s="28">
        <v>293</v>
      </c>
      <c r="M22" s="53">
        <v>804</v>
      </c>
      <c r="N22" s="18">
        <f t="shared" si="0"/>
        <v>1667</v>
      </c>
      <c r="O22" s="27">
        <v>292</v>
      </c>
      <c r="P22" s="53"/>
      <c r="Q22" s="28"/>
      <c r="W22" s="419"/>
      <c r="X22" s="419"/>
      <c r="Y22" s="219" t="s">
        <v>196</v>
      </c>
      <c r="Z22" s="223">
        <f>D12+D15</f>
        <v>1863</v>
      </c>
      <c r="AA22" s="223">
        <f>B12+C12+E12+B15+C15+E15</f>
        <v>947</v>
      </c>
      <c r="AB22" s="223">
        <f>F12+G12+H12+J12+K12+F15+G15+H15+J15+K15</f>
        <v>4282</v>
      </c>
      <c r="AC22" s="223">
        <f>L12+M12+O12+L15+M15+O15</f>
        <v>5389</v>
      </c>
      <c r="AD22" s="223">
        <f>L12+M12+O12+P12+Q12+L15+M15+O15+P15+Q15</f>
        <v>5389</v>
      </c>
    </row>
    <row r="23" spans="1:30" ht="16" thickBot="1" x14ac:dyDescent="0.25">
      <c r="A23" s="52" t="s">
        <v>24</v>
      </c>
      <c r="B23" s="63">
        <v>209</v>
      </c>
      <c r="C23" s="63">
        <v>185</v>
      </c>
      <c r="D23" s="64">
        <v>2160</v>
      </c>
      <c r="E23" s="65">
        <v>365</v>
      </c>
      <c r="F23" s="66">
        <v>320</v>
      </c>
      <c r="G23" s="67">
        <v>551</v>
      </c>
      <c r="H23" s="68">
        <v>509</v>
      </c>
      <c r="I23" s="38">
        <f>SUM(E23:H23)</f>
        <v>1745</v>
      </c>
      <c r="J23" s="35">
        <v>350</v>
      </c>
      <c r="K23" s="49">
        <v>156</v>
      </c>
      <c r="L23" s="37">
        <v>188</v>
      </c>
      <c r="M23" s="49">
        <v>627</v>
      </c>
      <c r="N23" s="18">
        <f t="shared" si="0"/>
        <v>1321</v>
      </c>
      <c r="O23" s="35">
        <v>271</v>
      </c>
      <c r="P23" s="49"/>
      <c r="Q23" s="37"/>
      <c r="W23" s="419"/>
      <c r="X23" s="420"/>
      <c r="Y23" s="219" t="s">
        <v>206</v>
      </c>
      <c r="Z23" s="222">
        <f>Z22/12</f>
        <v>155.25</v>
      </c>
      <c r="AA23" s="222">
        <f>AA22/5</f>
        <v>189.4</v>
      </c>
      <c r="AB23" s="222">
        <f>AB22/15</f>
        <v>285.46666666666664</v>
      </c>
      <c r="AC23" s="223">
        <f>AC22/9</f>
        <v>598.77777777777783</v>
      </c>
      <c r="AD23" s="223"/>
    </row>
    <row r="24" spans="1:30" ht="16" thickTop="1" x14ac:dyDescent="0.2">
      <c r="A24" s="69" t="s">
        <v>29</v>
      </c>
      <c r="B24" s="13">
        <v>57</v>
      </c>
      <c r="C24" s="13">
        <v>46</v>
      </c>
      <c r="D24" s="14">
        <v>601</v>
      </c>
      <c r="E24" s="40">
        <v>105</v>
      </c>
      <c r="F24" s="13">
        <v>117</v>
      </c>
      <c r="G24" s="41">
        <v>83</v>
      </c>
      <c r="H24" s="20">
        <v>66</v>
      </c>
      <c r="I24" s="18">
        <f>E24+F24+G24+H24</f>
        <v>371</v>
      </c>
      <c r="J24" s="70">
        <v>126</v>
      </c>
      <c r="K24" s="16">
        <v>151</v>
      </c>
      <c r="L24" s="16">
        <v>373</v>
      </c>
      <c r="M24" s="16">
        <v>158</v>
      </c>
      <c r="N24" s="42">
        <f t="shared" si="0"/>
        <v>808</v>
      </c>
      <c r="O24" s="70">
        <v>87</v>
      </c>
      <c r="P24" s="16"/>
      <c r="Q24" s="16"/>
      <c r="W24" s="419"/>
      <c r="X24" s="421" t="s">
        <v>189</v>
      </c>
      <c r="Y24" s="219" t="s">
        <v>197</v>
      </c>
      <c r="Z24" s="223">
        <f>D10</f>
        <v>2823</v>
      </c>
      <c r="AA24" s="223">
        <f>B10+C10+E10</f>
        <v>625</v>
      </c>
      <c r="AB24" s="223">
        <f>F10+G10+H10+J10+K10</f>
        <v>4009</v>
      </c>
      <c r="AC24" s="223">
        <f>L10+M10+O10</f>
        <v>4187</v>
      </c>
      <c r="AD24" s="223">
        <f>L10+M10+O10+P10+Q10</f>
        <v>4187</v>
      </c>
    </row>
    <row r="25" spans="1:30" x14ac:dyDescent="0.2">
      <c r="A25" s="71" t="s">
        <v>30</v>
      </c>
      <c r="B25" s="12">
        <v>35</v>
      </c>
      <c r="C25" s="12">
        <v>57</v>
      </c>
      <c r="D25" s="23">
        <v>793</v>
      </c>
      <c r="E25" s="24">
        <v>139</v>
      </c>
      <c r="F25" s="12">
        <v>232</v>
      </c>
      <c r="G25" s="25">
        <v>145</v>
      </c>
      <c r="H25" s="26">
        <v>108</v>
      </c>
      <c r="I25" s="18">
        <f t="shared" si="1"/>
        <v>624</v>
      </c>
      <c r="J25" s="27">
        <v>208</v>
      </c>
      <c r="K25" s="27">
        <v>219</v>
      </c>
      <c r="L25" s="27">
        <v>610</v>
      </c>
      <c r="M25" s="27">
        <v>236</v>
      </c>
      <c r="N25" s="18">
        <f t="shared" si="0"/>
        <v>1273</v>
      </c>
      <c r="O25" s="27">
        <v>143</v>
      </c>
      <c r="P25" s="27"/>
      <c r="Q25" s="27"/>
      <c r="W25" s="419"/>
      <c r="X25" s="419"/>
      <c r="Y25" s="219" t="s">
        <v>207</v>
      </c>
      <c r="Z25" s="222">
        <f>Z24/12</f>
        <v>235.25</v>
      </c>
      <c r="AA25" s="222">
        <f>AA24/5</f>
        <v>125</v>
      </c>
      <c r="AB25" s="222">
        <f>AB24/15</f>
        <v>267.26666666666665</v>
      </c>
      <c r="AC25" s="223">
        <f>AC24/9</f>
        <v>465.22222222222223</v>
      </c>
      <c r="AD25" s="223"/>
    </row>
    <row r="26" spans="1:30" x14ac:dyDescent="0.2">
      <c r="A26" s="71" t="s">
        <v>31</v>
      </c>
      <c r="B26" s="12">
        <v>39</v>
      </c>
      <c r="C26" s="12">
        <v>34</v>
      </c>
      <c r="D26" s="23">
        <v>687</v>
      </c>
      <c r="E26" s="24">
        <v>111</v>
      </c>
      <c r="F26" s="12">
        <v>234</v>
      </c>
      <c r="G26" s="25">
        <v>110</v>
      </c>
      <c r="H26" s="26">
        <v>86</v>
      </c>
      <c r="I26" s="18">
        <f t="shared" si="1"/>
        <v>541</v>
      </c>
      <c r="J26" s="27">
        <v>140</v>
      </c>
      <c r="K26" s="27">
        <v>183</v>
      </c>
      <c r="L26" s="27">
        <v>491</v>
      </c>
      <c r="M26" s="27">
        <v>197</v>
      </c>
      <c r="N26" s="18">
        <f t="shared" si="0"/>
        <v>1011</v>
      </c>
      <c r="O26" s="27">
        <v>130</v>
      </c>
      <c r="P26" s="27"/>
      <c r="Q26" s="27"/>
      <c r="W26" s="419"/>
      <c r="X26" s="419"/>
      <c r="Y26" s="219" t="s">
        <v>199</v>
      </c>
      <c r="Z26" s="223">
        <f>D12</f>
        <v>277</v>
      </c>
      <c r="AA26" s="223">
        <f>B12+C12+E12</f>
        <v>206</v>
      </c>
      <c r="AB26" s="223">
        <f>F12+G12+H12+J12+K12</f>
        <v>669</v>
      </c>
      <c r="AC26" s="223">
        <f>L12+M12+O12</f>
        <v>766</v>
      </c>
      <c r="AD26" s="223">
        <f>L12+M12+O12+P12+Q12</f>
        <v>766</v>
      </c>
    </row>
    <row r="27" spans="1:30" x14ac:dyDescent="0.2">
      <c r="A27" s="71" t="s">
        <v>32</v>
      </c>
      <c r="B27" s="12">
        <v>74</v>
      </c>
      <c r="C27" s="12">
        <v>108</v>
      </c>
      <c r="D27" s="23">
        <v>1414</v>
      </c>
      <c r="E27" s="24">
        <v>297</v>
      </c>
      <c r="F27" s="12">
        <v>544</v>
      </c>
      <c r="G27" s="25">
        <v>417</v>
      </c>
      <c r="H27" s="26">
        <v>244</v>
      </c>
      <c r="I27" s="18">
        <f t="shared" si="1"/>
        <v>1502</v>
      </c>
      <c r="J27" s="27">
        <v>444</v>
      </c>
      <c r="K27" s="27">
        <v>551</v>
      </c>
      <c r="L27" s="27">
        <v>1343</v>
      </c>
      <c r="M27" s="27">
        <v>668</v>
      </c>
      <c r="N27" s="18">
        <f t="shared" si="0"/>
        <v>3006</v>
      </c>
      <c r="O27" s="27">
        <v>489</v>
      </c>
      <c r="P27" s="27"/>
      <c r="Q27" s="27"/>
      <c r="W27" s="419"/>
      <c r="X27" s="420"/>
      <c r="Y27" s="219" t="s">
        <v>208</v>
      </c>
      <c r="Z27" s="222">
        <f>Z26/12</f>
        <v>23.083333333333332</v>
      </c>
      <c r="AA27" s="222">
        <f>AA26/5</f>
        <v>41.2</v>
      </c>
      <c r="AB27" s="222">
        <f>AB26/15</f>
        <v>44.6</v>
      </c>
      <c r="AC27" s="223">
        <f>AC26/9</f>
        <v>85.111111111111114</v>
      </c>
      <c r="AD27" s="223"/>
    </row>
    <row r="28" spans="1:30" x14ac:dyDescent="0.2">
      <c r="A28" s="72" t="s">
        <v>33</v>
      </c>
      <c r="B28" s="73">
        <f>SUM(B24:B27)</f>
        <v>205</v>
      </c>
      <c r="C28" s="73">
        <f>SUM(C24:C27)</f>
        <v>245</v>
      </c>
      <c r="D28" s="74">
        <f>SUM(D24:D27)</f>
        <v>3495</v>
      </c>
      <c r="E28" s="73">
        <f t="shared" ref="E28:G28" si="2">SUM(E24:E27)</f>
        <v>652</v>
      </c>
      <c r="F28" s="73">
        <f t="shared" si="2"/>
        <v>1127</v>
      </c>
      <c r="G28" s="73">
        <f t="shared" si="2"/>
        <v>755</v>
      </c>
      <c r="H28" s="73">
        <f>SUM(H24:H27)</f>
        <v>504</v>
      </c>
      <c r="I28" s="18">
        <f>E28+F28+G28+H28</f>
        <v>3038</v>
      </c>
      <c r="J28" s="73">
        <f>SUM(J24:J27)</f>
        <v>918</v>
      </c>
      <c r="K28" s="73">
        <f t="shared" ref="K28:L28" si="3">SUM(K24:K27)</f>
        <v>1104</v>
      </c>
      <c r="L28" s="73">
        <f t="shared" si="3"/>
        <v>2817</v>
      </c>
      <c r="M28" s="73">
        <f>SUM(M24:M27)</f>
        <v>1259</v>
      </c>
      <c r="N28" s="18">
        <f t="shared" si="0"/>
        <v>6098</v>
      </c>
      <c r="O28" s="75"/>
      <c r="P28" s="75"/>
      <c r="Q28" s="75"/>
      <c r="W28" s="419"/>
      <c r="X28" s="421" t="s">
        <v>190</v>
      </c>
      <c r="Y28" s="219" t="s">
        <v>198</v>
      </c>
      <c r="Z28" s="223">
        <f>D13</f>
        <v>9666</v>
      </c>
      <c r="AA28" s="223">
        <f>B13+C13+E13</f>
        <v>1316</v>
      </c>
      <c r="AB28" s="223">
        <f>F13+G13+H13+J13+K13</f>
        <v>16454</v>
      </c>
      <c r="AC28" s="223">
        <f>L13+M13+O13</f>
        <v>13153</v>
      </c>
      <c r="AD28" s="223">
        <f>L13+M13+O13+P13+Q13</f>
        <v>13153</v>
      </c>
    </row>
    <row r="29" spans="1:30" x14ac:dyDescent="0.2">
      <c r="A29" s="71" t="s">
        <v>34</v>
      </c>
      <c r="B29" s="26">
        <v>245</v>
      </c>
      <c r="C29" s="26">
        <v>208</v>
      </c>
      <c r="D29" s="54">
        <v>3302</v>
      </c>
      <c r="E29" s="27">
        <v>474</v>
      </c>
      <c r="F29" s="26">
        <v>723</v>
      </c>
      <c r="G29" s="25">
        <v>553</v>
      </c>
      <c r="H29" s="26">
        <v>628</v>
      </c>
      <c r="I29" s="18">
        <f t="shared" si="1"/>
        <v>2378</v>
      </c>
      <c r="J29" s="27">
        <v>473</v>
      </c>
      <c r="K29" s="27">
        <v>195</v>
      </c>
      <c r="L29" s="27">
        <v>650</v>
      </c>
      <c r="M29" s="27">
        <v>761</v>
      </c>
      <c r="N29" s="18">
        <f t="shared" si="0"/>
        <v>2079</v>
      </c>
      <c r="O29" s="27">
        <v>266</v>
      </c>
      <c r="P29" s="27"/>
      <c r="Q29" s="27"/>
      <c r="W29" s="419"/>
      <c r="X29" s="419"/>
      <c r="Y29" s="219" t="s">
        <v>209</v>
      </c>
      <c r="Z29" s="222">
        <f>Z28/12</f>
        <v>805.5</v>
      </c>
      <c r="AA29" s="222">
        <f>AA28/5</f>
        <v>263.2</v>
      </c>
      <c r="AB29" s="222">
        <f>AB28/15</f>
        <v>1096.9333333333334</v>
      </c>
      <c r="AC29" s="223">
        <f>AC28/9</f>
        <v>1461.4444444444443</v>
      </c>
      <c r="AD29" s="223"/>
    </row>
    <row r="30" spans="1:30" x14ac:dyDescent="0.2">
      <c r="A30" s="71" t="s">
        <v>35</v>
      </c>
      <c r="B30" s="26">
        <v>246</v>
      </c>
      <c r="C30" s="26">
        <v>222</v>
      </c>
      <c r="D30" s="54">
        <v>2705</v>
      </c>
      <c r="E30" s="27">
        <v>509</v>
      </c>
      <c r="F30" s="26">
        <v>518</v>
      </c>
      <c r="G30" s="25">
        <v>739</v>
      </c>
      <c r="H30" s="26">
        <v>644</v>
      </c>
      <c r="I30" s="18">
        <f t="shared" si="1"/>
        <v>2410</v>
      </c>
      <c r="J30" s="27">
        <v>411</v>
      </c>
      <c r="K30" s="53">
        <v>159</v>
      </c>
      <c r="L30" s="53">
        <v>293</v>
      </c>
      <c r="M30" s="53">
        <v>804</v>
      </c>
      <c r="N30" s="18">
        <f t="shared" si="0"/>
        <v>1667</v>
      </c>
      <c r="O30" s="27">
        <v>292</v>
      </c>
      <c r="P30" s="53"/>
      <c r="Q30" s="53"/>
      <c r="W30" s="419"/>
      <c r="X30" s="419"/>
      <c r="Y30" s="219" t="s">
        <v>200</v>
      </c>
      <c r="Z30" s="223">
        <f>D15</f>
        <v>1586</v>
      </c>
      <c r="AA30" s="223">
        <f>B15+C15+E15</f>
        <v>741</v>
      </c>
      <c r="AB30" s="223">
        <f>F15+G15+H15+J15+K15</f>
        <v>3613</v>
      </c>
      <c r="AC30" s="223">
        <f>L15+M15+O15</f>
        <v>4623</v>
      </c>
      <c r="AD30" s="223">
        <f>L15+M15+O15+P15+Q15</f>
        <v>4623</v>
      </c>
    </row>
    <row r="31" spans="1:30" x14ac:dyDescent="0.2">
      <c r="A31" s="71" t="s">
        <v>36</v>
      </c>
      <c r="B31" s="26">
        <v>209</v>
      </c>
      <c r="C31" s="26">
        <v>185</v>
      </c>
      <c r="D31" s="54">
        <v>2160</v>
      </c>
      <c r="E31" s="27">
        <v>365</v>
      </c>
      <c r="F31" s="26">
        <v>320</v>
      </c>
      <c r="G31" s="25">
        <v>551</v>
      </c>
      <c r="H31" s="26">
        <v>509</v>
      </c>
      <c r="I31" s="18">
        <f t="shared" si="1"/>
        <v>1745</v>
      </c>
      <c r="J31" s="27">
        <v>350</v>
      </c>
      <c r="K31" s="53">
        <v>156</v>
      </c>
      <c r="L31" s="53">
        <v>188</v>
      </c>
      <c r="M31" s="53">
        <v>627</v>
      </c>
      <c r="N31" s="18">
        <f t="shared" si="0"/>
        <v>1321</v>
      </c>
      <c r="O31" s="27">
        <v>271</v>
      </c>
      <c r="P31" s="53"/>
      <c r="Q31" s="53"/>
      <c r="W31" s="420"/>
      <c r="X31" s="420"/>
      <c r="Y31" s="219" t="s">
        <v>210</v>
      </c>
      <c r="Z31" s="222">
        <f>Z30/12</f>
        <v>132.16666666666666</v>
      </c>
      <c r="AA31" s="222">
        <f>AA30/5</f>
        <v>148.19999999999999</v>
      </c>
      <c r="AB31" s="222">
        <f>AB30/15</f>
        <v>240.86666666666667</v>
      </c>
      <c r="AC31" s="223">
        <f>AC30/9</f>
        <v>513.66666666666663</v>
      </c>
      <c r="AD31" s="223"/>
    </row>
    <row r="32" spans="1:30" x14ac:dyDescent="0.2">
      <c r="A32" s="71" t="s">
        <v>38</v>
      </c>
      <c r="B32" s="26">
        <v>58</v>
      </c>
      <c r="C32" s="26">
        <v>52</v>
      </c>
      <c r="D32" s="54">
        <v>771</v>
      </c>
      <c r="E32" s="27">
        <v>99</v>
      </c>
      <c r="F32" s="26">
        <v>158</v>
      </c>
      <c r="G32" s="25">
        <v>167</v>
      </c>
      <c r="H32" s="26">
        <v>129</v>
      </c>
      <c r="I32" s="18">
        <f t="shared" si="1"/>
        <v>553</v>
      </c>
      <c r="J32" s="27">
        <v>291</v>
      </c>
      <c r="K32" s="27">
        <v>169</v>
      </c>
      <c r="L32" s="27">
        <v>503</v>
      </c>
      <c r="M32" s="27">
        <v>209</v>
      </c>
      <c r="N32" s="18">
        <f t="shared" si="0"/>
        <v>1172</v>
      </c>
      <c r="O32" s="27">
        <v>170</v>
      </c>
      <c r="P32" s="27"/>
      <c r="Q32" s="27"/>
      <c r="W32" s="423" t="s">
        <v>58</v>
      </c>
      <c r="X32" s="378" t="s">
        <v>226</v>
      </c>
      <c r="Y32" s="248" t="s">
        <v>201</v>
      </c>
      <c r="Z32" s="249">
        <f>(D12+D15)/(D11+D14)</f>
        <v>0.4357894736842105</v>
      </c>
      <c r="AA32" s="249">
        <f>(B12+C12+E12+B15+C15+E15)/(B11+C11+E11+B14+C14+E14)</f>
        <v>11.548780487804878</v>
      </c>
      <c r="AB32" s="249">
        <f>(F12+G12+H12+J12+K12+F15+G15+H15)/(F11+G11+H11+J11+K11+F14+G14+H14+J14+K14+J15+K15)</f>
        <v>0.49920413847990447</v>
      </c>
      <c r="AC32" s="249">
        <f>(L12+M12+O12+L15+M15+O15)/(L11+M11+O11+L14+M14+O14)</f>
        <v>0.36348307028193716</v>
      </c>
      <c r="AD32" s="249">
        <f>(L12+M12+O12+P12+Q12+L15+M15+O15+P15+Q15)/(L11+M11+O11+P11+Q11+L14+M14+O14+P14+Q14)</f>
        <v>0.36348307028193716</v>
      </c>
    </row>
    <row r="33" spans="1:30" x14ac:dyDescent="0.2">
      <c r="A33" s="71" t="s">
        <v>37</v>
      </c>
      <c r="B33" s="26">
        <v>170</v>
      </c>
      <c r="C33" s="26">
        <v>195</v>
      </c>
      <c r="D33" s="54">
        <v>2645</v>
      </c>
      <c r="E33" s="27">
        <v>542</v>
      </c>
      <c r="F33" s="26">
        <v>969</v>
      </c>
      <c r="G33" s="25">
        <v>580</v>
      </c>
      <c r="H33" s="26">
        <v>337</v>
      </c>
      <c r="I33" s="18">
        <f t="shared" si="1"/>
        <v>2428</v>
      </c>
      <c r="J33" s="27">
        <v>478</v>
      </c>
      <c r="K33" s="27">
        <v>959</v>
      </c>
      <c r="L33" s="27">
        <v>2442</v>
      </c>
      <c r="M33" s="27">
        <v>1060</v>
      </c>
      <c r="N33" s="18">
        <f t="shared" si="0"/>
        <v>4939</v>
      </c>
      <c r="O33" s="27">
        <v>640</v>
      </c>
      <c r="P33" s="27"/>
      <c r="Q33" s="27"/>
      <c r="W33" s="423"/>
      <c r="X33" s="376"/>
      <c r="Y33" s="220" t="s">
        <v>229</v>
      </c>
      <c r="Z33" s="224">
        <f>D12+D15</f>
        <v>1863</v>
      </c>
      <c r="AA33" s="224">
        <f>B12+C12+E12+B15+C15+E15</f>
        <v>947</v>
      </c>
      <c r="AB33" s="224">
        <f>F12+G12+H12+J12+K12+F15+G15+H15+J15+K15</f>
        <v>4282</v>
      </c>
      <c r="AC33" s="224">
        <f>L12+M12+O12+L15+M15+O15</f>
        <v>5389</v>
      </c>
      <c r="AD33" s="224">
        <f>L12+M12+O12+P12+Q12+L15+M15+O15+P15+Q15</f>
        <v>5389</v>
      </c>
    </row>
    <row r="34" spans="1:30" x14ac:dyDescent="0.2">
      <c r="A34" s="71" t="s">
        <v>40</v>
      </c>
      <c r="B34" s="26">
        <v>718</v>
      </c>
      <c r="C34" s="26">
        <v>744</v>
      </c>
      <c r="D34" s="54">
        <v>10361</v>
      </c>
      <c r="E34" s="27">
        <v>1504</v>
      </c>
      <c r="F34" s="26">
        <v>2664</v>
      </c>
      <c r="G34" s="25">
        <v>2621</v>
      </c>
      <c r="H34" s="26">
        <v>2098</v>
      </c>
      <c r="I34" s="18">
        <f t="shared" si="1"/>
        <v>8887</v>
      </c>
      <c r="J34" s="27">
        <v>2605</v>
      </c>
      <c r="K34" s="27">
        <v>1711</v>
      </c>
      <c r="L34" s="27">
        <v>3021</v>
      </c>
      <c r="M34" s="27">
        <v>1732</v>
      </c>
      <c r="N34" s="18">
        <f t="shared" si="0"/>
        <v>9069</v>
      </c>
      <c r="O34" s="27">
        <v>1704</v>
      </c>
      <c r="P34" s="27"/>
      <c r="Q34" s="27"/>
      <c r="W34" s="423"/>
      <c r="X34" s="377"/>
      <c r="Y34" s="220" t="s">
        <v>215</v>
      </c>
      <c r="Z34" s="224">
        <f>D11+D14</f>
        <v>4275</v>
      </c>
      <c r="AA34" s="224">
        <f>B11+C11+E11+B14+C14+E14</f>
        <v>82</v>
      </c>
      <c r="AB34" s="224">
        <f>F11+G11+H11+J11+K11+F14+G14+H14+J14+K14+J15+K15</f>
        <v>5026</v>
      </c>
      <c r="AC34" s="224">
        <f>L11+M11+O11+L14+M14+O14</f>
        <v>14826</v>
      </c>
      <c r="AD34" s="224">
        <f>L11+M11+O11+P11+Q11+L14+M14+O14+P14+Q14</f>
        <v>14826</v>
      </c>
    </row>
    <row r="35" spans="1:30" x14ac:dyDescent="0.2">
      <c r="A35" s="71" t="s">
        <v>39</v>
      </c>
      <c r="B35" s="26">
        <v>1470</v>
      </c>
      <c r="C35" s="26">
        <v>1709</v>
      </c>
      <c r="D35" s="54">
        <v>16329</v>
      </c>
      <c r="E35" s="27">
        <v>5165</v>
      </c>
      <c r="F35" s="26">
        <v>8949</v>
      </c>
      <c r="G35" s="25">
        <v>5987</v>
      </c>
      <c r="H35" s="26">
        <v>3124</v>
      </c>
      <c r="I35" s="18">
        <f t="shared" si="1"/>
        <v>23225</v>
      </c>
      <c r="J35" s="27">
        <v>2475</v>
      </c>
      <c r="K35" s="27">
        <v>5082</v>
      </c>
      <c r="L35" s="27">
        <v>7486</v>
      </c>
      <c r="M35" s="27">
        <v>4649</v>
      </c>
      <c r="N35" s="18">
        <f t="shared" si="0"/>
        <v>19692</v>
      </c>
      <c r="O35" s="27">
        <v>3386</v>
      </c>
      <c r="P35" s="27"/>
      <c r="Q35" s="27"/>
      <c r="W35" s="423"/>
      <c r="X35" s="378" t="s">
        <v>192</v>
      </c>
      <c r="Y35" s="248" t="s">
        <v>193</v>
      </c>
      <c r="Z35" s="249">
        <f>(D3+D5)/(D2+D4)</f>
        <v>6.9720830350751606E-2</v>
      </c>
      <c r="AA35" s="249">
        <f>(B3+C3+E3+B5+C5+E5)/(B2+C2+E2+B4+C4+E4)</f>
        <v>8.7706285926200625E-2</v>
      </c>
      <c r="AB35" s="249">
        <f>(F3+G3+H3+J3+K3+F5+G5+H5+J5+K5)/(F2+G2+H2+J2+K2+F4+G4+H4+J4+K4)</f>
        <v>7.194341529134389E-2</v>
      </c>
      <c r="AC35" s="249">
        <f>(L3+M3+O3+L5+M5+O5)/(L2+M2+O2+L4+M4+O4)</f>
        <v>0.10313096173268993</v>
      </c>
      <c r="AD35" s="249">
        <f>(L3+M3+O3+P3+Q3+L5+M5+O5+P5+Q5)/(L2+M2+O2+P2+Q2+L4+M4+O4+P4+Q4)</f>
        <v>0.10313096173268993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423"/>
      <c r="X36" s="376"/>
      <c r="Y36" s="220" t="s">
        <v>233</v>
      </c>
      <c r="Z36" s="224">
        <f>D3+D5</f>
        <v>974</v>
      </c>
      <c r="AA36" s="224">
        <f>B3+C3+E3+B5+C5+E5</f>
        <v>473</v>
      </c>
      <c r="AB36" s="224">
        <f>(F3+G3+H3+J3+K3+F5+G5+H5+J5+K5)</f>
        <v>1068</v>
      </c>
      <c r="AC36" s="224">
        <f>(L3+M3+O3+L5+M5+O5)</f>
        <v>919</v>
      </c>
      <c r="AD36" s="250">
        <f>(L3+M3+O3+P3+Q3+L5+M5+O5+P5+Q5)</f>
        <v>919</v>
      </c>
    </row>
    <row r="37" spans="1:30" x14ac:dyDescent="0.2">
      <c r="A37" s="71" t="s">
        <v>41</v>
      </c>
      <c r="B37" s="26">
        <v>1</v>
      </c>
      <c r="C37" s="189">
        <v>2</v>
      </c>
      <c r="D37" s="54">
        <v>226</v>
      </c>
      <c r="E37" s="27">
        <v>176</v>
      </c>
      <c r="F37" s="26">
        <v>25</v>
      </c>
      <c r="G37" s="25">
        <v>10</v>
      </c>
      <c r="H37" s="26">
        <v>7</v>
      </c>
      <c r="I37" s="18">
        <f t="shared" si="1"/>
        <v>218</v>
      </c>
      <c r="J37" s="27">
        <v>16</v>
      </c>
      <c r="K37" s="53">
        <v>22</v>
      </c>
      <c r="L37" s="53">
        <v>31</v>
      </c>
      <c r="M37" s="53">
        <v>221</v>
      </c>
      <c r="N37" s="18">
        <f t="shared" si="0"/>
        <v>290</v>
      </c>
      <c r="O37" s="27">
        <v>3</v>
      </c>
      <c r="P37" s="53"/>
      <c r="Q37" s="53"/>
      <c r="W37" s="423"/>
      <c r="X37" s="377"/>
      <c r="Y37" s="220" t="s">
        <v>234</v>
      </c>
      <c r="Z37" s="224">
        <f>D2+D4</f>
        <v>13970</v>
      </c>
      <c r="AA37" s="224">
        <f>B2+C2+E2+B4+C4+E4</f>
        <v>5393</v>
      </c>
      <c r="AB37" s="224">
        <f>(F2+G2+H2+J2+K2+F4+G4+H4+J4+K4)</f>
        <v>14845</v>
      </c>
      <c r="AC37" s="250">
        <f>(L2+M2+O2+L4+M4+O4)</f>
        <v>8911</v>
      </c>
      <c r="AD37" s="250">
        <f>(L2+M2+O2+P2+Q2+L4+M4+O4+P4+Q4)</f>
        <v>8911</v>
      </c>
    </row>
    <row r="38" spans="1:30" x14ac:dyDescent="0.2">
      <c r="A38" s="71" t="s">
        <v>44</v>
      </c>
      <c r="B38" s="26">
        <v>776</v>
      </c>
      <c r="C38" s="26">
        <v>196</v>
      </c>
      <c r="D38" s="54">
        <v>11132</v>
      </c>
      <c r="E38" s="27">
        <v>1603</v>
      </c>
      <c r="F38" s="26">
        <v>2822</v>
      </c>
      <c r="G38" s="25">
        <v>2788</v>
      </c>
      <c r="H38" s="26">
        <v>2227</v>
      </c>
      <c r="I38" s="18">
        <f t="shared" si="1"/>
        <v>9440</v>
      </c>
      <c r="J38" s="27">
        <v>2896</v>
      </c>
      <c r="K38" s="26">
        <v>1880</v>
      </c>
      <c r="L38" s="26">
        <v>3524</v>
      </c>
      <c r="M38" s="26">
        <v>1941</v>
      </c>
      <c r="N38" s="18">
        <f t="shared" si="0"/>
        <v>10241</v>
      </c>
      <c r="O38" s="27">
        <v>1874</v>
      </c>
      <c r="P38" s="26"/>
      <c r="Q38" s="26"/>
      <c r="W38" s="423"/>
      <c r="X38" s="378" t="s">
        <v>230</v>
      </c>
      <c r="Y38" s="248" t="s">
        <v>194</v>
      </c>
      <c r="Z38" s="249">
        <f>(D7+D9)/(D6+D8)</f>
        <v>0.15065735673397496</v>
      </c>
      <c r="AA38" s="249">
        <f>(B7+C7+E7+B9+C9+E9)/(B6+C6+E6+B8+C8+E8)</f>
        <v>7.0006341154090046E-2</v>
      </c>
      <c r="AB38" s="249">
        <f>(F7+G7+H7+J7+K7+F9+G9+H9+J9+K9)/(F6+G6+H6+J6+K6+F8+G8+H8+J8+K8)</f>
        <v>0.10807291666666667</v>
      </c>
      <c r="AC38" s="249">
        <f>(L7+M7+O7+L9+M9+O9)/(L6+M6+O6+L8+M8+O8)</f>
        <v>0.20385583361033288</v>
      </c>
      <c r="AD38" s="249">
        <f>(L7+M7+O7+P7+Q7+L9+M9+O9+P9+Q9)/(L6+M6+O6+P6+Q6+L8+M8+O8+P8+Q8)</f>
        <v>0.20385583361033288</v>
      </c>
    </row>
    <row r="39" spans="1:30" x14ac:dyDescent="0.2">
      <c r="A39" s="71" t="s">
        <v>43</v>
      </c>
      <c r="B39" s="26">
        <v>1640</v>
      </c>
      <c r="C39" s="26">
        <v>1904</v>
      </c>
      <c r="D39" s="54">
        <v>18974</v>
      </c>
      <c r="E39" s="27">
        <v>5707</v>
      </c>
      <c r="F39" s="26">
        <v>9918</v>
      </c>
      <c r="G39" s="25">
        <v>6567</v>
      </c>
      <c r="H39" s="26">
        <v>3461</v>
      </c>
      <c r="I39" s="18">
        <f t="shared" si="1"/>
        <v>25653</v>
      </c>
      <c r="J39" s="27">
        <v>2953</v>
      </c>
      <c r="K39" s="26">
        <v>6041</v>
      </c>
      <c r="L39" s="26">
        <v>9928</v>
      </c>
      <c r="M39" s="26">
        <v>5709</v>
      </c>
      <c r="N39" s="18">
        <f t="shared" si="0"/>
        <v>24631</v>
      </c>
      <c r="O39" s="27">
        <v>4026</v>
      </c>
      <c r="P39" s="26"/>
      <c r="Q39" s="26"/>
      <c r="W39" s="423"/>
      <c r="X39" s="376"/>
      <c r="Y39" s="220" t="s">
        <v>235</v>
      </c>
      <c r="Z39" s="224">
        <f>D7+D9</f>
        <v>2395</v>
      </c>
      <c r="AA39" s="224">
        <f>B7+C7+E7+B9+C9+E9</f>
        <v>552</v>
      </c>
      <c r="AB39" s="224">
        <f>(F7+G7+H7+J7+K7+F9+G9+H9+J9+K9)</f>
        <v>3403</v>
      </c>
      <c r="AC39" s="250">
        <f>(L7+M7+O7+L9+M9+O9)</f>
        <v>4293</v>
      </c>
      <c r="AD39" s="250">
        <f>(L7+M7+O7+P7+Q7+L9+M9+O9+P9+Q9)</f>
        <v>4293</v>
      </c>
    </row>
    <row r="40" spans="1:30" ht="16" thickBot="1" x14ac:dyDescent="0.25">
      <c r="A40" s="76" t="s">
        <v>45</v>
      </c>
      <c r="B40" s="34">
        <v>0</v>
      </c>
      <c r="C40" s="34">
        <v>0</v>
      </c>
      <c r="D40" s="47">
        <v>13</v>
      </c>
      <c r="E40" s="48">
        <v>0</v>
      </c>
      <c r="F40" s="34">
        <v>0</v>
      </c>
      <c r="G40" s="33">
        <v>0</v>
      </c>
      <c r="H40" s="34">
        <v>37</v>
      </c>
      <c r="I40" s="38">
        <f t="shared" si="1"/>
        <v>37</v>
      </c>
      <c r="J40" s="48">
        <v>150</v>
      </c>
      <c r="K40" s="77">
        <v>0</v>
      </c>
      <c r="L40" s="77">
        <v>0</v>
      </c>
      <c r="M40" s="77">
        <v>0</v>
      </c>
      <c r="N40" s="18">
        <f t="shared" si="0"/>
        <v>150</v>
      </c>
      <c r="O40" s="48">
        <v>0</v>
      </c>
      <c r="P40" s="77"/>
      <c r="Q40" s="77"/>
      <c r="W40" s="423"/>
      <c r="X40" s="377"/>
      <c r="Y40" s="220" t="s">
        <v>236</v>
      </c>
      <c r="Z40" s="250">
        <f>D6+D8</f>
        <v>15897</v>
      </c>
      <c r="AA40" s="250">
        <f>B6+C6+E6+B8+C8+E8</f>
        <v>7885</v>
      </c>
      <c r="AB40" s="250">
        <f>(F6+G6+H6+J6+K6+F8+G8+H8+J8+K8)</f>
        <v>31488</v>
      </c>
      <c r="AC40" s="250">
        <f>(L6+M6+O6+L8+M8+O8)</f>
        <v>21059</v>
      </c>
      <c r="AD40" s="250">
        <f>(L6+M6+O6+P6+Q6+L8+M8+O8+P8+Q8)</f>
        <v>21059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f>4+3+18</f>
        <v>25</v>
      </c>
      <c r="N41" s="42">
        <f>SUM(M41)</f>
        <v>25</v>
      </c>
      <c r="O41" s="194">
        <f>1+7+26+49</f>
        <v>83</v>
      </c>
      <c r="P41" s="194">
        <v>0</v>
      </c>
      <c r="Q41" s="194">
        <v>0</v>
      </c>
      <c r="W41" s="485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151</v>
      </c>
      <c r="N42" s="18">
        <f t="shared" ref="N42:N56" si="4">SUM(M42)</f>
        <v>151</v>
      </c>
      <c r="O42" s="188">
        <v>133</v>
      </c>
      <c r="P42" s="188">
        <v>0</v>
      </c>
      <c r="Q42" s="188">
        <v>0</v>
      </c>
      <c r="W42" s="485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1</v>
      </c>
      <c r="N43" s="18">
        <f t="shared" si="4"/>
        <v>1</v>
      </c>
      <c r="O43" s="188">
        <v>1</v>
      </c>
      <c r="P43" s="188">
        <v>0</v>
      </c>
      <c r="Q43" s="188">
        <v>0</v>
      </c>
      <c r="W43" s="485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5</v>
      </c>
      <c r="N44" s="18">
        <f t="shared" si="4"/>
        <v>5</v>
      </c>
      <c r="O44" s="188">
        <v>7</v>
      </c>
      <c r="P44" s="188">
        <v>0</v>
      </c>
      <c r="Q44" s="188">
        <v>0</v>
      </c>
      <c r="W44" s="485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3</v>
      </c>
      <c r="N45" s="18">
        <f t="shared" si="4"/>
        <v>3</v>
      </c>
      <c r="O45" s="195">
        <v>26</v>
      </c>
      <c r="P45" s="195">
        <v>0</v>
      </c>
      <c r="Q45" s="195">
        <v>0</v>
      </c>
      <c r="W45" s="485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22</v>
      </c>
      <c r="N46" s="18">
        <f t="shared" si="4"/>
        <v>22</v>
      </c>
      <c r="O46" s="188">
        <v>49</v>
      </c>
      <c r="P46" s="188">
        <v>0</v>
      </c>
      <c r="Q46" s="188">
        <v>0</v>
      </c>
      <c r="W46" s="485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1</v>
      </c>
      <c r="N47" s="18">
        <f t="shared" si="4"/>
        <v>1</v>
      </c>
      <c r="O47" s="195">
        <v>3</v>
      </c>
      <c r="P47" s="195">
        <v>0</v>
      </c>
      <c r="Q47" s="195">
        <v>0</v>
      </c>
      <c r="W47" s="485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12</v>
      </c>
      <c r="N48" s="18">
        <f t="shared" si="4"/>
        <v>12</v>
      </c>
      <c r="O48" s="195">
        <v>2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1</v>
      </c>
      <c r="N49" s="18">
        <f t="shared" si="4"/>
        <v>1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14</v>
      </c>
      <c r="N50" s="18">
        <f t="shared" si="4"/>
        <v>14</v>
      </c>
      <c r="O50" s="195">
        <v>5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0</v>
      </c>
      <c r="N51" s="18">
        <f t="shared" si="4"/>
        <v>0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30</v>
      </c>
      <c r="N52" s="18">
        <f t="shared" si="4"/>
        <v>30</v>
      </c>
      <c r="O52" s="195">
        <v>80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105</v>
      </c>
      <c r="N53" s="18">
        <f t="shared" si="4"/>
        <v>105</v>
      </c>
      <c r="O53" s="195">
        <v>48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135</v>
      </c>
      <c r="N55" s="18">
        <f t="shared" si="4"/>
        <v>135</v>
      </c>
      <c r="O55" s="195">
        <v>128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2</v>
      </c>
      <c r="N56" s="38">
        <f t="shared" si="4"/>
        <v>2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161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89">
        <v>50</v>
      </c>
      <c r="C60" s="12">
        <v>0</v>
      </c>
      <c r="D60" s="197">
        <v>50</v>
      </c>
      <c r="E60" s="15">
        <v>54</v>
      </c>
      <c r="F60" s="12">
        <v>0</v>
      </c>
      <c r="G60" s="12">
        <v>0</v>
      </c>
      <c r="H60" s="12">
        <v>0</v>
      </c>
      <c r="I60" s="18">
        <f>E60+F60+G60+H60</f>
        <v>54</v>
      </c>
      <c r="J60" s="19">
        <v>0</v>
      </c>
      <c r="K60" s="12">
        <v>0</v>
      </c>
      <c r="L60" s="12">
        <v>0</v>
      </c>
      <c r="M60" s="12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89">
        <v>22</v>
      </c>
      <c r="C61" s="12">
        <v>0</v>
      </c>
      <c r="D61" s="187">
        <v>22</v>
      </c>
      <c r="E61" s="24">
        <v>15</v>
      </c>
      <c r="F61" s="12">
        <v>0</v>
      </c>
      <c r="G61" s="12">
        <v>0</v>
      </c>
      <c r="H61" s="12">
        <v>0</v>
      </c>
      <c r="I61" s="18">
        <f t="shared" ref="I61:I80" si="6">E61+F61+G61+H61</f>
        <v>15</v>
      </c>
      <c r="J61" s="27">
        <v>0</v>
      </c>
      <c r="K61" s="12">
        <v>0</v>
      </c>
      <c r="L61" s="12">
        <v>0</v>
      </c>
      <c r="M61" s="12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89">
        <v>236</v>
      </c>
      <c r="C62" s="12">
        <v>0</v>
      </c>
      <c r="D62" s="187">
        <v>236</v>
      </c>
      <c r="E62" s="24">
        <v>526</v>
      </c>
      <c r="F62" s="12">
        <v>0</v>
      </c>
      <c r="G62" s="12">
        <v>0</v>
      </c>
      <c r="H62" s="12">
        <v>0</v>
      </c>
      <c r="I62" s="18">
        <f t="shared" si="6"/>
        <v>526</v>
      </c>
      <c r="J62" s="27">
        <v>0</v>
      </c>
      <c r="K62" s="12">
        <v>0</v>
      </c>
      <c r="L62" s="12">
        <v>0</v>
      </c>
      <c r="M62" s="12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89">
        <v>69</v>
      </c>
      <c r="C63" s="12">
        <v>0</v>
      </c>
      <c r="D63" s="187">
        <v>69</v>
      </c>
      <c r="E63" s="24">
        <v>90</v>
      </c>
      <c r="F63" s="12">
        <v>0</v>
      </c>
      <c r="G63" s="12">
        <v>0</v>
      </c>
      <c r="H63" s="12">
        <v>0</v>
      </c>
      <c r="I63" s="18">
        <f t="shared" si="6"/>
        <v>90</v>
      </c>
      <c r="J63" s="27">
        <v>0</v>
      </c>
      <c r="K63" s="12">
        <v>0</v>
      </c>
      <c r="L63" s="12">
        <v>0</v>
      </c>
      <c r="M63" s="12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28</v>
      </c>
      <c r="D64" s="205">
        <v>412</v>
      </c>
      <c r="E64" s="24">
        <v>246</v>
      </c>
      <c r="F64" s="12">
        <v>109</v>
      </c>
      <c r="G64" s="25">
        <v>41</v>
      </c>
      <c r="H64" s="26">
        <v>29</v>
      </c>
      <c r="I64" s="206">
        <f t="shared" si="6"/>
        <v>425</v>
      </c>
      <c r="J64" s="27">
        <v>50</v>
      </c>
      <c r="K64" s="26">
        <v>24</v>
      </c>
      <c r="L64" s="28">
        <v>830</v>
      </c>
      <c r="M64" s="26">
        <v>88</v>
      </c>
      <c r="N64" s="206">
        <f t="shared" si="5"/>
        <v>992</v>
      </c>
      <c r="O64" s="27">
        <v>17</v>
      </c>
      <c r="P64" s="26"/>
      <c r="Q64" s="28"/>
    </row>
    <row r="65" spans="1:17" x14ac:dyDescent="0.2">
      <c r="A65" s="11" t="s">
        <v>7</v>
      </c>
      <c r="B65" s="12">
        <v>0</v>
      </c>
      <c r="C65" s="12">
        <v>8</v>
      </c>
      <c r="D65" s="205">
        <v>159</v>
      </c>
      <c r="E65" s="24">
        <v>76</v>
      </c>
      <c r="F65" s="12">
        <v>30</v>
      </c>
      <c r="G65" s="25">
        <v>7</v>
      </c>
      <c r="H65" s="26">
        <v>2</v>
      </c>
      <c r="I65" s="206">
        <f t="shared" si="6"/>
        <v>115</v>
      </c>
      <c r="J65" s="27">
        <v>4</v>
      </c>
      <c r="K65" s="26">
        <v>8</v>
      </c>
      <c r="L65" s="28">
        <v>486</v>
      </c>
      <c r="M65" s="26">
        <v>37</v>
      </c>
      <c r="N65" s="206">
        <f t="shared" si="5"/>
        <v>535</v>
      </c>
      <c r="O65" s="27">
        <v>7</v>
      </c>
      <c r="P65" s="26"/>
      <c r="Q65" s="28"/>
    </row>
    <row r="66" spans="1:17" x14ac:dyDescent="0.2">
      <c r="A66" s="22" t="s">
        <v>12</v>
      </c>
      <c r="B66" s="12">
        <v>0</v>
      </c>
      <c r="C66" s="12">
        <v>148</v>
      </c>
      <c r="D66" s="23">
        <v>2167</v>
      </c>
      <c r="E66" s="24">
        <v>60</v>
      </c>
      <c r="F66" s="12">
        <v>900</v>
      </c>
      <c r="G66" s="25">
        <v>398</v>
      </c>
      <c r="H66" s="26">
        <v>261</v>
      </c>
      <c r="I66" s="18">
        <f t="shared" si="6"/>
        <v>1619</v>
      </c>
      <c r="J66" s="27">
        <v>354</v>
      </c>
      <c r="K66" s="26">
        <v>143</v>
      </c>
      <c r="L66" s="28">
        <v>108</v>
      </c>
      <c r="M66" s="26">
        <v>549</v>
      </c>
      <c r="N66" s="18">
        <f t="shared" si="5"/>
        <v>1154</v>
      </c>
      <c r="O66" s="27">
        <v>89</v>
      </c>
      <c r="P66" s="49"/>
      <c r="Q66" s="37"/>
    </row>
    <row r="67" spans="1:17" ht="16" thickBot="1" x14ac:dyDescent="0.25">
      <c r="A67" s="22" t="s">
        <v>8</v>
      </c>
      <c r="B67" s="30">
        <v>0</v>
      </c>
      <c r="C67" s="30">
        <v>56</v>
      </c>
      <c r="D67" s="31">
        <v>931</v>
      </c>
      <c r="E67" s="32">
        <v>20</v>
      </c>
      <c r="F67" s="30">
        <v>300</v>
      </c>
      <c r="G67" s="33">
        <v>53</v>
      </c>
      <c r="H67" s="34">
        <v>22</v>
      </c>
      <c r="I67" s="18">
        <f t="shared" si="6"/>
        <v>395</v>
      </c>
      <c r="J67" s="35">
        <v>118</v>
      </c>
      <c r="K67" s="36">
        <v>45</v>
      </c>
      <c r="L67" s="37">
        <v>52</v>
      </c>
      <c r="M67" s="36">
        <v>310</v>
      </c>
      <c r="N67" s="38">
        <f t="shared" si="5"/>
        <v>525</v>
      </c>
      <c r="O67" s="182">
        <v>38</v>
      </c>
      <c r="P67" s="49"/>
      <c r="Q67" s="37"/>
    </row>
    <row r="68" spans="1:17" ht="16" thickTop="1" x14ac:dyDescent="0.2">
      <c r="A68" s="177" t="s">
        <v>19</v>
      </c>
      <c r="B68" s="13">
        <v>0</v>
      </c>
      <c r="C68" s="13">
        <v>8</v>
      </c>
      <c r="D68" s="14">
        <v>175</v>
      </c>
      <c r="E68" s="40">
        <v>20</v>
      </c>
      <c r="F68" s="13">
        <v>0</v>
      </c>
      <c r="G68" s="41">
        <v>28</v>
      </c>
      <c r="H68" s="20">
        <v>28</v>
      </c>
      <c r="I68" s="42">
        <f t="shared" si="6"/>
        <v>76</v>
      </c>
      <c r="J68" s="43">
        <v>52</v>
      </c>
      <c r="K68" s="17">
        <v>10</v>
      </c>
      <c r="L68" s="44">
        <v>108</v>
      </c>
      <c r="M68" s="17">
        <v>84</v>
      </c>
      <c r="N68" s="18">
        <f t="shared" si="5"/>
        <v>254</v>
      </c>
      <c r="O68" s="43">
        <v>17</v>
      </c>
      <c r="P68" s="17"/>
      <c r="Q68" s="44"/>
    </row>
    <row r="69" spans="1:17" x14ac:dyDescent="0.2">
      <c r="A69" s="45" t="s">
        <v>16</v>
      </c>
      <c r="B69" s="12">
        <v>0</v>
      </c>
      <c r="C69" s="12">
        <v>0</v>
      </c>
      <c r="D69" s="23">
        <v>49</v>
      </c>
      <c r="E69" s="24">
        <v>0</v>
      </c>
      <c r="F69" s="12">
        <v>0</v>
      </c>
      <c r="G69" s="25">
        <v>9</v>
      </c>
      <c r="H69" s="26">
        <v>13</v>
      </c>
      <c r="I69" s="18">
        <f t="shared" si="6"/>
        <v>22</v>
      </c>
      <c r="J69" s="27">
        <v>10</v>
      </c>
      <c r="K69" s="26">
        <v>10</v>
      </c>
      <c r="L69" s="28">
        <v>108</v>
      </c>
      <c r="M69" s="26">
        <v>84</v>
      </c>
      <c r="N69" s="18">
        <f t="shared" si="5"/>
        <v>212</v>
      </c>
      <c r="O69" s="27">
        <v>17</v>
      </c>
      <c r="P69" s="26"/>
      <c r="Q69" s="28"/>
    </row>
    <row r="70" spans="1:17" x14ac:dyDescent="0.2">
      <c r="A70" s="177" t="s">
        <v>15</v>
      </c>
      <c r="B70" s="12">
        <v>22</v>
      </c>
      <c r="C70" s="12">
        <v>0</v>
      </c>
      <c r="D70" s="23">
        <v>73</v>
      </c>
      <c r="E70" s="24">
        <v>26</v>
      </c>
      <c r="F70" s="12">
        <v>27</v>
      </c>
      <c r="G70" s="25">
        <v>7</v>
      </c>
      <c r="H70" s="26">
        <v>9</v>
      </c>
      <c r="I70" s="18">
        <f t="shared" si="6"/>
        <v>69</v>
      </c>
      <c r="J70" s="27">
        <v>26</v>
      </c>
      <c r="K70" s="26">
        <v>15</v>
      </c>
      <c r="L70" s="28">
        <v>52</v>
      </c>
      <c r="M70" s="26">
        <v>38</v>
      </c>
      <c r="N70" s="18">
        <f t="shared" si="5"/>
        <v>131</v>
      </c>
      <c r="O70" s="27">
        <v>6</v>
      </c>
      <c r="P70" s="26"/>
      <c r="Q70" s="28"/>
    </row>
    <row r="71" spans="1:17" x14ac:dyDescent="0.2">
      <c r="A71" s="45" t="s">
        <v>20</v>
      </c>
      <c r="B71" s="12">
        <v>0</v>
      </c>
      <c r="C71" s="12">
        <v>54</v>
      </c>
      <c r="D71" s="23">
        <v>1079</v>
      </c>
      <c r="E71" s="24">
        <v>76</v>
      </c>
      <c r="F71" s="12">
        <v>19</v>
      </c>
      <c r="G71" s="25">
        <v>334</v>
      </c>
      <c r="H71" s="26">
        <v>189</v>
      </c>
      <c r="I71" s="18">
        <f t="shared" si="6"/>
        <v>618</v>
      </c>
      <c r="J71" s="27">
        <v>365</v>
      </c>
      <c r="K71" s="26">
        <v>49</v>
      </c>
      <c r="L71" s="28">
        <v>830</v>
      </c>
      <c r="M71" s="26">
        <v>549</v>
      </c>
      <c r="N71" s="18">
        <f t="shared" si="5"/>
        <v>1793</v>
      </c>
      <c r="O71" s="27">
        <v>89</v>
      </c>
      <c r="P71" s="26"/>
      <c r="Q71" s="28"/>
    </row>
    <row r="72" spans="1:17" x14ac:dyDescent="0.2">
      <c r="A72" s="45" t="s">
        <v>18</v>
      </c>
      <c r="B72" s="12">
        <v>69</v>
      </c>
      <c r="C72" s="12"/>
      <c r="D72" s="23">
        <v>101</v>
      </c>
      <c r="E72" s="24"/>
      <c r="F72" s="12"/>
      <c r="G72" s="25"/>
      <c r="H72" s="26"/>
      <c r="I72" s="18">
        <f t="shared" si="6"/>
        <v>0</v>
      </c>
      <c r="J72" s="27">
        <v>60</v>
      </c>
      <c r="K72" s="26">
        <v>49</v>
      </c>
      <c r="L72" s="28">
        <v>830</v>
      </c>
      <c r="M72" s="26">
        <v>549</v>
      </c>
      <c r="N72" s="18">
        <f t="shared" si="5"/>
        <v>1488</v>
      </c>
      <c r="O72" s="27">
        <v>89</v>
      </c>
      <c r="P72" s="26"/>
      <c r="Q72" s="28"/>
    </row>
    <row r="73" spans="1:17" x14ac:dyDescent="0.2">
      <c r="A73" s="45" t="s">
        <v>17</v>
      </c>
      <c r="B73" s="12"/>
      <c r="C73" s="12">
        <v>0</v>
      </c>
      <c r="D73" s="23">
        <v>228</v>
      </c>
      <c r="E73" s="24">
        <v>158</v>
      </c>
      <c r="F73" s="12">
        <v>270</v>
      </c>
      <c r="G73" s="25">
        <v>54</v>
      </c>
      <c r="H73" s="26">
        <v>22</v>
      </c>
      <c r="I73" s="18">
        <f t="shared" si="6"/>
        <v>504</v>
      </c>
      <c r="J73" s="27">
        <v>120</v>
      </c>
      <c r="K73" s="26">
        <v>86</v>
      </c>
      <c r="L73" s="28">
        <v>486</v>
      </c>
      <c r="M73" s="26">
        <v>309</v>
      </c>
      <c r="N73" s="18">
        <f t="shared" si="5"/>
        <v>1001</v>
      </c>
      <c r="O73" s="27">
        <v>38</v>
      </c>
      <c r="P73" s="26"/>
      <c r="Q73" s="28"/>
    </row>
    <row r="74" spans="1:17" ht="16" thickBot="1" x14ac:dyDescent="0.25">
      <c r="A74" s="179" t="s">
        <v>21</v>
      </c>
      <c r="B74" s="34">
        <v>0</v>
      </c>
      <c r="C74" s="34">
        <v>0</v>
      </c>
      <c r="D74" s="47">
        <v>0</v>
      </c>
      <c r="E74" s="48">
        <v>0</v>
      </c>
      <c r="F74" s="34">
        <v>0</v>
      </c>
      <c r="G74" s="33"/>
      <c r="H74" s="34"/>
      <c r="I74" s="38">
        <f t="shared" si="6"/>
        <v>0</v>
      </c>
      <c r="J74" s="48">
        <v>0</v>
      </c>
      <c r="K74" s="49">
        <v>0</v>
      </c>
      <c r="L74" s="37">
        <v>0</v>
      </c>
      <c r="M74" s="49">
        <v>0</v>
      </c>
      <c r="N74" s="18">
        <f t="shared" si="5"/>
        <v>0</v>
      </c>
      <c r="O74" s="48">
        <v>0</v>
      </c>
      <c r="P74" s="49"/>
      <c r="Q74" s="37"/>
    </row>
    <row r="75" spans="1:17" ht="16" thickTop="1" x14ac:dyDescent="0.2">
      <c r="A75" s="55" t="s">
        <v>25</v>
      </c>
      <c r="B75" s="13">
        <v>12</v>
      </c>
      <c r="C75" s="13">
        <v>1</v>
      </c>
      <c r="D75" s="14">
        <v>63</v>
      </c>
      <c r="E75" s="40">
        <v>13</v>
      </c>
      <c r="F75" s="13">
        <v>9</v>
      </c>
      <c r="G75" s="41">
        <v>11</v>
      </c>
      <c r="H75" s="20">
        <v>15</v>
      </c>
      <c r="I75" s="18">
        <f t="shared" si="6"/>
        <v>48</v>
      </c>
      <c r="J75" s="19">
        <v>14</v>
      </c>
      <c r="K75" s="51">
        <v>7</v>
      </c>
      <c r="L75" s="44">
        <v>4</v>
      </c>
      <c r="M75" s="51">
        <v>13</v>
      </c>
      <c r="N75" s="42">
        <f t="shared" si="5"/>
        <v>38</v>
      </c>
      <c r="O75" s="19">
        <v>3</v>
      </c>
      <c r="P75" s="51"/>
      <c r="Q75" s="44"/>
    </row>
    <row r="76" spans="1:17" x14ac:dyDescent="0.2">
      <c r="A76" s="52" t="s">
        <v>26</v>
      </c>
      <c r="B76" s="12">
        <v>27</v>
      </c>
      <c r="C76" s="12">
        <v>25</v>
      </c>
      <c r="D76" s="23">
        <v>180</v>
      </c>
      <c r="E76" s="24">
        <v>57</v>
      </c>
      <c r="F76" s="12">
        <v>43</v>
      </c>
      <c r="G76" s="25">
        <v>40</v>
      </c>
      <c r="H76" s="26">
        <v>43</v>
      </c>
      <c r="I76" s="18">
        <f t="shared" si="6"/>
        <v>183</v>
      </c>
      <c r="J76" s="27">
        <v>66</v>
      </c>
      <c r="K76" s="53">
        <v>42</v>
      </c>
      <c r="L76" s="28">
        <v>21</v>
      </c>
      <c r="M76" s="53">
        <v>19</v>
      </c>
      <c r="N76" s="18">
        <f t="shared" si="5"/>
        <v>148</v>
      </c>
      <c r="O76" s="27">
        <v>10</v>
      </c>
      <c r="P76" s="53"/>
      <c r="Q76" s="28"/>
    </row>
    <row r="77" spans="1:17" x14ac:dyDescent="0.2">
      <c r="A77" s="52" t="s">
        <v>27</v>
      </c>
      <c r="B77" s="26">
        <v>3</v>
      </c>
      <c r="C77" s="26">
        <v>4</v>
      </c>
      <c r="D77" s="54">
        <v>36</v>
      </c>
      <c r="E77" s="27">
        <v>15</v>
      </c>
      <c r="F77" s="26">
        <v>8</v>
      </c>
      <c r="G77" s="25">
        <v>8</v>
      </c>
      <c r="H77" s="26">
        <v>7</v>
      </c>
      <c r="I77" s="18">
        <f t="shared" si="6"/>
        <v>38</v>
      </c>
      <c r="J77" s="27">
        <v>13</v>
      </c>
      <c r="K77" s="53">
        <v>13</v>
      </c>
      <c r="L77" s="28">
        <v>6</v>
      </c>
      <c r="M77" s="53">
        <v>2</v>
      </c>
      <c r="N77" s="18">
        <f t="shared" si="5"/>
        <v>34</v>
      </c>
      <c r="O77" s="27">
        <v>2</v>
      </c>
      <c r="P77" s="53"/>
      <c r="Q77" s="28"/>
    </row>
    <row r="78" spans="1:17" x14ac:dyDescent="0.2">
      <c r="A78" s="52" t="s">
        <v>28</v>
      </c>
      <c r="B78" s="56">
        <v>0</v>
      </c>
      <c r="C78" s="56">
        <v>0</v>
      </c>
      <c r="D78" s="57">
        <v>1</v>
      </c>
      <c r="E78" s="58">
        <v>0</v>
      </c>
      <c r="F78" s="59">
        <v>0</v>
      </c>
      <c r="G78" s="60">
        <v>0</v>
      </c>
      <c r="H78" s="61">
        <v>2</v>
      </c>
      <c r="I78" s="18">
        <f t="shared" si="6"/>
        <v>2</v>
      </c>
      <c r="J78" s="27">
        <v>0</v>
      </c>
      <c r="K78" s="53">
        <v>0</v>
      </c>
      <c r="L78" s="28">
        <v>0</v>
      </c>
      <c r="M78" s="53">
        <v>0</v>
      </c>
      <c r="N78" s="18">
        <f t="shared" si="5"/>
        <v>0</v>
      </c>
      <c r="O78" s="27">
        <v>1</v>
      </c>
      <c r="P78" s="53"/>
      <c r="Q78" s="28"/>
    </row>
    <row r="79" spans="1:17" x14ac:dyDescent="0.2">
      <c r="A79" s="55" t="s">
        <v>22</v>
      </c>
      <c r="B79" s="56">
        <v>5</v>
      </c>
      <c r="C79" s="56">
        <v>4</v>
      </c>
      <c r="D79" s="57">
        <v>30</v>
      </c>
      <c r="E79" s="58">
        <v>13</v>
      </c>
      <c r="F79" s="59">
        <v>9</v>
      </c>
      <c r="G79" s="60">
        <v>10</v>
      </c>
      <c r="H79" s="61">
        <v>13</v>
      </c>
      <c r="I79" s="18">
        <f t="shared" si="6"/>
        <v>45</v>
      </c>
      <c r="J79" s="27">
        <v>15</v>
      </c>
      <c r="K79" s="53">
        <v>0</v>
      </c>
      <c r="L79" s="28">
        <v>7</v>
      </c>
      <c r="M79" s="53">
        <v>13</v>
      </c>
      <c r="N79" s="18">
        <f t="shared" si="5"/>
        <v>35</v>
      </c>
      <c r="O79" s="27">
        <v>3</v>
      </c>
      <c r="P79" s="53"/>
      <c r="Q79" s="28"/>
    </row>
    <row r="80" spans="1:17" x14ac:dyDescent="0.2">
      <c r="A80" s="52" t="s">
        <v>23</v>
      </c>
      <c r="B80" s="56">
        <v>12</v>
      </c>
      <c r="C80" s="56">
        <v>3</v>
      </c>
      <c r="D80" s="57">
        <v>50</v>
      </c>
      <c r="E80" s="58">
        <v>16</v>
      </c>
      <c r="F80" s="59">
        <v>11</v>
      </c>
      <c r="G80" s="60">
        <v>12</v>
      </c>
      <c r="H80" s="61">
        <v>12</v>
      </c>
      <c r="I80" s="18">
        <f t="shared" si="6"/>
        <v>51</v>
      </c>
      <c r="J80" s="27">
        <v>15</v>
      </c>
      <c r="K80" s="53">
        <v>0</v>
      </c>
      <c r="L80" s="28">
        <v>1</v>
      </c>
      <c r="M80" s="53">
        <v>7</v>
      </c>
      <c r="N80" s="18">
        <f t="shared" si="5"/>
        <v>23</v>
      </c>
      <c r="O80" s="27">
        <v>4</v>
      </c>
      <c r="P80" s="53"/>
      <c r="Q80" s="28"/>
    </row>
    <row r="81" spans="1:30" ht="17" thickBot="1" x14ac:dyDescent="0.25">
      <c r="A81" s="52" t="s">
        <v>24</v>
      </c>
      <c r="B81" s="63">
        <v>8</v>
      </c>
      <c r="C81" s="63">
        <v>12</v>
      </c>
      <c r="D81" s="64">
        <v>65</v>
      </c>
      <c r="E81" s="65">
        <v>10</v>
      </c>
      <c r="F81" s="66">
        <v>10</v>
      </c>
      <c r="G81" s="67">
        <v>9</v>
      </c>
      <c r="H81" s="68">
        <v>10</v>
      </c>
      <c r="I81" s="38">
        <f>SUM(E81:H81)</f>
        <v>39</v>
      </c>
      <c r="J81" s="35">
        <v>17</v>
      </c>
      <c r="K81" s="49">
        <v>2</v>
      </c>
      <c r="L81" s="37">
        <v>0</v>
      </c>
      <c r="M81" s="49">
        <v>4</v>
      </c>
      <c r="N81" s="18">
        <f t="shared" si="5"/>
        <v>23</v>
      </c>
      <c r="O81" s="35">
        <v>1</v>
      </c>
      <c r="P81" s="49"/>
      <c r="Q81" s="37"/>
      <c r="W81" s="482" t="s">
        <v>249</v>
      </c>
      <c r="X81" s="483"/>
      <c r="Y81" s="484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17</v>
      </c>
      <c r="C82" s="13">
        <v>5</v>
      </c>
      <c r="D82" s="14">
        <v>160</v>
      </c>
      <c r="E82" s="40">
        <v>41</v>
      </c>
      <c r="F82" s="13">
        <v>42</v>
      </c>
      <c r="G82" s="41">
        <v>5</v>
      </c>
      <c r="H82" s="20">
        <v>2</v>
      </c>
      <c r="I82" s="18">
        <f>E82+F82+G82+H82</f>
        <v>90</v>
      </c>
      <c r="J82" s="70">
        <v>6</v>
      </c>
      <c r="K82" s="16">
        <v>16</v>
      </c>
      <c r="L82" s="16">
        <v>49</v>
      </c>
      <c r="M82" s="16">
        <v>38</v>
      </c>
      <c r="N82" s="42">
        <f t="shared" si="5"/>
        <v>109</v>
      </c>
      <c r="O82" s="70">
        <v>5</v>
      </c>
      <c r="P82" s="16"/>
      <c r="Q82" s="16"/>
      <c r="W82" s="439" t="s">
        <v>59</v>
      </c>
      <c r="X82" s="238"/>
      <c r="Y82" s="226" t="s">
        <v>204</v>
      </c>
      <c r="Z82" s="252">
        <f>D81</f>
        <v>65</v>
      </c>
      <c r="AA82" s="252">
        <f>B81+C81+E81</f>
        <v>30</v>
      </c>
      <c r="AB82" s="252">
        <f>F81+G81+H81+J81+K81</f>
        <v>48</v>
      </c>
      <c r="AC82" s="252">
        <f>L81+M81+O81</f>
        <v>5</v>
      </c>
      <c r="AD82" s="252">
        <f>L81+M81+O81+P81+Q81</f>
        <v>5</v>
      </c>
    </row>
    <row r="83" spans="1:30" x14ac:dyDescent="0.2">
      <c r="A83" s="71" t="s">
        <v>30</v>
      </c>
      <c r="B83" s="12">
        <v>0</v>
      </c>
      <c r="C83" s="12">
        <v>23</v>
      </c>
      <c r="D83" s="23">
        <v>285</v>
      </c>
      <c r="E83" s="24">
        <v>75</v>
      </c>
      <c r="F83" s="12">
        <v>68</v>
      </c>
      <c r="G83" s="25">
        <v>18</v>
      </c>
      <c r="H83" s="26">
        <v>7</v>
      </c>
      <c r="I83" s="18">
        <f t="shared" ref="I83:I85" si="7">E83+F83+G83+H83</f>
        <v>168</v>
      </c>
      <c r="J83" s="27">
        <v>35</v>
      </c>
      <c r="K83" s="27">
        <v>33</v>
      </c>
      <c r="L83" s="27">
        <v>135</v>
      </c>
      <c r="M83" s="27">
        <v>78</v>
      </c>
      <c r="N83" s="18">
        <f t="shared" si="5"/>
        <v>281</v>
      </c>
      <c r="O83" s="27">
        <v>12</v>
      </c>
      <c r="P83" s="27"/>
      <c r="Q83" s="27"/>
      <c r="W83" s="439"/>
      <c r="X83" s="238"/>
      <c r="Y83" s="226" t="s">
        <v>211</v>
      </c>
      <c r="Z83" s="253">
        <f>Z82/12</f>
        <v>5.416666666666667</v>
      </c>
      <c r="AA83" s="253">
        <f>AA82/5</f>
        <v>6</v>
      </c>
      <c r="AB83" s="253">
        <f>AB82/15</f>
        <v>3.2</v>
      </c>
      <c r="AC83" s="253">
        <f>AC82/9</f>
        <v>0.55555555555555558</v>
      </c>
      <c r="AD83" s="226"/>
    </row>
    <row r="84" spans="1:30" x14ac:dyDescent="0.2">
      <c r="A84" s="71" t="s">
        <v>31</v>
      </c>
      <c r="B84" s="12">
        <v>25</v>
      </c>
      <c r="C84" s="12">
        <v>11</v>
      </c>
      <c r="D84" s="23">
        <v>253</v>
      </c>
      <c r="E84" s="24">
        <v>60</v>
      </c>
      <c r="F84" s="12">
        <v>83</v>
      </c>
      <c r="G84" s="25">
        <v>14</v>
      </c>
      <c r="H84" s="26">
        <v>8</v>
      </c>
      <c r="I84" s="18">
        <f t="shared" si="7"/>
        <v>165</v>
      </c>
      <c r="J84" s="27">
        <v>34</v>
      </c>
      <c r="K84" s="27">
        <v>13</v>
      </c>
      <c r="L84" s="27">
        <v>97</v>
      </c>
      <c r="M84" s="27">
        <v>70</v>
      </c>
      <c r="N84" s="18">
        <f t="shared" si="5"/>
        <v>214</v>
      </c>
      <c r="O84" s="27">
        <v>9</v>
      </c>
      <c r="P84" s="27"/>
      <c r="Q84" s="27"/>
      <c r="W84" s="440" t="s">
        <v>171</v>
      </c>
      <c r="X84" s="237"/>
      <c r="Y84" s="227" t="s">
        <v>212</v>
      </c>
      <c r="Z84" s="272">
        <f>Z85/Z86</f>
        <v>0.35039999999999999</v>
      </c>
      <c r="AA84" s="272">
        <v>0</v>
      </c>
      <c r="AB84" s="272">
        <f>AB85/AB86</f>
        <v>0.28533909186412981</v>
      </c>
      <c r="AC84" s="272">
        <f>AC85/AC86</f>
        <v>0.5881668402033442</v>
      </c>
      <c r="AD84" s="227"/>
    </row>
    <row r="85" spans="1:30" x14ac:dyDescent="0.2">
      <c r="A85" s="71" t="s">
        <v>32</v>
      </c>
      <c r="B85" s="12">
        <v>27</v>
      </c>
      <c r="C85" s="12">
        <v>24</v>
      </c>
      <c r="D85" s="23">
        <v>351</v>
      </c>
      <c r="E85" s="24">
        <v>104</v>
      </c>
      <c r="F85" s="12">
        <v>137</v>
      </c>
      <c r="G85" s="25">
        <v>24</v>
      </c>
      <c r="H85" s="26">
        <v>7</v>
      </c>
      <c r="I85" s="18">
        <f t="shared" si="7"/>
        <v>272</v>
      </c>
      <c r="J85" s="27">
        <v>85</v>
      </c>
      <c r="K85" s="27">
        <v>37</v>
      </c>
      <c r="L85" s="27">
        <v>257</v>
      </c>
      <c r="M85" s="27">
        <v>161</v>
      </c>
      <c r="N85" s="18">
        <f t="shared" si="5"/>
        <v>540</v>
      </c>
      <c r="O85" s="27">
        <v>59</v>
      </c>
      <c r="P85" s="27"/>
      <c r="Q85" s="27"/>
      <c r="W85" s="440"/>
      <c r="X85" s="237"/>
      <c r="Y85" s="227" t="s">
        <v>217</v>
      </c>
      <c r="Z85" s="227">
        <v>219</v>
      </c>
      <c r="AA85" s="227">
        <v>0</v>
      </c>
      <c r="AB85" s="227">
        <v>4889</v>
      </c>
      <c r="AC85" s="227">
        <v>9603</v>
      </c>
      <c r="AD85" s="227"/>
    </row>
    <row r="86" spans="1:30" x14ac:dyDescent="0.2">
      <c r="A86" s="72" t="s">
        <v>33</v>
      </c>
      <c r="B86" s="73">
        <f>SUM(B82:B85)</f>
        <v>69</v>
      </c>
      <c r="C86" s="73">
        <f>SUM(C82:C85)</f>
        <v>63</v>
      </c>
      <c r="D86" s="74">
        <f>SUM(D82:D85)</f>
        <v>1049</v>
      </c>
      <c r="E86" s="73">
        <f t="shared" ref="E86:G86" si="8">SUM(E82:E85)</f>
        <v>280</v>
      </c>
      <c r="F86" s="73">
        <f t="shared" si="8"/>
        <v>330</v>
      </c>
      <c r="G86" s="73">
        <f t="shared" si="8"/>
        <v>61</v>
      </c>
      <c r="H86" s="73">
        <f>SUM(H82:H85)</f>
        <v>24</v>
      </c>
      <c r="I86" s="18">
        <f>E86+F86+G86+H86</f>
        <v>695</v>
      </c>
      <c r="J86" s="73">
        <f>SUM(J82:J85)</f>
        <v>160</v>
      </c>
      <c r="K86" s="73">
        <f t="shared" ref="K86:L86" si="9">SUM(K82:K85)</f>
        <v>99</v>
      </c>
      <c r="L86" s="73">
        <f t="shared" si="9"/>
        <v>538</v>
      </c>
      <c r="M86" s="73">
        <f>SUM(M82:M85)</f>
        <v>347</v>
      </c>
      <c r="N86" s="18">
        <f t="shared" si="5"/>
        <v>1144</v>
      </c>
      <c r="O86" s="75"/>
      <c r="P86" s="75"/>
      <c r="Q86" s="75"/>
      <c r="W86" s="440"/>
      <c r="X86" s="237"/>
      <c r="Y86" s="227" t="s">
        <v>218</v>
      </c>
      <c r="Z86" s="227">
        <v>625</v>
      </c>
      <c r="AA86" s="227">
        <v>0</v>
      </c>
      <c r="AB86" s="227">
        <v>17134</v>
      </c>
      <c r="AC86" s="227">
        <v>16327</v>
      </c>
      <c r="AD86" s="227"/>
    </row>
    <row r="87" spans="1:30" x14ac:dyDescent="0.2">
      <c r="A87" s="71" t="s">
        <v>34</v>
      </c>
      <c r="B87" s="26">
        <v>5</v>
      </c>
      <c r="C87" s="26">
        <v>4</v>
      </c>
      <c r="D87" s="54">
        <v>30</v>
      </c>
      <c r="E87" s="27">
        <v>13</v>
      </c>
      <c r="F87" s="26">
        <v>9</v>
      </c>
      <c r="G87" s="25">
        <v>10</v>
      </c>
      <c r="H87" s="26">
        <v>13</v>
      </c>
      <c r="I87" s="18">
        <f t="shared" ref="I87:I98" si="10">E87+F87+G87+H87</f>
        <v>45</v>
      </c>
      <c r="J87" s="27">
        <v>15</v>
      </c>
      <c r="K87" s="27">
        <v>0</v>
      </c>
      <c r="L87" s="27">
        <v>7</v>
      </c>
      <c r="M87" s="27">
        <v>13</v>
      </c>
      <c r="N87" s="18">
        <f t="shared" si="5"/>
        <v>35</v>
      </c>
      <c r="O87" s="27">
        <v>3</v>
      </c>
      <c r="P87" s="27"/>
      <c r="Q87" s="27"/>
      <c r="W87" s="441" t="s">
        <v>180</v>
      </c>
      <c r="X87" s="239"/>
      <c r="Y87" s="228" t="s">
        <v>213</v>
      </c>
      <c r="Z87" s="274">
        <f>Z88/Z89</f>
        <v>0.32479999999999998</v>
      </c>
      <c r="AA87" s="274">
        <v>0</v>
      </c>
      <c r="AB87" s="274">
        <f>AB88/AB89</f>
        <v>0.23135286564725108</v>
      </c>
      <c r="AC87" s="274">
        <f>AC88/AC89</f>
        <v>0.41085318797084586</v>
      </c>
      <c r="AD87" s="228"/>
    </row>
    <row r="88" spans="1:30" x14ac:dyDescent="0.2">
      <c r="A88" s="71" t="s">
        <v>35</v>
      </c>
      <c r="B88" s="26">
        <v>12</v>
      </c>
      <c r="C88" s="26">
        <v>3</v>
      </c>
      <c r="D88" s="54">
        <v>50</v>
      </c>
      <c r="E88" s="27">
        <v>16</v>
      </c>
      <c r="F88" s="26">
        <v>11</v>
      </c>
      <c r="G88" s="25">
        <v>12</v>
      </c>
      <c r="H88" s="26">
        <v>12</v>
      </c>
      <c r="I88" s="18">
        <f t="shared" si="10"/>
        <v>51</v>
      </c>
      <c r="J88" s="27">
        <v>15</v>
      </c>
      <c r="K88" s="53">
        <v>0</v>
      </c>
      <c r="L88" s="53">
        <v>1</v>
      </c>
      <c r="M88" s="53">
        <v>7</v>
      </c>
      <c r="N88" s="18">
        <f t="shared" si="5"/>
        <v>23</v>
      </c>
      <c r="O88" s="27">
        <v>4</v>
      </c>
      <c r="P88" s="53"/>
      <c r="Q88" s="53"/>
      <c r="W88" s="441"/>
      <c r="X88" s="239"/>
      <c r="Y88" s="228" t="s">
        <v>219</v>
      </c>
      <c r="Z88" s="228">
        <v>203</v>
      </c>
      <c r="AA88" s="228">
        <v>0</v>
      </c>
      <c r="AB88" s="228">
        <v>3964</v>
      </c>
      <c r="AC88" s="228">
        <v>6708</v>
      </c>
      <c r="AD88" s="228"/>
    </row>
    <row r="89" spans="1:30" x14ac:dyDescent="0.2">
      <c r="A89" s="71" t="s">
        <v>36</v>
      </c>
      <c r="B89" s="26">
        <v>8</v>
      </c>
      <c r="C89" s="26">
        <v>12</v>
      </c>
      <c r="D89" s="54">
        <v>65</v>
      </c>
      <c r="E89" s="27">
        <v>10</v>
      </c>
      <c r="F89" s="26">
        <v>10</v>
      </c>
      <c r="G89" s="25">
        <v>9</v>
      </c>
      <c r="H89" s="26">
        <v>10</v>
      </c>
      <c r="I89" s="18">
        <f t="shared" si="10"/>
        <v>39</v>
      </c>
      <c r="J89" s="27">
        <v>17</v>
      </c>
      <c r="K89" s="53">
        <v>2</v>
      </c>
      <c r="L89" s="53">
        <v>0</v>
      </c>
      <c r="M89" s="53">
        <v>4</v>
      </c>
      <c r="N89" s="18">
        <f t="shared" si="5"/>
        <v>23</v>
      </c>
      <c r="O89" s="27">
        <v>1</v>
      </c>
      <c r="P89" s="53"/>
      <c r="Q89" s="53"/>
      <c r="W89" s="441"/>
      <c r="X89" s="239"/>
      <c r="Y89" s="228" t="s">
        <v>218</v>
      </c>
      <c r="Z89" s="228">
        <v>625</v>
      </c>
      <c r="AA89" s="228">
        <v>0</v>
      </c>
      <c r="AB89" s="228">
        <v>17134</v>
      </c>
      <c r="AC89" s="228">
        <v>16327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0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442" t="s">
        <v>173</v>
      </c>
      <c r="X90" s="240"/>
      <c r="Y90" s="229" t="s">
        <v>214</v>
      </c>
      <c r="Z90" s="254">
        <f>(D69+D72)/(D68+D71)</f>
        <v>0.11961722488038277</v>
      </c>
      <c r="AA90" s="254">
        <f>(B69+C69+E69+B72+C72+E72)/(B68+C68+E68+B71+C71+E71)</f>
        <v>0.43670886075949367</v>
      </c>
      <c r="AB90" s="254">
        <f>(F69+G69+H69+J69+K69+F72+G72+H72+J72+K72)/(F68+G68+H68+J68+K68+F71+G71+H71+J71+K71)</f>
        <v>0.14059590316573556</v>
      </c>
      <c r="AC90" s="254">
        <f>(L69+M69+O69+L72+M72+O72)/(L68+M68+O68+L71+M71+O71)</f>
        <v>1</v>
      </c>
      <c r="AD90" s="254">
        <f>(L69+M69+O69+P69+Q69+L72+M72+O72+P72+Q72)/(L68+M68+O68+P68+Q68+L71+M71+O71+P71+Q71)</f>
        <v>1</v>
      </c>
    </row>
    <row r="91" spans="1:30" x14ac:dyDescent="0.2">
      <c r="A91" s="71" t="s">
        <v>37</v>
      </c>
      <c r="B91" s="26">
        <v>91</v>
      </c>
      <c r="C91" s="26">
        <v>64</v>
      </c>
      <c r="D91" s="54">
        <v>1058</v>
      </c>
      <c r="E91" s="27">
        <v>280</v>
      </c>
      <c r="F91" s="26">
        <v>330</v>
      </c>
      <c r="G91" s="25">
        <v>60</v>
      </c>
      <c r="H91" s="26">
        <v>24</v>
      </c>
      <c r="I91" s="18">
        <f t="shared" si="10"/>
        <v>694</v>
      </c>
      <c r="J91" s="27">
        <v>122</v>
      </c>
      <c r="K91" s="27">
        <v>99</v>
      </c>
      <c r="L91" s="27">
        <v>538</v>
      </c>
      <c r="M91" s="27">
        <v>347</v>
      </c>
      <c r="N91" s="18">
        <f t="shared" si="5"/>
        <v>1106</v>
      </c>
      <c r="O91" s="27">
        <v>85</v>
      </c>
      <c r="P91" s="27"/>
      <c r="Q91" s="27"/>
      <c r="W91" s="442"/>
      <c r="X91" s="240"/>
      <c r="Y91" s="229" t="s">
        <v>215</v>
      </c>
      <c r="Z91" s="255">
        <f>(D69+D72)</f>
        <v>150</v>
      </c>
      <c r="AA91" s="255">
        <f>(B69+C69+E69+B72+C72+E72)</f>
        <v>69</v>
      </c>
      <c r="AB91" s="255">
        <f>F69+G69+H69+J69+K69+F72+G72+H72+J72+K72</f>
        <v>151</v>
      </c>
      <c r="AC91" s="255">
        <f>L69+M69+O69+L72+M72+O72</f>
        <v>1677</v>
      </c>
      <c r="AD91" s="255">
        <f>(L69+M69+O69+P69+Q69+L72+M72+O72+P72+Q72)</f>
        <v>1677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0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442"/>
      <c r="X92" s="240"/>
      <c r="Y92" s="229" t="s">
        <v>216</v>
      </c>
      <c r="Z92" s="255">
        <f>D68+D71</f>
        <v>1254</v>
      </c>
      <c r="AA92" s="255">
        <f>(B68+C68+E68+B71+C71+E71)</f>
        <v>158</v>
      </c>
      <c r="AB92" s="255">
        <f>F68+G68+H68+J68+K68+F71+G71+H71+J71+K71</f>
        <v>1074</v>
      </c>
      <c r="AC92" s="255">
        <f>(L68+M68+O68+L71+M71+O71)</f>
        <v>1677</v>
      </c>
      <c r="AD92" s="255">
        <f>(L68+M68+O68+P68+Q68+L71+M71+O71+P71+Q71)</f>
        <v>1677</v>
      </c>
    </row>
    <row r="93" spans="1:30" x14ac:dyDescent="0.2">
      <c r="A93" s="71" t="s">
        <v>39</v>
      </c>
      <c r="B93" s="26">
        <v>0</v>
      </c>
      <c r="C93" s="26">
        <v>110</v>
      </c>
      <c r="D93" s="54">
        <v>1637</v>
      </c>
      <c r="E93" s="27">
        <v>837</v>
      </c>
      <c r="F93" s="26">
        <v>874</v>
      </c>
      <c r="G93" s="25">
        <v>369</v>
      </c>
      <c r="H93" s="26">
        <v>266</v>
      </c>
      <c r="I93" s="18">
        <f t="shared" si="10"/>
        <v>2346</v>
      </c>
      <c r="J93" s="27">
        <v>282</v>
      </c>
      <c r="K93" s="27">
        <v>175</v>
      </c>
      <c r="L93" s="27">
        <v>400</v>
      </c>
      <c r="M93" s="27">
        <v>290</v>
      </c>
      <c r="N93" s="18">
        <f t="shared" si="5"/>
        <v>1147</v>
      </c>
      <c r="O93" s="27">
        <v>185</v>
      </c>
      <c r="P93" s="27"/>
      <c r="Q93" s="27"/>
      <c r="W93" s="423" t="s">
        <v>174</v>
      </c>
      <c r="X93" s="241"/>
      <c r="Y93" s="230" t="s">
        <v>220</v>
      </c>
      <c r="Z93" s="256">
        <f>D86</f>
        <v>1049</v>
      </c>
      <c r="AA93" s="256">
        <f>B86+C86+E86</f>
        <v>412</v>
      </c>
      <c r="AB93" s="256">
        <f>F86+G86+H86+J86+K86</f>
        <v>674</v>
      </c>
      <c r="AC93" s="256">
        <f>L86+M86+O86</f>
        <v>885</v>
      </c>
      <c r="AD93" s="256">
        <f>L86+M86+O86+P86+Q86</f>
        <v>885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0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423"/>
      <c r="X94" s="241"/>
      <c r="Y94" s="230" t="s">
        <v>221</v>
      </c>
      <c r="Z94" s="260">
        <f>Z93/12</f>
        <v>87.416666666666671</v>
      </c>
      <c r="AA94" s="260">
        <f>AA93/5</f>
        <v>82.4</v>
      </c>
      <c r="AB94" s="260">
        <f>AB93/15</f>
        <v>44.93333333333333</v>
      </c>
      <c r="AC94" s="260">
        <f>AC93/9</f>
        <v>98.333333333333329</v>
      </c>
      <c r="AD94" s="230"/>
    </row>
    <row r="95" spans="1:30" x14ac:dyDescent="0.2">
      <c r="A95" s="71" t="s">
        <v>41</v>
      </c>
      <c r="B95" s="26">
        <v>0</v>
      </c>
      <c r="C95" s="189">
        <v>0</v>
      </c>
      <c r="D95" s="54">
        <v>2</v>
      </c>
      <c r="E95" s="27">
        <v>0</v>
      </c>
      <c r="F95" s="26">
        <v>0</v>
      </c>
      <c r="G95" s="25">
        <v>1</v>
      </c>
      <c r="H95" s="26">
        <v>0</v>
      </c>
      <c r="I95" s="18">
        <f t="shared" si="10"/>
        <v>1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0</v>
      </c>
      <c r="P95" s="53"/>
      <c r="Q95" s="53"/>
      <c r="W95" s="446" t="s">
        <v>175</v>
      </c>
      <c r="X95" s="242"/>
      <c r="Y95" s="231" t="s">
        <v>178</v>
      </c>
      <c r="Z95" s="261">
        <f>D70+D73</f>
        <v>301</v>
      </c>
      <c r="AA95" s="261">
        <f>B70+C70+E70+B73+C73+E73</f>
        <v>206</v>
      </c>
      <c r="AB95" s="261">
        <f>F70+G70+H70+J70+K70+F73+G73+H73+J73+K73</f>
        <v>636</v>
      </c>
      <c r="AC95" s="261">
        <f>L70+M70+O70+L73+M73+O73</f>
        <v>929</v>
      </c>
      <c r="AD95" s="257">
        <f>L70+M70+O70+P70+Q70+L73+M73+O73+P73+Q73</f>
        <v>929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0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446"/>
      <c r="X96" s="242"/>
      <c r="Y96" s="231" t="s">
        <v>222</v>
      </c>
      <c r="Z96" s="262">
        <f>Z95/12</f>
        <v>25.083333333333332</v>
      </c>
      <c r="AA96" s="262">
        <f>AA95/5</f>
        <v>41.2</v>
      </c>
      <c r="AB96" s="262">
        <f>AB95/15</f>
        <v>42.4</v>
      </c>
      <c r="AC96" s="262">
        <f>AC95/9</f>
        <v>103.22222222222223</v>
      </c>
      <c r="AD96" s="231"/>
    </row>
    <row r="97" spans="1:30" x14ac:dyDescent="0.2">
      <c r="A97" s="71" t="s">
        <v>43</v>
      </c>
      <c r="B97" s="26">
        <v>91</v>
      </c>
      <c r="C97" s="26">
        <v>174</v>
      </c>
      <c r="D97" s="54">
        <v>2695</v>
      </c>
      <c r="E97" s="27">
        <v>1117</v>
      </c>
      <c r="F97" s="26">
        <v>1204</v>
      </c>
      <c r="G97" s="25">
        <v>429</v>
      </c>
      <c r="H97" s="26">
        <v>290</v>
      </c>
      <c r="I97" s="18">
        <f t="shared" si="10"/>
        <v>3040</v>
      </c>
      <c r="J97" s="27">
        <v>404</v>
      </c>
      <c r="K97" s="26">
        <v>274</v>
      </c>
      <c r="L97" s="26">
        <v>938</v>
      </c>
      <c r="M97" s="26">
        <v>637</v>
      </c>
      <c r="N97" s="18">
        <f t="shared" si="5"/>
        <v>2253</v>
      </c>
      <c r="O97" s="27">
        <v>270</v>
      </c>
      <c r="P97" s="26"/>
      <c r="Q97" s="26"/>
      <c r="W97" s="446"/>
      <c r="X97" s="242"/>
      <c r="Y97" s="231" t="s">
        <v>179</v>
      </c>
      <c r="Z97" s="261">
        <f>D90+D91</f>
        <v>1058</v>
      </c>
      <c r="AA97" s="261">
        <f>B90+C90+E90+B91+C91+E91</f>
        <v>435</v>
      </c>
      <c r="AB97" s="261">
        <f>F90+G90+H90+J90+K90+F91+G91+H91+J91+K91</f>
        <v>635</v>
      </c>
      <c r="AC97" s="261">
        <f>L90+M90+O90+L91+M91+O91</f>
        <v>970</v>
      </c>
      <c r="AD97" s="257">
        <f>L90+M90+O90+P90+Q90+L91+M91+O91+P91+Q91</f>
        <v>970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0"/>
        <v>0</v>
      </c>
      <c r="J98" s="48">
        <v>37</v>
      </c>
      <c r="K98" s="77">
        <v>0</v>
      </c>
      <c r="L98" s="77">
        <v>0</v>
      </c>
      <c r="M98" s="77">
        <v>0</v>
      </c>
      <c r="N98" s="18">
        <f t="shared" si="5"/>
        <v>37</v>
      </c>
      <c r="O98" s="48">
        <v>0</v>
      </c>
      <c r="P98" s="77"/>
      <c r="Q98" s="77"/>
      <c r="W98" s="446"/>
      <c r="X98" s="242"/>
      <c r="Y98" s="231" t="s">
        <v>223</v>
      </c>
      <c r="Z98" s="261">
        <f>Z97/12</f>
        <v>88.166666666666671</v>
      </c>
      <c r="AA98" s="261">
        <f>AA97/5</f>
        <v>87</v>
      </c>
      <c r="AB98" s="261">
        <f>AB97/15</f>
        <v>42.333333333333336</v>
      </c>
      <c r="AC98" s="261">
        <f>AC97/9</f>
        <v>107.77777777777777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>
        <v>3</v>
      </c>
      <c r="K99" s="193"/>
      <c r="L99" s="193"/>
      <c r="M99" s="194">
        <f>4+3+18</f>
        <v>25</v>
      </c>
      <c r="N99" s="42">
        <f>SUM(M99)</f>
        <v>25</v>
      </c>
      <c r="O99" s="194">
        <f>1+7+26+49</f>
        <v>83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279</v>
      </c>
      <c r="AA99" s="263" t="s">
        <v>277</v>
      </c>
      <c r="AB99" s="264" t="s">
        <v>239</v>
      </c>
      <c r="AC99" s="263" t="s">
        <v>275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60</v>
      </c>
      <c r="N100" s="18">
        <f t="shared" ref="N100:N114" si="11">SUM(M100)</f>
        <v>60</v>
      </c>
      <c r="O100" s="188">
        <v>133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286</v>
      </c>
      <c r="AA100" s="265" t="s">
        <v>287</v>
      </c>
      <c r="AB100" s="265" t="s">
        <v>285</v>
      </c>
      <c r="AC100" s="265" t="s">
        <v>276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0</v>
      </c>
      <c r="N101" s="18">
        <f t="shared" si="11"/>
        <v>0</v>
      </c>
      <c r="O101" s="188">
        <v>1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4</v>
      </c>
      <c r="N102" s="18">
        <f t="shared" si="11"/>
        <v>4</v>
      </c>
      <c r="O102" s="188">
        <v>7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3</v>
      </c>
      <c r="N103" s="18">
        <f t="shared" si="11"/>
        <v>3</v>
      </c>
      <c r="O103" s="195">
        <v>26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18</v>
      </c>
      <c r="N104" s="18">
        <f t="shared" si="11"/>
        <v>18</v>
      </c>
      <c r="O104" s="188">
        <v>49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0</v>
      </c>
      <c r="N105" s="18">
        <f t="shared" si="11"/>
        <v>0</v>
      </c>
      <c r="O105" s="195">
        <v>3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3</v>
      </c>
      <c r="N106" s="18">
        <f t="shared" si="11"/>
        <v>3</v>
      </c>
      <c r="O106" s="195">
        <v>2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8">
        <f t="shared" si="11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3</v>
      </c>
      <c r="N108" s="18">
        <f t="shared" si="11"/>
        <v>3</v>
      </c>
      <c r="O108" s="195">
        <v>5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0</v>
      </c>
      <c r="N109" s="18">
        <f t="shared" si="11"/>
        <v>0</v>
      </c>
      <c r="O109" s="195">
        <v>0</v>
      </c>
      <c r="P109" s="195">
        <v>0</v>
      </c>
      <c r="Q109" s="195">
        <v>0</v>
      </c>
      <c r="W109" s="485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25</v>
      </c>
      <c r="N110" s="18">
        <f t="shared" si="11"/>
        <v>25</v>
      </c>
      <c r="O110" s="195">
        <v>80</v>
      </c>
      <c r="P110" s="195">
        <v>0</v>
      </c>
      <c r="Q110" s="195">
        <v>0</v>
      </c>
      <c r="W110" s="485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30</v>
      </c>
      <c r="N111" s="18">
        <f t="shared" si="11"/>
        <v>30</v>
      </c>
      <c r="O111" s="195">
        <v>48</v>
      </c>
      <c r="P111" s="195">
        <v>0</v>
      </c>
      <c r="Q111" s="195">
        <v>0</v>
      </c>
      <c r="W111" s="485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8">
        <f t="shared" si="11"/>
        <v>0</v>
      </c>
      <c r="O112" s="195">
        <v>0</v>
      </c>
      <c r="P112" s="195">
        <v>0</v>
      </c>
      <c r="Q112" s="195">
        <v>0</v>
      </c>
      <c r="W112" s="485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55</v>
      </c>
      <c r="N113" s="18">
        <f t="shared" si="11"/>
        <v>55</v>
      </c>
      <c r="O113" s="195">
        <v>128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2</v>
      </c>
      <c r="N114" s="38">
        <f t="shared" si="11"/>
        <v>2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5"/>
      <c r="X115" s="209"/>
      <c r="Z115" s="80"/>
      <c r="AA115" s="80"/>
      <c r="AB115" s="80"/>
      <c r="AC115" s="80"/>
      <c r="AD115" s="80"/>
    </row>
    <row r="116" spans="1:30" x14ac:dyDescent="0.2">
      <c r="W116" s="485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162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5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8">
        <f>E118+F118+G118+H118</f>
        <v>0</v>
      </c>
      <c r="J118" s="12">
        <v>0</v>
      </c>
      <c r="K118" s="12">
        <v>0</v>
      </c>
      <c r="L118" s="12">
        <v>0</v>
      </c>
      <c r="M118" s="12">
        <v>0</v>
      </c>
      <c r="N118" s="18">
        <f t="shared" ref="N118:N156" si="12">SUM(J118:M118)</f>
        <v>0</v>
      </c>
      <c r="O118" s="19">
        <v>0</v>
      </c>
      <c r="P118" s="20"/>
      <c r="Q118" s="21"/>
      <c r="W118" s="485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8">
        <f t="shared" ref="I119:I138" si="13">E119+F119+G119+H119</f>
        <v>0</v>
      </c>
      <c r="J119" s="12">
        <v>0</v>
      </c>
      <c r="K119" s="12">
        <v>0</v>
      </c>
      <c r="L119" s="12">
        <v>0</v>
      </c>
      <c r="M119" s="12">
        <v>0</v>
      </c>
      <c r="N119" s="18">
        <f t="shared" si="12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8">
        <f t="shared" si="13"/>
        <v>0</v>
      </c>
      <c r="J120" s="12">
        <v>0</v>
      </c>
      <c r="K120" s="12">
        <v>0</v>
      </c>
      <c r="L120" s="12">
        <v>0</v>
      </c>
      <c r="M120" s="12">
        <v>0</v>
      </c>
      <c r="N120" s="18">
        <f t="shared" si="12"/>
        <v>0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8">
        <f t="shared" si="13"/>
        <v>0</v>
      </c>
      <c r="J121" s="12">
        <v>0</v>
      </c>
      <c r="K121" s="12">
        <v>0</v>
      </c>
      <c r="L121" s="12">
        <v>0</v>
      </c>
      <c r="M121" s="12">
        <v>0</v>
      </c>
      <c r="N121" s="18">
        <f t="shared" si="12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5</v>
      </c>
      <c r="C122" s="12">
        <v>0</v>
      </c>
      <c r="D122" s="205">
        <v>160</v>
      </c>
      <c r="E122" s="24">
        <v>59</v>
      </c>
      <c r="F122" s="12">
        <v>110</v>
      </c>
      <c r="G122" s="25">
        <v>44</v>
      </c>
      <c r="H122" s="26">
        <v>39</v>
      </c>
      <c r="I122" s="206">
        <f t="shared" si="13"/>
        <v>252</v>
      </c>
      <c r="J122" s="27">
        <v>26</v>
      </c>
      <c r="K122" s="26">
        <v>17</v>
      </c>
      <c r="L122" s="28">
        <v>57</v>
      </c>
      <c r="M122" s="26">
        <v>61</v>
      </c>
      <c r="N122" s="206">
        <f t="shared" si="12"/>
        <v>161</v>
      </c>
      <c r="O122" s="27">
        <v>26</v>
      </c>
      <c r="P122" s="26"/>
      <c r="Q122" s="28"/>
      <c r="AB122" s="79"/>
    </row>
    <row r="123" spans="1:30" x14ac:dyDescent="0.2">
      <c r="A123" s="11" t="s">
        <v>7</v>
      </c>
      <c r="B123" s="12">
        <v>1</v>
      </c>
      <c r="C123" s="12">
        <v>0</v>
      </c>
      <c r="D123" s="205">
        <v>38</v>
      </c>
      <c r="E123" s="24">
        <v>12</v>
      </c>
      <c r="F123" s="12">
        <v>11</v>
      </c>
      <c r="G123" s="25">
        <v>11</v>
      </c>
      <c r="H123" s="26">
        <v>7</v>
      </c>
      <c r="I123" s="206">
        <f t="shared" si="13"/>
        <v>41</v>
      </c>
      <c r="J123" s="27">
        <v>9</v>
      </c>
      <c r="K123" s="26">
        <v>0</v>
      </c>
      <c r="L123" s="28">
        <v>6</v>
      </c>
      <c r="M123" s="26">
        <v>0</v>
      </c>
      <c r="N123" s="206">
        <f t="shared" si="12"/>
        <v>15</v>
      </c>
      <c r="O123" s="27">
        <v>2</v>
      </c>
      <c r="P123" s="26"/>
      <c r="Q123" s="28"/>
    </row>
    <row r="124" spans="1:30" x14ac:dyDescent="0.2">
      <c r="A124" s="22" t="s">
        <v>12</v>
      </c>
      <c r="B124" s="12">
        <v>148</v>
      </c>
      <c r="C124" s="12">
        <v>0</v>
      </c>
      <c r="D124" s="23">
        <v>724</v>
      </c>
      <c r="E124" s="24">
        <v>268</v>
      </c>
      <c r="F124" s="12">
        <v>392</v>
      </c>
      <c r="G124" s="25">
        <v>156</v>
      </c>
      <c r="H124" s="26">
        <v>154</v>
      </c>
      <c r="I124" s="18">
        <f t="shared" si="13"/>
        <v>970</v>
      </c>
      <c r="J124" s="27">
        <v>168</v>
      </c>
      <c r="K124" s="26">
        <v>188</v>
      </c>
      <c r="L124" s="28">
        <v>218</v>
      </c>
      <c r="M124" s="26">
        <v>258</v>
      </c>
      <c r="N124" s="18">
        <f t="shared" si="12"/>
        <v>832</v>
      </c>
      <c r="O124" s="27">
        <v>120</v>
      </c>
      <c r="P124" s="49"/>
      <c r="Q124" s="37"/>
    </row>
    <row r="125" spans="1:30" ht="16" thickBot="1" x14ac:dyDescent="0.25">
      <c r="A125" s="22" t="s">
        <v>8</v>
      </c>
      <c r="B125" s="30">
        <v>4</v>
      </c>
      <c r="C125" s="30">
        <v>0</v>
      </c>
      <c r="D125" s="31">
        <v>129</v>
      </c>
      <c r="E125" s="32">
        <v>17</v>
      </c>
      <c r="F125" s="30">
        <v>60</v>
      </c>
      <c r="G125" s="33">
        <v>19</v>
      </c>
      <c r="H125" s="34">
        <v>8</v>
      </c>
      <c r="I125" s="18">
        <f t="shared" si="13"/>
        <v>104</v>
      </c>
      <c r="J125" s="35">
        <v>20</v>
      </c>
      <c r="K125" s="36">
        <v>29</v>
      </c>
      <c r="L125" s="37">
        <v>46</v>
      </c>
      <c r="M125" s="36">
        <v>7</v>
      </c>
      <c r="N125" s="38">
        <f t="shared" si="12"/>
        <v>102</v>
      </c>
      <c r="O125" s="182">
        <v>34</v>
      </c>
      <c r="P125" s="49"/>
      <c r="Q125" s="37"/>
    </row>
    <row r="126" spans="1:30" ht="16" thickTop="1" x14ac:dyDescent="0.2">
      <c r="A126" s="177" t="s">
        <v>19</v>
      </c>
      <c r="B126" s="13">
        <v>3</v>
      </c>
      <c r="C126" s="13">
        <v>6</v>
      </c>
      <c r="D126" s="14">
        <v>72</v>
      </c>
      <c r="E126" s="40">
        <v>40</v>
      </c>
      <c r="F126" s="13">
        <v>123</v>
      </c>
      <c r="G126" s="41">
        <v>35</v>
      </c>
      <c r="H126" s="20">
        <v>40</v>
      </c>
      <c r="I126" s="42">
        <f t="shared" si="13"/>
        <v>238</v>
      </c>
      <c r="J126" s="43">
        <v>32</v>
      </c>
      <c r="K126" s="17">
        <v>28</v>
      </c>
      <c r="L126" s="44">
        <v>68</v>
      </c>
      <c r="M126" s="17">
        <v>82</v>
      </c>
      <c r="N126" s="18">
        <f t="shared" si="12"/>
        <v>210</v>
      </c>
      <c r="O126" s="43">
        <v>15</v>
      </c>
      <c r="P126" s="17"/>
      <c r="Q126" s="44"/>
    </row>
    <row r="127" spans="1:30" x14ac:dyDescent="0.2">
      <c r="A127" s="45" t="s">
        <v>16</v>
      </c>
      <c r="B127" s="12">
        <v>3</v>
      </c>
      <c r="C127" s="12">
        <v>6</v>
      </c>
      <c r="D127" s="23">
        <v>34</v>
      </c>
      <c r="E127" s="24">
        <v>0</v>
      </c>
      <c r="F127" s="12">
        <v>58</v>
      </c>
      <c r="G127" s="25">
        <v>0</v>
      </c>
      <c r="H127" s="26">
        <v>0</v>
      </c>
      <c r="I127" s="18">
        <f t="shared" si="13"/>
        <v>58</v>
      </c>
      <c r="J127" s="27">
        <v>2</v>
      </c>
      <c r="K127" s="26">
        <v>16</v>
      </c>
      <c r="L127" s="28">
        <v>68</v>
      </c>
      <c r="M127" s="26">
        <v>82</v>
      </c>
      <c r="N127" s="18">
        <f t="shared" si="12"/>
        <v>168</v>
      </c>
      <c r="O127" s="27">
        <v>15</v>
      </c>
      <c r="P127" s="26"/>
      <c r="Q127" s="28"/>
    </row>
    <row r="128" spans="1:30" x14ac:dyDescent="0.2">
      <c r="A128" s="177" t="s">
        <v>15</v>
      </c>
      <c r="B128" s="12">
        <v>1</v>
      </c>
      <c r="C128" s="12">
        <v>1</v>
      </c>
      <c r="D128" s="23">
        <v>7</v>
      </c>
      <c r="E128" s="24">
        <v>10</v>
      </c>
      <c r="F128" s="12">
        <v>10</v>
      </c>
      <c r="G128" s="25">
        <v>6</v>
      </c>
      <c r="H128" s="26">
        <v>7</v>
      </c>
      <c r="I128" s="18">
        <f t="shared" si="13"/>
        <v>33</v>
      </c>
      <c r="J128" s="27">
        <v>8</v>
      </c>
      <c r="K128" s="26">
        <v>3</v>
      </c>
      <c r="L128" s="28">
        <v>8</v>
      </c>
      <c r="M128" s="26">
        <v>3</v>
      </c>
      <c r="N128" s="18">
        <f t="shared" si="12"/>
        <v>22</v>
      </c>
      <c r="O128" s="27">
        <v>3</v>
      </c>
      <c r="P128" s="26"/>
      <c r="Q128" s="28"/>
    </row>
    <row r="129" spans="1:30" x14ac:dyDescent="0.2">
      <c r="A129" s="45" t="s">
        <v>20</v>
      </c>
      <c r="B129" s="12">
        <v>37</v>
      </c>
      <c r="C129" s="12">
        <v>50</v>
      </c>
      <c r="D129" s="23">
        <v>479</v>
      </c>
      <c r="E129" s="24">
        <v>189</v>
      </c>
      <c r="F129" s="12">
        <v>436</v>
      </c>
      <c r="G129" s="25">
        <v>117</v>
      </c>
      <c r="H129" s="26">
        <v>118</v>
      </c>
      <c r="I129" s="18">
        <f t="shared" si="13"/>
        <v>860</v>
      </c>
      <c r="J129" s="27">
        <v>149</v>
      </c>
      <c r="K129" s="26">
        <v>174</v>
      </c>
      <c r="L129" s="28">
        <v>41</v>
      </c>
      <c r="M129" s="26">
        <v>283</v>
      </c>
      <c r="N129" s="18">
        <f t="shared" si="12"/>
        <v>647</v>
      </c>
      <c r="O129" s="27">
        <v>78</v>
      </c>
      <c r="P129" s="26"/>
      <c r="Q129" s="28"/>
    </row>
    <row r="130" spans="1:30" x14ac:dyDescent="0.2">
      <c r="A130" s="45" t="s">
        <v>18</v>
      </c>
      <c r="B130" s="12">
        <v>0</v>
      </c>
      <c r="C130" s="12">
        <v>0</v>
      </c>
      <c r="D130" s="23">
        <v>0</v>
      </c>
      <c r="E130" s="24">
        <v>0</v>
      </c>
      <c r="F130" s="12">
        <v>0</v>
      </c>
      <c r="G130" s="25"/>
      <c r="H130" s="26"/>
      <c r="I130" s="18">
        <f t="shared" si="13"/>
        <v>0</v>
      </c>
      <c r="J130" s="27">
        <v>3</v>
      </c>
      <c r="K130" s="26">
        <v>144</v>
      </c>
      <c r="L130" s="28">
        <v>22</v>
      </c>
      <c r="M130" s="26">
        <v>283</v>
      </c>
      <c r="N130" s="18">
        <f t="shared" si="12"/>
        <v>452</v>
      </c>
      <c r="O130" s="27">
        <v>78</v>
      </c>
      <c r="P130" s="26"/>
      <c r="Q130" s="28"/>
    </row>
    <row r="131" spans="1:30" x14ac:dyDescent="0.2">
      <c r="A131" s="45" t="s">
        <v>17</v>
      </c>
      <c r="B131" s="12">
        <v>4</v>
      </c>
      <c r="C131" s="12">
        <v>12</v>
      </c>
      <c r="D131" s="23">
        <v>110</v>
      </c>
      <c r="E131" s="24">
        <v>18</v>
      </c>
      <c r="F131" s="12">
        <v>61</v>
      </c>
      <c r="G131" s="25">
        <v>24</v>
      </c>
      <c r="H131" s="26">
        <v>9</v>
      </c>
      <c r="I131" s="18">
        <f t="shared" si="13"/>
        <v>112</v>
      </c>
      <c r="J131" s="27">
        <v>20</v>
      </c>
      <c r="K131" s="26">
        <v>27</v>
      </c>
      <c r="L131" s="28">
        <v>52</v>
      </c>
      <c r="M131" s="26">
        <v>19</v>
      </c>
      <c r="N131" s="18">
        <f t="shared" si="12"/>
        <v>118</v>
      </c>
      <c r="O131" s="27">
        <v>26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0</v>
      </c>
      <c r="E132" s="48">
        <v>0</v>
      </c>
      <c r="F132" s="34">
        <v>0</v>
      </c>
      <c r="G132" s="33">
        <v>0</v>
      </c>
      <c r="H132" s="34">
        <v>0</v>
      </c>
      <c r="I132" s="38">
        <f t="shared" si="13"/>
        <v>0</v>
      </c>
      <c r="J132" s="48">
        <v>0</v>
      </c>
      <c r="K132" s="49">
        <v>0</v>
      </c>
      <c r="L132" s="37">
        <v>0</v>
      </c>
      <c r="M132" s="49">
        <v>0</v>
      </c>
      <c r="N132" s="18">
        <f t="shared" si="12"/>
        <v>0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3">
        <v>6</v>
      </c>
      <c r="C133" s="13">
        <v>19</v>
      </c>
      <c r="D133" s="14">
        <v>216</v>
      </c>
      <c r="E133" s="40">
        <v>59</v>
      </c>
      <c r="F133" s="13">
        <v>28</v>
      </c>
      <c r="G133" s="41">
        <v>49</v>
      </c>
      <c r="H133" s="20">
        <v>30</v>
      </c>
      <c r="I133" s="18">
        <f t="shared" si="13"/>
        <v>166</v>
      </c>
      <c r="J133" s="19">
        <v>63</v>
      </c>
      <c r="K133" s="51">
        <v>42</v>
      </c>
      <c r="L133" s="44">
        <v>40</v>
      </c>
      <c r="M133" s="51">
        <v>32</v>
      </c>
      <c r="N133" s="42">
        <f t="shared" si="12"/>
        <v>177</v>
      </c>
      <c r="O133" s="19">
        <v>22</v>
      </c>
      <c r="P133" s="51"/>
      <c r="Q133" s="44"/>
    </row>
    <row r="134" spans="1:30" x14ac:dyDescent="0.2">
      <c r="A134" s="52" t="s">
        <v>26</v>
      </c>
      <c r="B134" s="12">
        <v>72</v>
      </c>
      <c r="C134" s="12">
        <v>63</v>
      </c>
      <c r="D134" s="23">
        <v>886</v>
      </c>
      <c r="E134" s="24">
        <v>202</v>
      </c>
      <c r="F134" s="12">
        <v>203</v>
      </c>
      <c r="G134" s="25">
        <v>174</v>
      </c>
      <c r="H134" s="26">
        <v>176</v>
      </c>
      <c r="I134" s="18">
        <f t="shared" si="13"/>
        <v>755</v>
      </c>
      <c r="J134" s="27">
        <v>198</v>
      </c>
      <c r="K134" s="53">
        <v>215</v>
      </c>
      <c r="L134" s="28">
        <v>206</v>
      </c>
      <c r="M134" s="53">
        <v>201</v>
      </c>
      <c r="N134" s="18">
        <f t="shared" si="12"/>
        <v>820</v>
      </c>
      <c r="O134" s="27">
        <v>80</v>
      </c>
      <c r="P134" s="53"/>
      <c r="Q134" s="28"/>
    </row>
    <row r="135" spans="1:30" x14ac:dyDescent="0.2">
      <c r="A135" s="52" t="s">
        <v>27</v>
      </c>
      <c r="B135" s="26">
        <v>15</v>
      </c>
      <c r="C135" s="26">
        <v>12</v>
      </c>
      <c r="D135" s="54">
        <v>186</v>
      </c>
      <c r="E135" s="27">
        <v>28</v>
      </c>
      <c r="F135" s="26">
        <v>43</v>
      </c>
      <c r="G135" s="25">
        <v>23</v>
      </c>
      <c r="H135" s="26">
        <v>41</v>
      </c>
      <c r="I135" s="18">
        <f t="shared" si="13"/>
        <v>135</v>
      </c>
      <c r="J135" s="27">
        <v>30</v>
      </c>
      <c r="K135" s="53">
        <v>49</v>
      </c>
      <c r="L135" s="28">
        <v>40</v>
      </c>
      <c r="M135" s="53">
        <v>41</v>
      </c>
      <c r="N135" s="18">
        <f t="shared" si="12"/>
        <v>160</v>
      </c>
      <c r="O135" s="27">
        <v>16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2</v>
      </c>
      <c r="E136" s="58">
        <v>17</v>
      </c>
      <c r="F136" s="59">
        <v>2</v>
      </c>
      <c r="G136" s="60">
        <v>1</v>
      </c>
      <c r="H136" s="61">
        <v>7</v>
      </c>
      <c r="I136" s="18">
        <f t="shared" si="13"/>
        <v>27</v>
      </c>
      <c r="J136" s="27">
        <v>7</v>
      </c>
      <c r="K136" s="53">
        <v>6</v>
      </c>
      <c r="L136" s="28">
        <v>7</v>
      </c>
      <c r="M136" s="53">
        <v>8</v>
      </c>
      <c r="N136" s="18">
        <f t="shared" si="12"/>
        <v>28</v>
      </c>
      <c r="O136" s="27">
        <v>4</v>
      </c>
      <c r="P136" s="53"/>
      <c r="Q136" s="28"/>
    </row>
    <row r="137" spans="1:30" x14ac:dyDescent="0.2">
      <c r="A137" s="55" t="s">
        <v>22</v>
      </c>
      <c r="B137" s="56">
        <v>0</v>
      </c>
      <c r="C137" s="56">
        <v>0</v>
      </c>
      <c r="D137" s="57">
        <v>211</v>
      </c>
      <c r="E137" s="58">
        <v>53</v>
      </c>
      <c r="F137" s="59">
        <v>57</v>
      </c>
      <c r="G137" s="60">
        <v>37</v>
      </c>
      <c r="H137" s="61">
        <v>41</v>
      </c>
      <c r="I137" s="18">
        <f t="shared" si="13"/>
        <v>188</v>
      </c>
      <c r="J137" s="27">
        <v>25</v>
      </c>
      <c r="K137" s="53">
        <v>0</v>
      </c>
      <c r="L137" s="28">
        <v>71</v>
      </c>
      <c r="M137" s="53">
        <v>26</v>
      </c>
      <c r="N137" s="18">
        <f t="shared" si="12"/>
        <v>122</v>
      </c>
      <c r="O137" s="27">
        <v>11</v>
      </c>
      <c r="P137" s="53"/>
      <c r="Q137" s="28"/>
    </row>
    <row r="138" spans="1:30" x14ac:dyDescent="0.2">
      <c r="A138" s="52" t="s">
        <v>23</v>
      </c>
      <c r="B138" s="56">
        <v>0</v>
      </c>
      <c r="C138" s="56">
        <v>0</v>
      </c>
      <c r="D138" s="57">
        <v>148</v>
      </c>
      <c r="E138" s="58">
        <v>35</v>
      </c>
      <c r="F138" s="59">
        <v>21</v>
      </c>
      <c r="G138" s="60">
        <v>53</v>
      </c>
      <c r="H138" s="61">
        <v>45</v>
      </c>
      <c r="I138" s="18">
        <f t="shared" si="13"/>
        <v>154</v>
      </c>
      <c r="J138" s="27">
        <v>8</v>
      </c>
      <c r="K138" s="53">
        <v>0</v>
      </c>
      <c r="L138" s="28">
        <v>17</v>
      </c>
      <c r="M138" s="53">
        <v>45</v>
      </c>
      <c r="N138" s="18">
        <f t="shared" si="12"/>
        <v>70</v>
      </c>
      <c r="O138" s="27">
        <v>9</v>
      </c>
      <c r="P138" s="53"/>
      <c r="Q138" s="28"/>
    </row>
    <row r="139" spans="1:30" ht="17" thickBot="1" x14ac:dyDescent="0.25">
      <c r="A139" s="52" t="s">
        <v>24</v>
      </c>
      <c r="B139" s="63">
        <v>0</v>
      </c>
      <c r="C139" s="63">
        <v>0</v>
      </c>
      <c r="D139" s="64">
        <v>107</v>
      </c>
      <c r="E139" s="65">
        <v>5</v>
      </c>
      <c r="F139" s="66">
        <v>3</v>
      </c>
      <c r="G139" s="67">
        <v>38</v>
      </c>
      <c r="H139" s="68">
        <v>50</v>
      </c>
      <c r="I139" s="38">
        <f>SUM(E139:H139)</f>
        <v>96</v>
      </c>
      <c r="J139" s="35">
        <v>20</v>
      </c>
      <c r="K139" s="49">
        <v>0</v>
      </c>
      <c r="L139" s="37">
        <v>2</v>
      </c>
      <c r="M139" s="49">
        <v>49</v>
      </c>
      <c r="N139" s="18">
        <f t="shared" si="12"/>
        <v>71</v>
      </c>
      <c r="O139" s="35">
        <v>16</v>
      </c>
      <c r="P139" s="49"/>
      <c r="Q139" s="37"/>
      <c r="W139" s="482" t="s">
        <v>250</v>
      </c>
      <c r="X139" s="483"/>
      <c r="Y139" s="484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1</v>
      </c>
      <c r="C140" s="13">
        <v>1</v>
      </c>
      <c r="D140" s="14">
        <v>34</v>
      </c>
      <c r="E140" s="40">
        <v>11</v>
      </c>
      <c r="F140" s="13">
        <v>9</v>
      </c>
      <c r="G140" s="41">
        <v>5</v>
      </c>
      <c r="H140" s="20">
        <v>5</v>
      </c>
      <c r="I140" s="18">
        <f>E140+F140+G140+H140</f>
        <v>30</v>
      </c>
      <c r="J140" s="70">
        <v>8</v>
      </c>
      <c r="K140" s="16">
        <v>1</v>
      </c>
      <c r="L140" s="16">
        <v>6</v>
      </c>
      <c r="M140" s="16">
        <v>3</v>
      </c>
      <c r="N140" s="42">
        <f t="shared" si="12"/>
        <v>18</v>
      </c>
      <c r="O140" s="70">
        <v>3</v>
      </c>
      <c r="P140" s="16"/>
      <c r="Q140" s="16"/>
      <c r="W140" s="439" t="s">
        <v>59</v>
      </c>
      <c r="X140" s="238"/>
      <c r="Y140" s="226" t="s">
        <v>204</v>
      </c>
      <c r="Z140" s="252">
        <f>D139</f>
        <v>107</v>
      </c>
      <c r="AA140" s="252">
        <f>B139+C139+E139</f>
        <v>5</v>
      </c>
      <c r="AB140" s="252">
        <f>F139+G139+H139+J139+K139</f>
        <v>111</v>
      </c>
      <c r="AC140" s="252">
        <f>L139+M139+O139</f>
        <v>67</v>
      </c>
      <c r="AD140" s="252">
        <f>L139+M139+O139+P139+Q139</f>
        <v>67</v>
      </c>
    </row>
    <row r="141" spans="1:30" x14ac:dyDescent="0.2">
      <c r="A141" s="71" t="s">
        <v>30</v>
      </c>
      <c r="B141" s="12">
        <v>1</v>
      </c>
      <c r="C141" s="12">
        <v>2</v>
      </c>
      <c r="D141" s="23">
        <v>57</v>
      </c>
      <c r="E141" s="24">
        <v>4</v>
      </c>
      <c r="F141" s="12">
        <v>23</v>
      </c>
      <c r="G141" s="25">
        <v>22</v>
      </c>
      <c r="H141" s="26">
        <v>10</v>
      </c>
      <c r="I141" s="18">
        <f t="shared" ref="I141:I143" si="14">E141+F141+G141+H141</f>
        <v>59</v>
      </c>
      <c r="J141" s="27">
        <v>14</v>
      </c>
      <c r="K141" s="27">
        <v>3</v>
      </c>
      <c r="L141" s="27">
        <v>10</v>
      </c>
      <c r="M141" s="27">
        <v>3</v>
      </c>
      <c r="N141" s="18">
        <f t="shared" si="12"/>
        <v>30</v>
      </c>
      <c r="O141" s="27">
        <v>0</v>
      </c>
      <c r="P141" s="27"/>
      <c r="Q141" s="27"/>
      <c r="W141" s="439"/>
      <c r="X141" s="238"/>
      <c r="Y141" s="226" t="s">
        <v>211</v>
      </c>
      <c r="Z141" s="253">
        <f>Z140/12</f>
        <v>8.9166666666666661</v>
      </c>
      <c r="AA141" s="253">
        <f>AA140/5</f>
        <v>1</v>
      </c>
      <c r="AB141" s="253">
        <f>AB140/15</f>
        <v>7.4</v>
      </c>
      <c r="AC141" s="253">
        <f>AC140/9</f>
        <v>7.4444444444444446</v>
      </c>
      <c r="AD141" s="226"/>
    </row>
    <row r="142" spans="1:30" x14ac:dyDescent="0.2">
      <c r="A142" s="71" t="s">
        <v>31</v>
      </c>
      <c r="B142" s="12">
        <v>0</v>
      </c>
      <c r="C142" s="12">
        <v>1</v>
      </c>
      <c r="D142" s="23">
        <v>26</v>
      </c>
      <c r="E142" s="24">
        <v>4</v>
      </c>
      <c r="F142" s="12">
        <v>18</v>
      </c>
      <c r="G142" s="25">
        <v>8</v>
      </c>
      <c r="H142" s="26">
        <v>2</v>
      </c>
      <c r="I142" s="18">
        <f t="shared" si="14"/>
        <v>32</v>
      </c>
      <c r="J142" s="27">
        <v>6</v>
      </c>
      <c r="K142" s="27">
        <v>9</v>
      </c>
      <c r="L142" s="27">
        <v>14</v>
      </c>
      <c r="M142" s="27">
        <v>3</v>
      </c>
      <c r="N142" s="18">
        <f t="shared" si="12"/>
        <v>32</v>
      </c>
      <c r="O142" s="27">
        <v>7</v>
      </c>
      <c r="P142" s="27"/>
      <c r="Q142" s="27"/>
      <c r="W142" s="440" t="s">
        <v>171</v>
      </c>
      <c r="X142" s="237"/>
      <c r="Y142" s="227" t="s">
        <v>212</v>
      </c>
      <c r="Z142" s="272">
        <f>Z143/Z144</f>
        <v>0.38448275862068965</v>
      </c>
      <c r="AA142" s="272">
        <v>0</v>
      </c>
      <c r="AB142" s="272">
        <f t="shared" ref="AB142:AC142" si="15">AB143/AB144</f>
        <v>0.46455466112698002</v>
      </c>
      <c r="AC142" s="272">
        <f t="shared" si="15"/>
        <v>0.80711488250652741</v>
      </c>
      <c r="AD142" s="227"/>
    </row>
    <row r="143" spans="1:30" x14ac:dyDescent="0.2">
      <c r="A143" s="71" t="s">
        <v>32</v>
      </c>
      <c r="B143" s="12">
        <v>3</v>
      </c>
      <c r="C143" s="12">
        <v>6</v>
      </c>
      <c r="D143" s="23">
        <v>39</v>
      </c>
      <c r="E143" s="24">
        <v>12</v>
      </c>
      <c r="F143" s="12">
        <v>22</v>
      </c>
      <c r="G143" s="25">
        <v>2</v>
      </c>
      <c r="H143" s="26">
        <v>0</v>
      </c>
      <c r="I143" s="18">
        <f t="shared" si="14"/>
        <v>36</v>
      </c>
      <c r="J143" s="27">
        <v>1</v>
      </c>
      <c r="K143" s="27">
        <v>15</v>
      </c>
      <c r="L143" s="27">
        <v>22</v>
      </c>
      <c r="M143" s="27">
        <v>13</v>
      </c>
      <c r="N143" s="18">
        <f t="shared" si="12"/>
        <v>51</v>
      </c>
      <c r="O143" s="27">
        <v>28</v>
      </c>
      <c r="P143" s="27"/>
      <c r="Q143" s="27"/>
      <c r="W143" s="440"/>
      <c r="X143" s="237"/>
      <c r="Y143" s="227" t="s">
        <v>217</v>
      </c>
      <c r="Z143" s="227">
        <v>669</v>
      </c>
      <c r="AA143" s="227">
        <v>0</v>
      </c>
      <c r="AB143" s="227">
        <v>5367</v>
      </c>
      <c r="AC143" s="227">
        <v>9892</v>
      </c>
      <c r="AD143" s="227"/>
    </row>
    <row r="144" spans="1:30" x14ac:dyDescent="0.2">
      <c r="A144" s="72" t="s">
        <v>33</v>
      </c>
      <c r="B144" s="73">
        <f>SUM(B140:B143)</f>
        <v>5</v>
      </c>
      <c r="C144" s="73">
        <f>SUM(C140:C143)</f>
        <v>10</v>
      </c>
      <c r="D144" s="74">
        <f>SUM(D140:D143)</f>
        <v>156</v>
      </c>
      <c r="E144" s="73">
        <f t="shared" ref="E144:G144" si="16">SUM(E140:E143)</f>
        <v>31</v>
      </c>
      <c r="F144" s="73">
        <f t="shared" si="16"/>
        <v>72</v>
      </c>
      <c r="G144" s="73">
        <f t="shared" si="16"/>
        <v>37</v>
      </c>
      <c r="H144" s="73">
        <f>SUM(H140:H143)</f>
        <v>17</v>
      </c>
      <c r="I144" s="18">
        <f>E144+F144+G144+H144</f>
        <v>157</v>
      </c>
      <c r="J144" s="73">
        <f>SUM(J140:J143)</f>
        <v>29</v>
      </c>
      <c r="K144" s="73">
        <f t="shared" ref="K144:L144" si="17">SUM(K140:K143)</f>
        <v>28</v>
      </c>
      <c r="L144" s="73">
        <f t="shared" si="17"/>
        <v>52</v>
      </c>
      <c r="M144" s="73">
        <f>SUM(M140:M143)</f>
        <v>22</v>
      </c>
      <c r="N144" s="18">
        <f t="shared" si="12"/>
        <v>131</v>
      </c>
      <c r="O144" s="75"/>
      <c r="P144" s="75"/>
      <c r="Q144" s="75"/>
      <c r="W144" s="440"/>
      <c r="X144" s="237"/>
      <c r="Y144" s="227" t="s">
        <v>218</v>
      </c>
      <c r="Z144" s="227">
        <v>1740</v>
      </c>
      <c r="AA144" s="227">
        <v>0</v>
      </c>
      <c r="AB144" s="227">
        <v>11553</v>
      </c>
      <c r="AC144" s="227">
        <v>12256</v>
      </c>
      <c r="AD144" s="227"/>
    </row>
    <row r="145" spans="1:30" x14ac:dyDescent="0.2">
      <c r="A145" s="71" t="s">
        <v>34</v>
      </c>
      <c r="B145" s="26">
        <v>0</v>
      </c>
      <c r="C145" s="26">
        <v>0</v>
      </c>
      <c r="D145" s="54">
        <v>211</v>
      </c>
      <c r="E145" s="27">
        <v>53</v>
      </c>
      <c r="F145" s="26">
        <v>57</v>
      </c>
      <c r="G145" s="25">
        <v>37</v>
      </c>
      <c r="H145" s="26">
        <v>41</v>
      </c>
      <c r="I145" s="18">
        <f t="shared" ref="I145:I156" si="18">E145+F145+G145+H145</f>
        <v>188</v>
      </c>
      <c r="J145" s="27">
        <v>25</v>
      </c>
      <c r="K145" s="27">
        <v>0</v>
      </c>
      <c r="L145" s="27">
        <v>71</v>
      </c>
      <c r="M145" s="27">
        <v>26</v>
      </c>
      <c r="N145" s="18">
        <f t="shared" si="12"/>
        <v>122</v>
      </c>
      <c r="O145" s="27">
        <v>11</v>
      </c>
      <c r="P145" s="27"/>
      <c r="Q145" s="27"/>
      <c r="W145" s="441" t="s">
        <v>180</v>
      </c>
      <c r="X145" s="239"/>
      <c r="Y145" s="228" t="s">
        <v>213</v>
      </c>
      <c r="Z145" s="274">
        <f>Z146/Z147</f>
        <v>0.13333333333333333</v>
      </c>
      <c r="AA145" s="274">
        <v>0</v>
      </c>
      <c r="AB145" s="274">
        <f t="shared" ref="AB145" si="19">AB146/AB147</f>
        <v>0.31039556825067083</v>
      </c>
      <c r="AC145" s="274">
        <f t="shared" ref="AC145" si="20">AC146/AC147</f>
        <v>0.54381527415143605</v>
      </c>
      <c r="AD145" s="228"/>
    </row>
    <row r="146" spans="1:30" x14ac:dyDescent="0.2">
      <c r="A146" s="71" t="s">
        <v>35</v>
      </c>
      <c r="B146" s="26">
        <v>0</v>
      </c>
      <c r="C146" s="26">
        <v>0</v>
      </c>
      <c r="D146" s="54">
        <v>148</v>
      </c>
      <c r="E146" s="27">
        <v>35</v>
      </c>
      <c r="F146" s="26">
        <v>21</v>
      </c>
      <c r="G146" s="25">
        <v>53</v>
      </c>
      <c r="H146" s="26">
        <v>45</v>
      </c>
      <c r="I146" s="18">
        <f t="shared" si="18"/>
        <v>154</v>
      </c>
      <c r="J146" s="27">
        <v>8</v>
      </c>
      <c r="K146" s="53">
        <v>0</v>
      </c>
      <c r="L146" s="53">
        <v>17</v>
      </c>
      <c r="M146" s="53">
        <v>45</v>
      </c>
      <c r="N146" s="18">
        <f t="shared" si="12"/>
        <v>70</v>
      </c>
      <c r="O146" s="27">
        <v>9</v>
      </c>
      <c r="P146" s="53"/>
      <c r="Q146" s="53"/>
      <c r="W146" s="441"/>
      <c r="X146" s="239"/>
      <c r="Y146" s="228" t="s">
        <v>219</v>
      </c>
      <c r="Z146" s="228">
        <v>232</v>
      </c>
      <c r="AA146" s="228">
        <v>0</v>
      </c>
      <c r="AB146" s="228">
        <v>3586</v>
      </c>
      <c r="AC146" s="228">
        <v>6665</v>
      </c>
      <c r="AD146" s="228"/>
    </row>
    <row r="147" spans="1:30" x14ac:dyDescent="0.2">
      <c r="A147" s="71" t="s">
        <v>36</v>
      </c>
      <c r="B147" s="26">
        <v>0</v>
      </c>
      <c r="C147" s="26">
        <v>0</v>
      </c>
      <c r="D147" s="54">
        <v>107</v>
      </c>
      <c r="E147" s="27">
        <v>5</v>
      </c>
      <c r="F147" s="26">
        <v>3</v>
      </c>
      <c r="G147" s="25">
        <v>38</v>
      </c>
      <c r="H147" s="26">
        <v>50</v>
      </c>
      <c r="I147" s="18">
        <f t="shared" si="18"/>
        <v>96</v>
      </c>
      <c r="J147" s="27">
        <v>20</v>
      </c>
      <c r="K147" s="53">
        <v>0</v>
      </c>
      <c r="L147" s="53">
        <v>2</v>
      </c>
      <c r="M147" s="53">
        <v>49</v>
      </c>
      <c r="N147" s="18">
        <f t="shared" si="12"/>
        <v>71</v>
      </c>
      <c r="O147" s="27">
        <v>16</v>
      </c>
      <c r="P147" s="53"/>
      <c r="Q147" s="53"/>
      <c r="W147" s="441"/>
      <c r="X147" s="239"/>
      <c r="Y147" s="228" t="s">
        <v>218</v>
      </c>
      <c r="Z147" s="228">
        <v>1740</v>
      </c>
      <c r="AA147" s="228">
        <v>0</v>
      </c>
      <c r="AB147" s="228">
        <v>11553</v>
      </c>
      <c r="AC147" s="228">
        <v>12256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18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2"/>
        <v>0</v>
      </c>
      <c r="O148" s="27">
        <v>0</v>
      </c>
      <c r="P148" s="27"/>
      <c r="Q148" s="27"/>
      <c r="W148" s="442" t="s">
        <v>173</v>
      </c>
      <c r="X148" s="240"/>
      <c r="Y148" s="229" t="s">
        <v>214</v>
      </c>
      <c r="Z148" s="254">
        <f>(D127+D130)/(D126+D129)</f>
        <v>6.1705989110707807E-2</v>
      </c>
      <c r="AA148" s="254">
        <f>(B127+C127+E127+B130+C130+E130)/(B126+C126+E126+B129+C129+E129)</f>
        <v>2.7692307692307693E-2</v>
      </c>
      <c r="AB148" s="254">
        <f>(F127+G127+H127+J127+K127+F130+G130+H130+J130+K130)/(F126+G126+H126+J126+K126+F129+G129+H129+J129+K129)</f>
        <v>0.1781150159744409</v>
      </c>
      <c r="AC148" s="254">
        <f>(L127+M127+O127+L130+M130+O130)/(L126+M126+O126+L129+M129+O129)</f>
        <v>0.9664902998236331</v>
      </c>
      <c r="AD148" s="254">
        <f>(L127+M127+O127+P127+Q127+L130+M130+O130+P130+Q130)/(L126+M126+O126+P126+Q126+L129+M129+O129+P129+Q129)</f>
        <v>0.9664902998236331</v>
      </c>
    </row>
    <row r="149" spans="1:30" x14ac:dyDescent="0.2">
      <c r="A149" s="71" t="s">
        <v>37</v>
      </c>
      <c r="B149" s="26">
        <v>5</v>
      </c>
      <c r="C149" s="26">
        <v>10</v>
      </c>
      <c r="D149" s="54">
        <v>157</v>
      </c>
      <c r="E149" s="27">
        <v>31</v>
      </c>
      <c r="F149" s="26">
        <v>72</v>
      </c>
      <c r="G149" s="25">
        <v>30</v>
      </c>
      <c r="H149" s="26">
        <v>17</v>
      </c>
      <c r="I149" s="18">
        <f t="shared" si="18"/>
        <v>150</v>
      </c>
      <c r="J149" s="27">
        <v>29</v>
      </c>
      <c r="K149" s="27">
        <v>28</v>
      </c>
      <c r="L149" s="27">
        <v>52</v>
      </c>
      <c r="M149" s="27">
        <v>22</v>
      </c>
      <c r="N149" s="18">
        <f t="shared" si="12"/>
        <v>131</v>
      </c>
      <c r="O149" s="27">
        <v>39</v>
      </c>
      <c r="P149" s="27"/>
      <c r="Q149" s="27"/>
      <c r="W149" s="442"/>
      <c r="X149" s="240"/>
      <c r="Y149" s="229" t="s">
        <v>215</v>
      </c>
      <c r="Z149" s="255">
        <f>(D127+D130)</f>
        <v>34</v>
      </c>
      <c r="AA149" s="255">
        <f>(B127+C127+E127+B130+C130+E130)</f>
        <v>9</v>
      </c>
      <c r="AB149" s="255">
        <f>F127+G127+H127+J127+K127+F130+G130+H130+J130+K130</f>
        <v>223</v>
      </c>
      <c r="AC149" s="255">
        <f>L127+M127+O127+L130+M130+O130</f>
        <v>548</v>
      </c>
      <c r="AD149" s="255">
        <f>(L127+M127+O127+P127+Q127+L130+M130+O130+P130+Q130)</f>
        <v>548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18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2"/>
        <v>0</v>
      </c>
      <c r="O150" s="27">
        <v>0</v>
      </c>
      <c r="P150" s="27"/>
      <c r="Q150" s="27"/>
      <c r="W150" s="442"/>
      <c r="X150" s="240"/>
      <c r="Y150" s="229" t="s">
        <v>216</v>
      </c>
      <c r="Z150" s="255">
        <f>D126+D129</f>
        <v>551</v>
      </c>
      <c r="AA150" s="255">
        <f>(B126+C126+E126+B129+C129+E129)</f>
        <v>325</v>
      </c>
      <c r="AB150" s="255">
        <f>F126+G126+H126+J126+K126+F129+G129+H129+J129+K129</f>
        <v>1252</v>
      </c>
      <c r="AC150" s="255">
        <f>(L126+M126+O126+L129+M129+O129)</f>
        <v>567</v>
      </c>
      <c r="AD150" s="255">
        <f>(L126+M126+O126+P126+Q126+L129+M129+O129+P129+Q129)</f>
        <v>567</v>
      </c>
    </row>
    <row r="151" spans="1:30" x14ac:dyDescent="0.2">
      <c r="A151" s="71" t="s">
        <v>39</v>
      </c>
      <c r="B151" s="26">
        <v>148</v>
      </c>
      <c r="C151" s="26">
        <v>77</v>
      </c>
      <c r="D151" s="54">
        <v>707</v>
      </c>
      <c r="E151" s="27">
        <v>296</v>
      </c>
      <c r="F151" s="26">
        <v>427</v>
      </c>
      <c r="G151" s="25">
        <v>192</v>
      </c>
      <c r="H151" s="26">
        <v>170</v>
      </c>
      <c r="I151" s="18">
        <f t="shared" si="18"/>
        <v>1085</v>
      </c>
      <c r="J151" s="27">
        <v>165</v>
      </c>
      <c r="K151" s="27">
        <v>196</v>
      </c>
      <c r="L151" s="27">
        <v>273</v>
      </c>
      <c r="M151" s="27">
        <v>351</v>
      </c>
      <c r="N151" s="18">
        <f t="shared" si="12"/>
        <v>985</v>
      </c>
      <c r="O151" s="27">
        <v>153</v>
      </c>
      <c r="P151" s="27"/>
      <c r="Q151" s="27"/>
      <c r="W151" s="423" t="s">
        <v>174</v>
      </c>
      <c r="X151" s="241"/>
      <c r="Y151" s="230" t="s">
        <v>220</v>
      </c>
      <c r="Z151" s="256">
        <f>D144</f>
        <v>156</v>
      </c>
      <c r="AA151" s="256">
        <f>B144+C144+E144</f>
        <v>46</v>
      </c>
      <c r="AB151" s="256">
        <f>F144+G144+H144+J144+K144</f>
        <v>183</v>
      </c>
      <c r="AC151" s="256">
        <f>L144+M144+O144</f>
        <v>74</v>
      </c>
      <c r="AD151" s="256">
        <f>L144+M144+O144+P144+Q144</f>
        <v>74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18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2"/>
        <v>0</v>
      </c>
      <c r="O152" s="27">
        <v>0</v>
      </c>
      <c r="P152" s="27"/>
      <c r="Q152" s="27"/>
      <c r="W152" s="423"/>
      <c r="X152" s="241"/>
      <c r="Y152" s="230" t="s">
        <v>221</v>
      </c>
      <c r="Z152" s="260">
        <f>Z151/12</f>
        <v>13</v>
      </c>
      <c r="AA152" s="260">
        <f>AA151/5</f>
        <v>9.1999999999999993</v>
      </c>
      <c r="AB152" s="260">
        <f>AB151/15</f>
        <v>12.2</v>
      </c>
      <c r="AC152" s="260">
        <f>AC151/9</f>
        <v>8.2222222222222214</v>
      </c>
      <c r="AD152" s="230"/>
    </row>
    <row r="153" spans="1:30" x14ac:dyDescent="0.2">
      <c r="A153" s="71" t="s">
        <v>41</v>
      </c>
      <c r="B153" s="26">
        <v>0</v>
      </c>
      <c r="C153" s="189">
        <v>0</v>
      </c>
      <c r="D153" s="54">
        <v>0</v>
      </c>
      <c r="E153" s="27">
        <v>0</v>
      </c>
      <c r="F153" s="26">
        <v>0</v>
      </c>
      <c r="G153" s="25">
        <v>0</v>
      </c>
      <c r="H153" s="26">
        <v>0</v>
      </c>
      <c r="I153" s="18">
        <f t="shared" si="18"/>
        <v>0</v>
      </c>
      <c r="J153" s="27">
        <v>0</v>
      </c>
      <c r="K153" s="53">
        <v>0</v>
      </c>
      <c r="L153" s="53">
        <v>0</v>
      </c>
      <c r="M153" s="53">
        <v>214</v>
      </c>
      <c r="N153" s="18">
        <f t="shared" si="12"/>
        <v>214</v>
      </c>
      <c r="O153" s="27">
        <v>0</v>
      </c>
      <c r="P153" s="53"/>
      <c r="Q153" s="53"/>
      <c r="W153" s="446" t="s">
        <v>175</v>
      </c>
      <c r="X153" s="242"/>
      <c r="Y153" s="231" t="s">
        <v>178</v>
      </c>
      <c r="Z153" s="261">
        <f>D128+D131</f>
        <v>117</v>
      </c>
      <c r="AA153" s="261">
        <f>B128+C128+E128+B131+C131+E131</f>
        <v>46</v>
      </c>
      <c r="AB153" s="261">
        <f>F128+G128+H128+J128+K128+F131+G131+H131+J131+K131</f>
        <v>175</v>
      </c>
      <c r="AC153" s="261">
        <f>L128+M128+O128+L131+M131+O131</f>
        <v>111</v>
      </c>
      <c r="AD153" s="261">
        <f>L128+M128+O128+P128+Q128+L131+M131+O131+P131+Q131</f>
        <v>111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18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2"/>
        <v>0</v>
      </c>
      <c r="O154" s="27">
        <v>0</v>
      </c>
      <c r="P154" s="26"/>
      <c r="Q154" s="26"/>
      <c r="W154" s="446"/>
      <c r="X154" s="242"/>
      <c r="Y154" s="231" t="s">
        <v>222</v>
      </c>
      <c r="Z154" s="262">
        <f>Z153/12</f>
        <v>9.75</v>
      </c>
      <c r="AA154" s="262">
        <f>AA153/5</f>
        <v>9.1999999999999993</v>
      </c>
      <c r="AB154" s="262">
        <f>AB153/15</f>
        <v>11.666666666666666</v>
      </c>
      <c r="AC154" s="262">
        <f>AC153/9</f>
        <v>12.333333333333334</v>
      </c>
      <c r="AD154" s="242"/>
    </row>
    <row r="155" spans="1:30" x14ac:dyDescent="0.2">
      <c r="A155" s="71" t="s">
        <v>43</v>
      </c>
      <c r="B155" s="26">
        <v>153</v>
      </c>
      <c r="C155" s="26">
        <v>87</v>
      </c>
      <c r="D155" s="54">
        <v>864</v>
      </c>
      <c r="E155" s="27">
        <v>327</v>
      </c>
      <c r="F155" s="26">
        <v>499</v>
      </c>
      <c r="G155" s="25">
        <v>222</v>
      </c>
      <c r="H155" s="26">
        <v>187</v>
      </c>
      <c r="I155" s="18">
        <f t="shared" si="18"/>
        <v>1235</v>
      </c>
      <c r="J155" s="27">
        <v>194</v>
      </c>
      <c r="K155" s="26">
        <v>224</v>
      </c>
      <c r="L155" s="26">
        <v>325</v>
      </c>
      <c r="M155" s="26">
        <v>373</v>
      </c>
      <c r="N155" s="18">
        <f t="shared" si="12"/>
        <v>1116</v>
      </c>
      <c r="O155" s="27">
        <v>192</v>
      </c>
      <c r="P155" s="26"/>
      <c r="Q155" s="26"/>
      <c r="W155" s="446"/>
      <c r="X155" s="242"/>
      <c r="Y155" s="231" t="s">
        <v>179</v>
      </c>
      <c r="Z155" s="261">
        <f>D148+D149</f>
        <v>157</v>
      </c>
      <c r="AA155" s="261">
        <f>B148+C148+E148+B149+C149+E149</f>
        <v>46</v>
      </c>
      <c r="AB155" s="261">
        <f>F148+G148+H148+J148+K148+F149+G149+H149+J149+K149</f>
        <v>176</v>
      </c>
      <c r="AC155" s="261">
        <f>L148+M148+O148+L149+M149+O149</f>
        <v>113</v>
      </c>
      <c r="AD155" s="261">
        <f>L148+M148+O148+P148+Q148+L149+M149+O149+P149+Q149</f>
        <v>113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18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2"/>
        <v>0</v>
      </c>
      <c r="O156" s="48">
        <v>0</v>
      </c>
      <c r="P156" s="77"/>
      <c r="Q156" s="77"/>
      <c r="W156" s="446"/>
      <c r="X156" s="242"/>
      <c r="Y156" s="231" t="s">
        <v>223</v>
      </c>
      <c r="Z156" s="261">
        <f>Z155/12</f>
        <v>13.083333333333334</v>
      </c>
      <c r="AA156" s="261">
        <f>AA155/5</f>
        <v>9.1999999999999993</v>
      </c>
      <c r="AB156" s="261">
        <f>AB155/15</f>
        <v>11.733333333333333</v>
      </c>
      <c r="AC156" s="261">
        <f>AC155/9</f>
        <v>12.555555555555555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v>0</v>
      </c>
      <c r="N157" s="42">
        <f>SUM(M157)</f>
        <v>0</v>
      </c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237</v>
      </c>
      <c r="AA157" s="263" t="s">
        <v>277</v>
      </c>
      <c r="AB157" s="264" t="s">
        <v>239</v>
      </c>
      <c r="AC157" s="263" t="s">
        <v>275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91</v>
      </c>
      <c r="N158" s="18">
        <f t="shared" ref="N158:N172" si="21">SUM(M158)</f>
        <v>91</v>
      </c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286</v>
      </c>
      <c r="AA158" s="265" t="s">
        <v>288</v>
      </c>
      <c r="AB158" s="265" t="s">
        <v>284</v>
      </c>
      <c r="AC158" s="265" t="s">
        <v>273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1</v>
      </c>
      <c r="N159" s="18">
        <f t="shared" si="21"/>
        <v>1</v>
      </c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1</v>
      </c>
      <c r="N160" s="18">
        <f t="shared" si="21"/>
        <v>1</v>
      </c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0</v>
      </c>
      <c r="N161" s="18">
        <f t="shared" si="21"/>
        <v>0</v>
      </c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4</v>
      </c>
      <c r="N162" s="18">
        <f t="shared" si="21"/>
        <v>4</v>
      </c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1</v>
      </c>
      <c r="N163" s="18">
        <f t="shared" si="21"/>
        <v>1</v>
      </c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9</v>
      </c>
      <c r="N164" s="18">
        <f t="shared" si="21"/>
        <v>9</v>
      </c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1</v>
      </c>
      <c r="N165" s="18">
        <f t="shared" si="21"/>
        <v>1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11</v>
      </c>
      <c r="N166" s="18">
        <f t="shared" si="21"/>
        <v>11</v>
      </c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8">
        <f t="shared" si="21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5</v>
      </c>
      <c r="N168" s="18">
        <f t="shared" si="21"/>
        <v>5</v>
      </c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75</v>
      </c>
      <c r="N169" s="18">
        <f t="shared" si="21"/>
        <v>75</v>
      </c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8">
        <f t="shared" si="21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80</v>
      </c>
      <c r="N171" s="18">
        <f t="shared" si="21"/>
        <v>80</v>
      </c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38">
        <f t="shared" si="21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48:W150"/>
    <mergeCell ref="W151:W152"/>
    <mergeCell ref="W153:W156"/>
    <mergeCell ref="X14:X16"/>
    <mergeCell ref="X17:X19"/>
    <mergeCell ref="W20:W31"/>
    <mergeCell ref="X20:X23"/>
    <mergeCell ref="X24:X27"/>
    <mergeCell ref="X28:X31"/>
    <mergeCell ref="W11:W19"/>
    <mergeCell ref="X11:X13"/>
    <mergeCell ref="W32:W40"/>
    <mergeCell ref="X32:X34"/>
    <mergeCell ref="X35:X37"/>
    <mergeCell ref="X38:X40"/>
    <mergeCell ref="W41:W43"/>
    <mergeCell ref="W1:Y1"/>
    <mergeCell ref="W2:W10"/>
    <mergeCell ref="X2:X4"/>
    <mergeCell ref="X5:X7"/>
    <mergeCell ref="X8:X10"/>
    <mergeCell ref="W44:W47"/>
    <mergeCell ref="W81:Y81"/>
    <mergeCell ref="W82:W83"/>
    <mergeCell ref="W84:W86"/>
    <mergeCell ref="W87:W89"/>
    <mergeCell ref="W139:Y139"/>
    <mergeCell ref="W140:W141"/>
    <mergeCell ref="W142:W144"/>
    <mergeCell ref="W145:W147"/>
    <mergeCell ref="W90:W92"/>
    <mergeCell ref="W93:W94"/>
    <mergeCell ref="W95:W98"/>
    <mergeCell ref="W109:W112"/>
    <mergeCell ref="W115:W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F4B-E120-43FE-A2DC-96B32F6749DB}">
  <dimension ref="A1:AD173"/>
  <sheetViews>
    <sheetView zoomScale="73" workbookViewId="0">
      <selection activeCell="A13" sqref="A13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4" width="7.83203125" customWidth="1"/>
    <col min="15" max="15" width="25.6640625" customWidth="1"/>
    <col min="18" max="21" width="35.1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163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1" t="s">
        <v>163</v>
      </c>
      <c r="X1" s="481"/>
      <c r="Y1" s="481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762</v>
      </c>
      <c r="C2" s="12">
        <v>963</v>
      </c>
      <c r="D2" s="14">
        <v>11788</v>
      </c>
      <c r="E2" s="15">
        <v>2985</v>
      </c>
      <c r="F2" s="13">
        <v>3566</v>
      </c>
      <c r="G2" s="16">
        <v>3180</v>
      </c>
      <c r="H2" s="17">
        <v>3550</v>
      </c>
      <c r="I2" s="18">
        <f>E2+F2+G2+H2</f>
        <v>13281</v>
      </c>
      <c r="J2" s="19">
        <v>3892</v>
      </c>
      <c r="K2" s="20">
        <v>3253</v>
      </c>
      <c r="L2" s="21">
        <v>4653</v>
      </c>
      <c r="M2" s="20">
        <v>3619</v>
      </c>
      <c r="N2" s="18">
        <f t="shared" ref="N2:N40" si="0">SUM(J2:M2)</f>
        <v>15417</v>
      </c>
      <c r="O2" s="19">
        <v>2227</v>
      </c>
      <c r="P2" s="20"/>
      <c r="Q2" s="21"/>
      <c r="W2" s="387" t="s">
        <v>51</v>
      </c>
      <c r="X2" s="387" t="s">
        <v>226</v>
      </c>
      <c r="Y2" s="243" t="s">
        <v>188</v>
      </c>
      <c r="Z2" s="247">
        <f>((D12+D15)/(D10+D13))*1000</f>
        <v>241.81904193833685</v>
      </c>
      <c r="AA2" s="247">
        <f>((B12+C12+E12+B15+C15+E15)/(B10+C10+E10+B13+C13+E13))*1000</f>
        <v>205.29641599536924</v>
      </c>
      <c r="AB2" s="247">
        <f>((F12+G12+H12+J12+K12+F15+G15+H15+J15+K15)/(F10+G10+H10+J10+K10+F13+G13+H13+J13+K13))*1000</f>
        <v>202.26186097830083</v>
      </c>
      <c r="AC2" s="247">
        <f>((L12+M12+O12+L15+M15+O15)/(L10+M10+O10+L13+M13+O13))*1000</f>
        <v>193.9208471012316</v>
      </c>
      <c r="AD2" s="247">
        <f>((L12+M12+O12+P12+Q12+L15+M15+O15+P15+Q15)/(L10+M10+O10+P10+Q10+L13+M13+O13+P13+Q13))*1000</f>
        <v>193.9208471012316</v>
      </c>
    </row>
    <row r="3" spans="1:30" x14ac:dyDescent="0.2">
      <c r="A3" s="22" t="s">
        <v>10</v>
      </c>
      <c r="B3" s="12">
        <v>122</v>
      </c>
      <c r="C3" s="12">
        <v>116</v>
      </c>
      <c r="D3" s="23">
        <v>1604</v>
      </c>
      <c r="E3" s="24">
        <v>340</v>
      </c>
      <c r="F3" s="12">
        <v>331</v>
      </c>
      <c r="G3" s="25">
        <v>508</v>
      </c>
      <c r="H3" s="26">
        <v>292</v>
      </c>
      <c r="I3" s="18">
        <f t="shared" ref="I3:I40" si="1">E3+F3+G3+H3</f>
        <v>1471</v>
      </c>
      <c r="J3" s="27">
        <v>376</v>
      </c>
      <c r="K3" s="26">
        <v>306</v>
      </c>
      <c r="L3" s="28">
        <v>550</v>
      </c>
      <c r="M3" s="26">
        <v>450</v>
      </c>
      <c r="N3" s="18">
        <f t="shared" si="0"/>
        <v>1682</v>
      </c>
      <c r="O3" s="27">
        <v>176</v>
      </c>
      <c r="P3" s="26"/>
      <c r="Q3" s="28"/>
      <c r="W3" s="388"/>
      <c r="X3" s="388"/>
      <c r="Y3" s="217" t="s">
        <v>229</v>
      </c>
      <c r="Z3" s="236">
        <f>D12+D15</f>
        <v>11757</v>
      </c>
      <c r="AA3" s="236">
        <f>B12+C12+E12+B15+C15+E15</f>
        <v>4256</v>
      </c>
      <c r="AB3" s="236">
        <f>F12+G12+H12+J12+K12+F15+G15+H15+J15+K15</f>
        <v>10999</v>
      </c>
      <c r="AC3" s="236">
        <f>L12+M12+O12+L15+M15+O15</f>
        <v>10329</v>
      </c>
      <c r="AD3" s="236">
        <f>L12+M12+O12+P12+Q12+L15+M15+O15+P15+Q15</f>
        <v>10329</v>
      </c>
    </row>
    <row r="4" spans="1:30" x14ac:dyDescent="0.2">
      <c r="A4" s="22" t="s">
        <v>13</v>
      </c>
      <c r="B4" s="12">
        <v>2368</v>
      </c>
      <c r="C4" s="12">
        <v>2125</v>
      </c>
      <c r="D4" s="23">
        <v>28156</v>
      </c>
      <c r="E4" s="24">
        <v>7245</v>
      </c>
      <c r="F4" s="12">
        <v>7657</v>
      </c>
      <c r="G4" s="25">
        <v>8727</v>
      </c>
      <c r="H4" s="26">
        <v>6947</v>
      </c>
      <c r="I4" s="18">
        <f t="shared" si="1"/>
        <v>30576</v>
      </c>
      <c r="J4" s="27">
        <v>7105</v>
      </c>
      <c r="K4" s="26">
        <v>7518</v>
      </c>
      <c r="L4" s="28">
        <v>10430</v>
      </c>
      <c r="M4" s="26">
        <v>8398</v>
      </c>
      <c r="N4" s="18">
        <f t="shared" si="0"/>
        <v>33451</v>
      </c>
      <c r="O4" s="27">
        <v>5208</v>
      </c>
      <c r="P4" s="26"/>
      <c r="Q4" s="28"/>
      <c r="W4" s="388"/>
      <c r="X4" s="389"/>
      <c r="Y4" s="217" t="s">
        <v>216</v>
      </c>
      <c r="Z4" s="236">
        <f>D10+D13</f>
        <v>48619</v>
      </c>
      <c r="AA4" s="236">
        <f>(B10+C10+E10+B13+C13+E13)</f>
        <v>20731</v>
      </c>
      <c r="AB4" s="236">
        <f>F10+G10+H10+J10+K10+F13+G13+H13+J13+K13</f>
        <v>54380</v>
      </c>
      <c r="AC4" s="236">
        <f>L10+M10+O10+L13+M13+O13</f>
        <v>53264</v>
      </c>
      <c r="AD4" s="236">
        <f>L10+M10+O10+P10+Q10+L13+M13+O13+P13+Q13</f>
        <v>53264</v>
      </c>
    </row>
    <row r="5" spans="1:30" x14ac:dyDescent="0.2">
      <c r="A5" s="22" t="s">
        <v>9</v>
      </c>
      <c r="B5" s="12">
        <v>255</v>
      </c>
      <c r="C5" s="12">
        <v>249</v>
      </c>
      <c r="D5" s="23">
        <v>5800</v>
      </c>
      <c r="E5" s="24">
        <v>739</v>
      </c>
      <c r="F5" s="12">
        <v>761</v>
      </c>
      <c r="G5" s="25">
        <v>1279</v>
      </c>
      <c r="H5" s="26">
        <v>607</v>
      </c>
      <c r="I5" s="18">
        <f t="shared" si="1"/>
        <v>3386</v>
      </c>
      <c r="J5" s="27">
        <v>689</v>
      </c>
      <c r="K5" s="26">
        <v>512</v>
      </c>
      <c r="L5" s="28">
        <v>849</v>
      </c>
      <c r="M5" s="26">
        <v>500</v>
      </c>
      <c r="N5" s="18">
        <f t="shared" si="0"/>
        <v>2550</v>
      </c>
      <c r="O5" s="27">
        <v>402</v>
      </c>
      <c r="P5" s="26"/>
      <c r="Q5" s="28"/>
      <c r="W5" s="388"/>
      <c r="X5" s="387" t="s">
        <v>227</v>
      </c>
      <c r="Y5" s="217" t="s">
        <v>188</v>
      </c>
      <c r="Z5" s="247">
        <f>(D12/D10)*1000</f>
        <v>133.7117628508357</v>
      </c>
      <c r="AA5" s="247">
        <f>((B12+C12+E12)/(B10+C10+E10))*1000</f>
        <v>114.69579575765273</v>
      </c>
      <c r="AB5" s="247">
        <f>((F12+G12+H12+J12+K12)/(F10+G10+H10+J10+K10))*1000</f>
        <v>149.43085492855411</v>
      </c>
      <c r="AC5" s="247">
        <f>((L12+M12+O12)/(L10+M10+O10))*1000</f>
        <v>172.50298448070038</v>
      </c>
      <c r="AD5" s="247">
        <f>((L12+M12+O12+P12+Q12)/(L10+M10+O10+P10+Q10))*1000</f>
        <v>172.50298448070038</v>
      </c>
    </row>
    <row r="6" spans="1:30" x14ac:dyDescent="0.2">
      <c r="A6" s="22" t="s">
        <v>11</v>
      </c>
      <c r="B6" s="12">
        <v>468</v>
      </c>
      <c r="C6" s="12">
        <v>346</v>
      </c>
      <c r="D6" s="23">
        <v>8230</v>
      </c>
      <c r="E6" s="24">
        <v>1381</v>
      </c>
      <c r="F6" s="12">
        <v>1378</v>
      </c>
      <c r="G6" s="25">
        <v>817</v>
      </c>
      <c r="H6" s="26">
        <v>407</v>
      </c>
      <c r="I6" s="18">
        <f t="shared" si="1"/>
        <v>3983</v>
      </c>
      <c r="J6" s="27">
        <v>858</v>
      </c>
      <c r="K6" s="26">
        <v>904</v>
      </c>
      <c r="L6" s="28">
        <v>1719</v>
      </c>
      <c r="M6" s="26">
        <v>1991</v>
      </c>
      <c r="N6" s="18">
        <f t="shared" si="0"/>
        <v>5472</v>
      </c>
      <c r="O6" s="27">
        <v>1471</v>
      </c>
      <c r="P6" s="26"/>
      <c r="Q6" s="28"/>
      <c r="W6" s="388"/>
      <c r="X6" s="388"/>
      <c r="Y6" s="217" t="s">
        <v>229</v>
      </c>
      <c r="Z6" s="236">
        <f>D12</f>
        <v>2120</v>
      </c>
      <c r="AA6" s="236">
        <f>B12+C12+E12</f>
        <v>903</v>
      </c>
      <c r="AB6" s="236">
        <f>F12+G12+H12+J12+K12</f>
        <v>2468</v>
      </c>
      <c r="AC6" s="236">
        <f>L12+M12+O12</f>
        <v>2601</v>
      </c>
      <c r="AD6" s="236">
        <f>L12+M12+O12+P12+Q12</f>
        <v>2601</v>
      </c>
    </row>
    <row r="7" spans="1:30" x14ac:dyDescent="0.2">
      <c r="A7" s="11" t="s">
        <v>7</v>
      </c>
      <c r="B7" s="12">
        <v>23</v>
      </c>
      <c r="C7" s="12">
        <v>37</v>
      </c>
      <c r="D7" s="23">
        <v>1292</v>
      </c>
      <c r="E7" s="24">
        <v>101</v>
      </c>
      <c r="F7" s="12">
        <v>112</v>
      </c>
      <c r="G7" s="25">
        <v>40</v>
      </c>
      <c r="H7" s="26">
        <v>28</v>
      </c>
      <c r="I7" s="18">
        <f t="shared" si="1"/>
        <v>281</v>
      </c>
      <c r="J7" s="27">
        <v>70</v>
      </c>
      <c r="K7" s="26">
        <v>149</v>
      </c>
      <c r="L7" s="28">
        <v>478</v>
      </c>
      <c r="M7" s="26">
        <v>554</v>
      </c>
      <c r="N7" s="18">
        <f t="shared" si="0"/>
        <v>1251</v>
      </c>
      <c r="O7" s="27">
        <v>289</v>
      </c>
      <c r="P7" s="26"/>
      <c r="Q7" s="28"/>
      <c r="W7" s="388"/>
      <c r="X7" s="389"/>
      <c r="Y7" s="217" t="s">
        <v>216</v>
      </c>
      <c r="Z7" s="236">
        <f>D10</f>
        <v>15855</v>
      </c>
      <c r="AA7" s="236">
        <f>B10+C10+E10</f>
        <v>7873</v>
      </c>
      <c r="AB7" s="236">
        <f>F10+G10+H10+J10+K10</f>
        <v>16516</v>
      </c>
      <c r="AC7" s="236">
        <f>L10+M10+O10</f>
        <v>15078</v>
      </c>
      <c r="AD7" s="236">
        <f>L10+M10+O10+P10+Q10</f>
        <v>15078</v>
      </c>
    </row>
    <row r="8" spans="1:30" x14ac:dyDescent="0.2">
      <c r="A8" s="22" t="s">
        <v>12</v>
      </c>
      <c r="B8" s="12">
        <v>1460</v>
      </c>
      <c r="C8" s="12">
        <v>1185</v>
      </c>
      <c r="D8" s="23">
        <v>16643</v>
      </c>
      <c r="E8" s="24">
        <v>4573</v>
      </c>
      <c r="F8" s="12">
        <v>5295</v>
      </c>
      <c r="G8" s="25">
        <v>4478</v>
      </c>
      <c r="H8" s="26">
        <v>1484</v>
      </c>
      <c r="I8" s="18">
        <f t="shared" si="1"/>
        <v>15830</v>
      </c>
      <c r="J8" s="27">
        <v>1920</v>
      </c>
      <c r="K8" s="26">
        <v>4060</v>
      </c>
      <c r="L8" s="28">
        <v>5176</v>
      </c>
      <c r="M8" s="26">
        <v>5777</v>
      </c>
      <c r="N8" s="18">
        <f t="shared" si="0"/>
        <v>16933</v>
      </c>
      <c r="O8" s="27">
        <v>4032</v>
      </c>
      <c r="P8" s="49"/>
      <c r="Q8" s="37"/>
      <c r="W8" s="388"/>
      <c r="X8" s="387" t="s">
        <v>228</v>
      </c>
      <c r="Y8" s="217" t="s">
        <v>188</v>
      </c>
      <c r="Z8" s="247">
        <f>(D15/D13)*1000</f>
        <v>294.13380539616651</v>
      </c>
      <c r="AA8" s="247">
        <f>((B15+C15+E15)/(B13+C13+E13))*1000</f>
        <v>260.77150412194743</v>
      </c>
      <c r="AB8" s="247">
        <f>((F15+G15+H15+J15+K15)/(F13+G13+H13+J13+K13))*1000</f>
        <v>225.30635960278894</v>
      </c>
      <c r="AC8" s="247">
        <f>((L15+M15+O15)/(L13+M13+O13))*1000</f>
        <v>202.37783480856859</v>
      </c>
      <c r="AD8" s="247">
        <f>((L15+M15+O15+P15+Q15)/(L13+M13+O13+P13+Q13))*1000</f>
        <v>202.37783480856859</v>
      </c>
    </row>
    <row r="9" spans="1:30" ht="16" thickBot="1" x14ac:dyDescent="0.25">
      <c r="A9" s="22" t="s">
        <v>8</v>
      </c>
      <c r="B9" s="30">
        <v>97</v>
      </c>
      <c r="C9" s="30">
        <v>94</v>
      </c>
      <c r="D9" s="31">
        <v>2222</v>
      </c>
      <c r="E9" s="32">
        <v>543</v>
      </c>
      <c r="F9" s="30">
        <v>383</v>
      </c>
      <c r="G9" s="33">
        <v>338</v>
      </c>
      <c r="H9" s="34">
        <v>207</v>
      </c>
      <c r="I9" s="18">
        <f t="shared" si="1"/>
        <v>1471</v>
      </c>
      <c r="J9" s="35">
        <v>461</v>
      </c>
      <c r="K9" s="36">
        <v>908</v>
      </c>
      <c r="L9" s="37">
        <v>1570</v>
      </c>
      <c r="M9" s="36">
        <v>1854</v>
      </c>
      <c r="N9" s="38">
        <f t="shared" si="0"/>
        <v>4793</v>
      </c>
      <c r="O9" s="182">
        <v>1393</v>
      </c>
      <c r="P9" s="49"/>
      <c r="Q9" s="37"/>
      <c r="W9" s="388"/>
      <c r="X9" s="388"/>
      <c r="Y9" s="217" t="s">
        <v>229</v>
      </c>
      <c r="Z9" s="236">
        <f>D15</f>
        <v>9637</v>
      </c>
      <c r="AA9" s="236">
        <f>B15+C15+E15</f>
        <v>3353</v>
      </c>
      <c r="AB9" s="236">
        <f>F15+G15+H15+J15+K15</f>
        <v>8531</v>
      </c>
      <c r="AC9" s="236">
        <f>L15+M15+O15</f>
        <v>7728</v>
      </c>
      <c r="AD9" s="236">
        <f>L15+M15+O15+P15+Q15</f>
        <v>7728</v>
      </c>
    </row>
    <row r="10" spans="1:30" ht="16" thickTop="1" x14ac:dyDescent="0.2">
      <c r="A10" s="177" t="s">
        <v>19</v>
      </c>
      <c r="B10" s="13">
        <v>3657</v>
      </c>
      <c r="C10" s="13">
        <v>1096</v>
      </c>
      <c r="D10" s="14">
        <v>15855</v>
      </c>
      <c r="E10" s="40">
        <v>3120</v>
      </c>
      <c r="F10" s="13">
        <v>3483</v>
      </c>
      <c r="G10" s="41">
        <v>2790</v>
      </c>
      <c r="H10" s="20">
        <v>3112</v>
      </c>
      <c r="I10" s="42">
        <f t="shared" si="1"/>
        <v>12505</v>
      </c>
      <c r="J10" s="43">
        <v>3948</v>
      </c>
      <c r="K10" s="17">
        <v>3183</v>
      </c>
      <c r="L10" s="44">
        <v>6025</v>
      </c>
      <c r="M10" s="17">
        <v>5211</v>
      </c>
      <c r="N10" s="18">
        <f t="shared" si="0"/>
        <v>18367</v>
      </c>
      <c r="O10" s="43">
        <v>3842</v>
      </c>
      <c r="P10" s="17"/>
      <c r="Q10" s="44"/>
      <c r="W10" s="389"/>
      <c r="X10" s="389"/>
      <c r="Y10" s="217" t="s">
        <v>216</v>
      </c>
      <c r="Z10" s="236">
        <f>D13</f>
        <v>32764</v>
      </c>
      <c r="AA10" s="236">
        <f>B13+C13+E13</f>
        <v>12858</v>
      </c>
      <c r="AB10" s="236">
        <f>F13+G13+H13+J13+K13</f>
        <v>37864</v>
      </c>
      <c r="AC10" s="236">
        <f>L13+M13+O13</f>
        <v>38186</v>
      </c>
      <c r="AD10" s="236">
        <f>L13+M13+O13+P13+Q13</f>
        <v>38186</v>
      </c>
    </row>
    <row r="11" spans="1:30" x14ac:dyDescent="0.2">
      <c r="A11" s="45" t="s">
        <v>16</v>
      </c>
      <c r="B11" s="12">
        <v>3452</v>
      </c>
      <c r="C11" s="12">
        <v>973</v>
      </c>
      <c r="D11" s="23">
        <v>15113</v>
      </c>
      <c r="E11" s="24">
        <v>2895</v>
      </c>
      <c r="F11" s="12">
        <v>3185</v>
      </c>
      <c r="G11" s="25">
        <v>2611</v>
      </c>
      <c r="H11" s="26">
        <v>3032</v>
      </c>
      <c r="I11" s="18">
        <f t="shared" si="1"/>
        <v>11723</v>
      </c>
      <c r="J11" s="27">
        <v>3735</v>
      </c>
      <c r="K11" s="26">
        <v>3102</v>
      </c>
      <c r="L11" s="28">
        <v>5775</v>
      </c>
      <c r="M11" s="26">
        <v>4995</v>
      </c>
      <c r="N11" s="18">
        <f t="shared" si="0"/>
        <v>17607</v>
      </c>
      <c r="O11" s="27">
        <v>3799</v>
      </c>
      <c r="P11" s="26"/>
      <c r="Q11" s="28"/>
      <c r="W11" s="390" t="s">
        <v>46</v>
      </c>
      <c r="X11" s="390" t="s">
        <v>226</v>
      </c>
      <c r="Y11" s="244" t="s">
        <v>191</v>
      </c>
      <c r="Z11" s="245">
        <f>(D3+D7)/(D2+D6)</f>
        <v>0.14466979718253573</v>
      </c>
      <c r="AA11" s="245">
        <f>(B3+C3+E3+B7+C7+E7)/(B2+C2+E2+B6+C6+E6)</f>
        <v>0.10702389572773352</v>
      </c>
      <c r="AB11" s="245">
        <f>(F3+G3+H3+J3+K3+F7+G7+H7+J7+K7)/(F2+G2+H2+J2+K2+F6+G6+H6+J6+K6)</f>
        <v>0.10144462279293739</v>
      </c>
      <c r="AC11" s="245">
        <f>(L3+M3+O3+L7+M7+O7)/(L2+M2+O2+L6+M6+O6)</f>
        <v>0.15924744897959184</v>
      </c>
      <c r="AD11" s="245">
        <f>(L3+M3+O3+P3+Q3+L7+M7+O7+P7+Q7)/(L2+M2+O2+P2+Q2+L6+M6+O6+P6+Q6)</f>
        <v>0.15924744897959184</v>
      </c>
    </row>
    <row r="12" spans="1:30" x14ac:dyDescent="0.2">
      <c r="A12" s="177" t="s">
        <v>15</v>
      </c>
      <c r="B12" s="12">
        <v>175</v>
      </c>
      <c r="C12" s="12">
        <v>194</v>
      </c>
      <c r="D12" s="23">
        <v>2120</v>
      </c>
      <c r="E12" s="24">
        <v>534</v>
      </c>
      <c r="F12" s="12">
        <v>343</v>
      </c>
      <c r="G12" s="25">
        <v>529</v>
      </c>
      <c r="H12" s="26">
        <v>454</v>
      </c>
      <c r="I12" s="18">
        <f t="shared" si="1"/>
        <v>1860</v>
      </c>
      <c r="J12" s="27">
        <v>565</v>
      </c>
      <c r="K12" s="26">
        <v>577</v>
      </c>
      <c r="L12" s="28">
        <v>1027</v>
      </c>
      <c r="M12" s="26">
        <v>1015</v>
      </c>
      <c r="N12" s="18">
        <f t="shared" si="0"/>
        <v>3184</v>
      </c>
      <c r="O12" s="27">
        <v>559</v>
      </c>
      <c r="P12" s="26"/>
      <c r="Q12" s="28"/>
      <c r="W12" s="391"/>
      <c r="X12" s="391"/>
      <c r="Y12" s="218" t="s">
        <v>231</v>
      </c>
      <c r="Z12" s="246">
        <f>D3+D7</f>
        <v>2896</v>
      </c>
      <c r="AA12" s="246">
        <f>B3+C3+E3+B7+C7+E7</f>
        <v>739</v>
      </c>
      <c r="AB12" s="246">
        <f>F3+G3+H3+J3+K3+F7+G7+H7+J7+K7</f>
        <v>2212</v>
      </c>
      <c r="AC12" s="246">
        <f>L3+M3+O3+L7+M7+O7</f>
        <v>2497</v>
      </c>
      <c r="AD12" s="246">
        <f>L3+M3+O3+P3+Q3+L7+M7+O7+P7+Q7</f>
        <v>2497</v>
      </c>
    </row>
    <row r="13" spans="1:30" x14ac:dyDescent="0.2">
      <c r="A13" s="45" t="s">
        <v>20</v>
      </c>
      <c r="B13" s="12">
        <v>2404</v>
      </c>
      <c r="C13" s="12">
        <v>2563</v>
      </c>
      <c r="D13" s="23">
        <v>32764</v>
      </c>
      <c r="E13" s="24">
        <v>7891</v>
      </c>
      <c r="F13" s="12">
        <v>8707</v>
      </c>
      <c r="G13" s="25">
        <v>8245</v>
      </c>
      <c r="H13" s="26">
        <v>5135</v>
      </c>
      <c r="I13" s="18">
        <f t="shared" si="1"/>
        <v>29978</v>
      </c>
      <c r="J13" s="27">
        <v>7132</v>
      </c>
      <c r="K13" s="26">
        <v>8645</v>
      </c>
      <c r="L13" s="28">
        <v>15003</v>
      </c>
      <c r="M13" s="26">
        <v>14100</v>
      </c>
      <c r="N13" s="18">
        <f t="shared" si="0"/>
        <v>44880</v>
      </c>
      <c r="O13" s="27">
        <v>9083</v>
      </c>
      <c r="P13" s="26"/>
      <c r="Q13" s="28"/>
      <c r="W13" s="391"/>
      <c r="X13" s="392"/>
      <c r="Y13" s="218" t="s">
        <v>232</v>
      </c>
      <c r="Z13" s="246">
        <f>D2+D6</f>
        <v>20018</v>
      </c>
      <c r="AA13" s="246">
        <f>(B2+C2+E2+B6+C6+E6)</f>
        <v>6905</v>
      </c>
      <c r="AB13" s="246">
        <f>F2+G2+H2+J2+K2+F6+G6+H6+J6+K6</f>
        <v>21805</v>
      </c>
      <c r="AC13" s="246">
        <f>L2+M2+O2+L6+M6+O6</f>
        <v>15680</v>
      </c>
      <c r="AD13" s="246">
        <f>L2+M2+O2+P2+Q2+L6+M6+O6+P6+Q6</f>
        <v>15680</v>
      </c>
    </row>
    <row r="14" spans="1:30" x14ac:dyDescent="0.2">
      <c r="A14" s="45" t="s">
        <v>18</v>
      </c>
      <c r="B14" s="12">
        <v>597</v>
      </c>
      <c r="C14" s="12">
        <v>712</v>
      </c>
      <c r="D14" s="23">
        <v>14019</v>
      </c>
      <c r="E14" s="24">
        <v>1701</v>
      </c>
      <c r="F14" s="12">
        <v>1510</v>
      </c>
      <c r="G14" s="25">
        <v>2104</v>
      </c>
      <c r="H14" s="26">
        <v>2555</v>
      </c>
      <c r="I14" s="18">
        <f t="shared" si="1"/>
        <v>7870</v>
      </c>
      <c r="J14" s="27">
        <v>3780</v>
      </c>
      <c r="K14" s="26">
        <v>6746</v>
      </c>
      <c r="L14" s="28">
        <v>12866</v>
      </c>
      <c r="M14" s="26">
        <v>13692</v>
      </c>
      <c r="N14" s="18">
        <f t="shared" si="0"/>
        <v>37084</v>
      </c>
      <c r="O14" s="27">
        <v>8449</v>
      </c>
      <c r="P14" s="26"/>
      <c r="Q14" s="28"/>
      <c r="W14" s="391"/>
      <c r="X14" s="390" t="s">
        <v>192</v>
      </c>
      <c r="Y14" s="244" t="s">
        <v>193</v>
      </c>
      <c r="Z14" s="245">
        <f>D3/D2</f>
        <v>0.13607058025110283</v>
      </c>
      <c r="AA14" s="245">
        <f>(B3+C3+E3)/(B2+C2+E2)</f>
        <v>0.12271762208067941</v>
      </c>
      <c r="AB14" s="245">
        <f>(F3+G3+H3+J3+K3)/(F2+G2+H2+J2+K2)</f>
        <v>0.10395046155610344</v>
      </c>
      <c r="AC14" s="245">
        <f>(L3+M3+O3)/(L2+M2+O2)</f>
        <v>0.11201066768263644</v>
      </c>
      <c r="AD14" s="245">
        <f>(L3+M3+O3+P3+Q3)/(L2+M2+O2+P2+Q2)</f>
        <v>0.11201066768263644</v>
      </c>
    </row>
    <row r="15" spans="1:30" x14ac:dyDescent="0.2">
      <c r="A15" s="45" t="s">
        <v>17</v>
      </c>
      <c r="B15" s="12">
        <v>534</v>
      </c>
      <c r="C15" s="12">
        <v>657</v>
      </c>
      <c r="D15" s="23">
        <v>9637</v>
      </c>
      <c r="E15" s="24">
        <v>2162</v>
      </c>
      <c r="F15" s="12">
        <v>1841</v>
      </c>
      <c r="G15" s="25">
        <v>2022</v>
      </c>
      <c r="H15" s="26">
        <v>1033</v>
      </c>
      <c r="I15" s="18">
        <f t="shared" si="1"/>
        <v>7058</v>
      </c>
      <c r="J15" s="27">
        <v>1715</v>
      </c>
      <c r="K15" s="26">
        <v>1920</v>
      </c>
      <c r="L15" s="28">
        <v>2648</v>
      </c>
      <c r="M15" s="26">
        <v>3128</v>
      </c>
      <c r="N15" s="18">
        <f t="shared" si="0"/>
        <v>9411</v>
      </c>
      <c r="O15" s="27">
        <v>1952</v>
      </c>
      <c r="P15" s="26"/>
      <c r="Q15" s="28"/>
      <c r="W15" s="391"/>
      <c r="X15" s="391"/>
      <c r="Y15" s="218" t="s">
        <v>233</v>
      </c>
      <c r="Z15" s="246">
        <f>D3</f>
        <v>1604</v>
      </c>
      <c r="AA15" s="246">
        <f>B3+C3+E3</f>
        <v>578</v>
      </c>
      <c r="AB15" s="246">
        <f>F3+G3+H3+J3+K3</f>
        <v>1813</v>
      </c>
      <c r="AC15" s="246">
        <f>L3+M3+O3</f>
        <v>1176</v>
      </c>
      <c r="AD15" s="246">
        <f>L3+M3+O3+P3+Q3</f>
        <v>1176</v>
      </c>
    </row>
    <row r="16" spans="1:30" ht="16" thickBot="1" x14ac:dyDescent="0.25">
      <c r="A16" s="179" t="s">
        <v>21</v>
      </c>
      <c r="B16" s="34">
        <v>14</v>
      </c>
      <c r="C16" s="34">
        <v>5</v>
      </c>
      <c r="D16" s="47">
        <v>198</v>
      </c>
      <c r="E16" s="48">
        <v>64</v>
      </c>
      <c r="F16" s="34">
        <v>19</v>
      </c>
      <c r="G16" s="33">
        <v>14</v>
      </c>
      <c r="H16" s="34">
        <v>9</v>
      </c>
      <c r="I16" s="38">
        <f t="shared" si="1"/>
        <v>106</v>
      </c>
      <c r="J16" s="48">
        <v>38</v>
      </c>
      <c r="K16" s="49">
        <v>20</v>
      </c>
      <c r="L16" s="37">
        <v>26</v>
      </c>
      <c r="M16" s="49">
        <v>37</v>
      </c>
      <c r="N16" s="18">
        <f t="shared" si="0"/>
        <v>121</v>
      </c>
      <c r="O16" s="48">
        <v>16</v>
      </c>
      <c r="P16" s="49"/>
      <c r="Q16" s="37"/>
      <c r="W16" s="391"/>
      <c r="X16" s="392"/>
      <c r="Y16" s="218" t="s">
        <v>234</v>
      </c>
      <c r="Z16" s="246">
        <f>D2</f>
        <v>11788</v>
      </c>
      <c r="AA16" s="246">
        <f>B2+C2+E2</f>
        <v>4710</v>
      </c>
      <c r="AB16" s="246">
        <f>F2+G2+H2+J2+K2</f>
        <v>17441</v>
      </c>
      <c r="AC16" s="246">
        <f>L2+M2+O2</f>
        <v>10499</v>
      </c>
      <c r="AD16" s="246">
        <f>L2+M2+O2+P2+Q2</f>
        <v>10499</v>
      </c>
    </row>
    <row r="17" spans="1:30" ht="16" thickTop="1" x14ac:dyDescent="0.2">
      <c r="A17" s="55" t="s">
        <v>25</v>
      </c>
      <c r="B17" s="13">
        <v>518</v>
      </c>
      <c r="C17" s="13">
        <v>446</v>
      </c>
      <c r="D17" s="14">
        <v>6019</v>
      </c>
      <c r="E17" s="40">
        <v>1707</v>
      </c>
      <c r="F17" s="13">
        <v>1358</v>
      </c>
      <c r="G17" s="41">
        <v>1394</v>
      </c>
      <c r="H17" s="20">
        <v>1358</v>
      </c>
      <c r="I17" s="18">
        <f t="shared" si="1"/>
        <v>5817</v>
      </c>
      <c r="J17" s="19">
        <v>1661</v>
      </c>
      <c r="K17" s="51">
        <v>1323</v>
      </c>
      <c r="L17" s="44">
        <v>1281</v>
      </c>
      <c r="M17" s="51">
        <v>1459</v>
      </c>
      <c r="N17" s="42">
        <f t="shared" si="0"/>
        <v>5724</v>
      </c>
      <c r="O17" s="19">
        <v>1082</v>
      </c>
      <c r="P17" s="51"/>
      <c r="Q17" s="44"/>
      <c r="W17" s="391"/>
      <c r="X17" s="390" t="s">
        <v>230</v>
      </c>
      <c r="Y17" s="244" t="s">
        <v>194</v>
      </c>
      <c r="Z17" s="245">
        <f>D7/D6</f>
        <v>0.15698663426488457</v>
      </c>
      <c r="AA17" s="245">
        <f>(B7+C7+E7)/(B6+C6+E6)</f>
        <v>7.3348519362186781E-2</v>
      </c>
      <c r="AB17" s="245">
        <f>(F7+G7+H7+J7+K7)/(F6+G6+H6+J6+K6)</f>
        <v>9.1429880843263062E-2</v>
      </c>
      <c r="AC17" s="245">
        <f>(L7+M7+O7)/(L6+M6+O6)</f>
        <v>0.25497008299556068</v>
      </c>
      <c r="AD17" s="245">
        <f>(L7+M7+O7+P7+Q7)/(L6+M6+O6+P6+Q6)</f>
        <v>0.25497008299556068</v>
      </c>
    </row>
    <row r="18" spans="1:30" x14ac:dyDescent="0.2">
      <c r="A18" s="52" t="s">
        <v>26</v>
      </c>
      <c r="B18" s="12">
        <v>1489</v>
      </c>
      <c r="C18" s="12">
        <v>1526</v>
      </c>
      <c r="D18" s="23">
        <v>18910</v>
      </c>
      <c r="E18" s="24">
        <v>5173</v>
      </c>
      <c r="F18" s="12">
        <v>4602</v>
      </c>
      <c r="G18" s="25">
        <v>4600</v>
      </c>
      <c r="H18" s="26">
        <v>4370</v>
      </c>
      <c r="I18" s="18">
        <f t="shared" si="1"/>
        <v>18745</v>
      </c>
      <c r="J18" s="27">
        <v>4807</v>
      </c>
      <c r="K18" s="53">
        <v>4746</v>
      </c>
      <c r="L18" s="28">
        <v>4320</v>
      </c>
      <c r="M18" s="53">
        <v>4749</v>
      </c>
      <c r="N18" s="18">
        <f t="shared" si="0"/>
        <v>18622</v>
      </c>
      <c r="O18" s="27">
        <v>9789</v>
      </c>
      <c r="P18" s="53"/>
      <c r="Q18" s="28"/>
      <c r="W18" s="391"/>
      <c r="X18" s="391"/>
      <c r="Y18" s="218" t="s">
        <v>235</v>
      </c>
      <c r="Z18" s="221">
        <f>D7</f>
        <v>1292</v>
      </c>
      <c r="AA18" s="221">
        <f>B7+C7+E7</f>
        <v>161</v>
      </c>
      <c r="AB18" s="221">
        <f>F7+G7+H7+J7+K7</f>
        <v>399</v>
      </c>
      <c r="AC18" s="221">
        <f>L7+M7+O7</f>
        <v>1321</v>
      </c>
      <c r="AD18" s="221">
        <f>L7+M7+O7+P7+Q7</f>
        <v>1321</v>
      </c>
    </row>
    <row r="19" spans="1:30" x14ac:dyDescent="0.2">
      <c r="A19" s="52" t="s">
        <v>27</v>
      </c>
      <c r="B19" s="26">
        <v>329</v>
      </c>
      <c r="C19" s="26">
        <v>321</v>
      </c>
      <c r="D19" s="54">
        <v>4146</v>
      </c>
      <c r="E19" s="27">
        <v>991</v>
      </c>
      <c r="F19" s="26">
        <v>1090</v>
      </c>
      <c r="G19" s="25">
        <v>956</v>
      </c>
      <c r="H19" s="26">
        <v>937</v>
      </c>
      <c r="I19" s="18">
        <f t="shared" si="1"/>
        <v>3974</v>
      </c>
      <c r="J19" s="27">
        <v>999</v>
      </c>
      <c r="K19" s="53">
        <v>1090</v>
      </c>
      <c r="L19" s="28">
        <v>961</v>
      </c>
      <c r="M19" s="53">
        <v>973</v>
      </c>
      <c r="N19" s="18">
        <f t="shared" si="0"/>
        <v>4023</v>
      </c>
      <c r="O19" s="27">
        <v>782</v>
      </c>
      <c r="P19" s="53"/>
      <c r="Q19" s="28"/>
      <c r="W19" s="392"/>
      <c r="X19" s="392"/>
      <c r="Y19" s="218" t="s">
        <v>236</v>
      </c>
      <c r="Z19" s="221">
        <f>D6</f>
        <v>8230</v>
      </c>
      <c r="AA19" s="221">
        <f>B6+C6+E6</f>
        <v>2195</v>
      </c>
      <c r="AB19" s="221">
        <f>F6+G6+H6+J6+K6</f>
        <v>4364</v>
      </c>
      <c r="AC19" s="221">
        <f>L6+M6+O6</f>
        <v>5181</v>
      </c>
      <c r="AD19" s="221">
        <f>L6+M6+O6+P6+Q6</f>
        <v>5181</v>
      </c>
    </row>
    <row r="20" spans="1:30" x14ac:dyDescent="0.2">
      <c r="A20" s="52" t="s">
        <v>28</v>
      </c>
      <c r="B20" s="56">
        <v>21</v>
      </c>
      <c r="C20" s="56">
        <v>16</v>
      </c>
      <c r="D20" s="57">
        <v>226</v>
      </c>
      <c r="E20" s="58">
        <v>32</v>
      </c>
      <c r="F20" s="59">
        <v>43</v>
      </c>
      <c r="G20" s="60">
        <v>60</v>
      </c>
      <c r="H20" s="61">
        <v>60</v>
      </c>
      <c r="I20" s="18">
        <f t="shared" si="1"/>
        <v>195</v>
      </c>
      <c r="J20" s="27">
        <v>55</v>
      </c>
      <c r="K20" s="53">
        <v>57</v>
      </c>
      <c r="L20" s="28">
        <v>40</v>
      </c>
      <c r="M20" s="53">
        <v>97</v>
      </c>
      <c r="N20" s="18">
        <f t="shared" si="0"/>
        <v>249</v>
      </c>
      <c r="O20" s="27">
        <v>77</v>
      </c>
      <c r="P20" s="53"/>
      <c r="Q20" s="28"/>
      <c r="W20" s="421" t="s">
        <v>170</v>
      </c>
      <c r="X20" s="421" t="s">
        <v>226</v>
      </c>
      <c r="Y20" s="219" t="s">
        <v>195</v>
      </c>
      <c r="Z20" s="222">
        <f>D10+D13</f>
        <v>48619</v>
      </c>
      <c r="AA20" s="222">
        <f>B10+C10+E10+B13+C13+E13</f>
        <v>20731</v>
      </c>
      <c r="AB20" s="222">
        <f>F10+G10+H10+J10+K10+F13+G13+H13+J13+K13</f>
        <v>54380</v>
      </c>
      <c r="AC20" s="223">
        <f>L10+M10+O10+L13+M13+O13</f>
        <v>53264</v>
      </c>
      <c r="AD20" s="223">
        <f>L10+M10+O10+P10+Q10+L13+M13+O13+P13+Q13</f>
        <v>53264</v>
      </c>
    </row>
    <row r="21" spans="1:30" x14ac:dyDescent="0.2">
      <c r="A21" s="55" t="s">
        <v>22</v>
      </c>
      <c r="B21" s="56">
        <v>350</v>
      </c>
      <c r="C21" s="56">
        <v>287</v>
      </c>
      <c r="D21" s="57">
        <v>5643</v>
      </c>
      <c r="E21" s="58">
        <v>800</v>
      </c>
      <c r="F21" s="59">
        <v>1121</v>
      </c>
      <c r="G21" s="60">
        <v>1189</v>
      </c>
      <c r="H21" s="61">
        <v>1243</v>
      </c>
      <c r="I21" s="18">
        <f t="shared" si="1"/>
        <v>4353</v>
      </c>
      <c r="J21" s="27">
        <v>1078</v>
      </c>
      <c r="K21" s="53">
        <v>690</v>
      </c>
      <c r="L21" s="28">
        <v>1431</v>
      </c>
      <c r="M21" s="53">
        <v>1187</v>
      </c>
      <c r="N21" s="18">
        <f t="shared" si="0"/>
        <v>4386</v>
      </c>
      <c r="O21" s="27">
        <v>1118</v>
      </c>
      <c r="P21" s="53"/>
      <c r="Q21" s="28"/>
      <c r="W21" s="419"/>
      <c r="X21" s="419"/>
      <c r="Y21" s="219" t="s">
        <v>205</v>
      </c>
      <c r="Z21" s="222">
        <f>Z20/12</f>
        <v>4051.5833333333335</v>
      </c>
      <c r="AA21" s="222">
        <f>AA20/5</f>
        <v>4146.2</v>
      </c>
      <c r="AB21" s="222">
        <f>AB20/15</f>
        <v>3625.3333333333335</v>
      </c>
      <c r="AC21" s="223">
        <f>AC20/9</f>
        <v>5918.2222222222226</v>
      </c>
      <c r="AD21" s="223"/>
    </row>
    <row r="22" spans="1:30" x14ac:dyDescent="0.2">
      <c r="A22" s="52" t="s">
        <v>23</v>
      </c>
      <c r="B22" s="56">
        <v>309</v>
      </c>
      <c r="C22" s="56">
        <v>303</v>
      </c>
      <c r="D22" s="57">
        <v>4540</v>
      </c>
      <c r="E22" s="58">
        <v>741</v>
      </c>
      <c r="F22" s="59">
        <v>757</v>
      </c>
      <c r="G22" s="60">
        <v>1008</v>
      </c>
      <c r="H22" s="61">
        <v>1284</v>
      </c>
      <c r="I22" s="18">
        <f t="shared" si="1"/>
        <v>3790</v>
      </c>
      <c r="J22" s="27">
        <v>801</v>
      </c>
      <c r="K22" s="53">
        <v>476</v>
      </c>
      <c r="L22" s="28">
        <v>451</v>
      </c>
      <c r="M22" s="53">
        <v>1217</v>
      </c>
      <c r="N22" s="18">
        <f t="shared" si="0"/>
        <v>2945</v>
      </c>
      <c r="O22" s="27">
        <v>875</v>
      </c>
      <c r="P22" s="53"/>
      <c r="Q22" s="28"/>
      <c r="W22" s="419"/>
      <c r="X22" s="419"/>
      <c r="Y22" s="219" t="s">
        <v>196</v>
      </c>
      <c r="Z22" s="223">
        <f>D12+D15</f>
        <v>11757</v>
      </c>
      <c r="AA22" s="223">
        <f>B12+C12+E12+B15+C15+E15</f>
        <v>4256</v>
      </c>
      <c r="AB22" s="223">
        <f>F12+G12+H12+J12+K12+F15+G15+H15+J15+K15</f>
        <v>10999</v>
      </c>
      <c r="AC22" s="223">
        <f>L12+M12+O12+L15+M15+O15</f>
        <v>10329</v>
      </c>
      <c r="AD22" s="223">
        <f>L12+M12+O12+P12+Q12+L15+M15+O15+P15+Q15</f>
        <v>10329</v>
      </c>
    </row>
    <row r="23" spans="1:30" ht="16" thickBot="1" x14ac:dyDescent="0.25">
      <c r="A23" s="52" t="s">
        <v>24</v>
      </c>
      <c r="B23" s="63">
        <v>215</v>
      </c>
      <c r="C23" s="63">
        <v>223</v>
      </c>
      <c r="D23" s="64">
        <v>3136</v>
      </c>
      <c r="E23" s="65">
        <v>609</v>
      </c>
      <c r="F23" s="66">
        <v>424</v>
      </c>
      <c r="G23" s="67">
        <v>693</v>
      </c>
      <c r="H23" s="68">
        <v>931</v>
      </c>
      <c r="I23" s="38">
        <f>SUM(E23:H23)</f>
        <v>2657</v>
      </c>
      <c r="J23" s="35">
        <v>601</v>
      </c>
      <c r="K23" s="49">
        <v>275</v>
      </c>
      <c r="L23" s="37">
        <v>195</v>
      </c>
      <c r="M23" s="49">
        <v>1015</v>
      </c>
      <c r="N23" s="18">
        <f t="shared" si="0"/>
        <v>2086</v>
      </c>
      <c r="O23" s="35">
        <v>752</v>
      </c>
      <c r="P23" s="49"/>
      <c r="Q23" s="37"/>
      <c r="W23" s="419"/>
      <c r="X23" s="420"/>
      <c r="Y23" s="219" t="s">
        <v>206</v>
      </c>
      <c r="Z23" s="222">
        <f>Z22/12</f>
        <v>979.75</v>
      </c>
      <c r="AA23" s="222">
        <f>AA22/5</f>
        <v>851.2</v>
      </c>
      <c r="AB23" s="222">
        <f>AB22/15</f>
        <v>733.26666666666665</v>
      </c>
      <c r="AC23" s="223">
        <f>AC22/9</f>
        <v>1147.6666666666667</v>
      </c>
      <c r="AD23" s="223"/>
    </row>
    <row r="24" spans="1:30" ht="16" thickTop="1" x14ac:dyDescent="0.2">
      <c r="A24" s="69" t="s">
        <v>29</v>
      </c>
      <c r="B24" s="13">
        <v>75</v>
      </c>
      <c r="C24" s="13">
        <v>141</v>
      </c>
      <c r="D24" s="14">
        <v>1443</v>
      </c>
      <c r="E24" s="40">
        <v>351</v>
      </c>
      <c r="F24" s="13">
        <v>248</v>
      </c>
      <c r="G24" s="41">
        <v>272</v>
      </c>
      <c r="H24" s="20">
        <v>141</v>
      </c>
      <c r="I24" s="18">
        <f>E24+F24+G24+H24</f>
        <v>1012</v>
      </c>
      <c r="J24" s="70">
        <v>403</v>
      </c>
      <c r="K24" s="16">
        <v>332</v>
      </c>
      <c r="L24" s="16">
        <v>754</v>
      </c>
      <c r="M24" s="16">
        <v>789</v>
      </c>
      <c r="N24" s="42">
        <f t="shared" si="0"/>
        <v>2278</v>
      </c>
      <c r="O24" s="70">
        <v>525</v>
      </c>
      <c r="P24" s="16"/>
      <c r="Q24" s="16"/>
      <c r="W24" s="419"/>
      <c r="X24" s="421" t="s">
        <v>189</v>
      </c>
      <c r="Y24" s="219" t="s">
        <v>197</v>
      </c>
      <c r="Z24" s="223">
        <f>D10</f>
        <v>15855</v>
      </c>
      <c r="AA24" s="223">
        <f>B10+C10+E10</f>
        <v>7873</v>
      </c>
      <c r="AB24" s="223">
        <f>F10+G10+H10+J10+K10</f>
        <v>16516</v>
      </c>
      <c r="AC24" s="223">
        <f>L10+M10+O10</f>
        <v>15078</v>
      </c>
      <c r="AD24" s="223">
        <f>L10+M10+O10+P10+Q10</f>
        <v>15078</v>
      </c>
    </row>
    <row r="25" spans="1:30" x14ac:dyDescent="0.2">
      <c r="A25" s="71" t="s">
        <v>30</v>
      </c>
      <c r="B25" s="12">
        <v>83</v>
      </c>
      <c r="C25" s="12">
        <v>133</v>
      </c>
      <c r="D25" s="23">
        <v>1404</v>
      </c>
      <c r="E25" s="24">
        <v>272</v>
      </c>
      <c r="F25" s="12">
        <v>283</v>
      </c>
      <c r="G25" s="25">
        <v>167</v>
      </c>
      <c r="H25" s="26">
        <v>103</v>
      </c>
      <c r="I25" s="18">
        <f t="shared" si="1"/>
        <v>825</v>
      </c>
      <c r="J25" s="27">
        <v>307</v>
      </c>
      <c r="K25" s="27">
        <v>366</v>
      </c>
      <c r="L25" s="27">
        <v>766</v>
      </c>
      <c r="M25" s="27">
        <v>637</v>
      </c>
      <c r="N25" s="18">
        <f t="shared" si="0"/>
        <v>2076</v>
      </c>
      <c r="O25" s="27">
        <v>447</v>
      </c>
      <c r="P25" s="27"/>
      <c r="Q25" s="27"/>
      <c r="W25" s="419"/>
      <c r="X25" s="419"/>
      <c r="Y25" s="219" t="s">
        <v>207</v>
      </c>
      <c r="Z25" s="222">
        <f>Z24/12</f>
        <v>1321.25</v>
      </c>
      <c r="AA25" s="222">
        <f>AA24/5</f>
        <v>1574.6</v>
      </c>
      <c r="AB25" s="222">
        <f>AB24/15</f>
        <v>1101.0666666666666</v>
      </c>
      <c r="AC25" s="223">
        <f>AC24/9</f>
        <v>1675.3333333333333</v>
      </c>
      <c r="AD25" s="223"/>
    </row>
    <row r="26" spans="1:30" x14ac:dyDescent="0.2">
      <c r="A26" s="71" t="s">
        <v>31</v>
      </c>
      <c r="B26" s="12">
        <v>37</v>
      </c>
      <c r="C26" s="12">
        <v>48</v>
      </c>
      <c r="D26" s="23">
        <v>851</v>
      </c>
      <c r="E26" s="24">
        <v>170</v>
      </c>
      <c r="F26" s="12">
        <v>120</v>
      </c>
      <c r="G26" s="25">
        <v>110</v>
      </c>
      <c r="H26" s="26">
        <v>42</v>
      </c>
      <c r="I26" s="18">
        <f t="shared" si="1"/>
        <v>442</v>
      </c>
      <c r="J26" s="27">
        <v>193</v>
      </c>
      <c r="K26" s="27">
        <v>227</v>
      </c>
      <c r="L26" s="27">
        <v>438</v>
      </c>
      <c r="M26" s="27">
        <v>373</v>
      </c>
      <c r="N26" s="18">
        <f t="shared" si="0"/>
        <v>1231</v>
      </c>
      <c r="O26" s="27">
        <v>339</v>
      </c>
      <c r="P26" s="27"/>
      <c r="Q26" s="27"/>
      <c r="W26" s="419"/>
      <c r="X26" s="419"/>
      <c r="Y26" s="219" t="s">
        <v>199</v>
      </c>
      <c r="Z26" s="223">
        <f>D12</f>
        <v>2120</v>
      </c>
      <c r="AA26" s="223">
        <f>B12+C12+E12</f>
        <v>903</v>
      </c>
      <c r="AB26" s="223">
        <f>F12+G12+H12+J12+K12</f>
        <v>2468</v>
      </c>
      <c r="AC26" s="223">
        <f>L12+M12+O12</f>
        <v>2601</v>
      </c>
      <c r="AD26" s="223">
        <f>L12+M12+O12+P12+Q12</f>
        <v>2601</v>
      </c>
    </row>
    <row r="27" spans="1:30" x14ac:dyDescent="0.2">
      <c r="A27" s="71" t="s">
        <v>32</v>
      </c>
      <c r="B27" s="12">
        <v>129</v>
      </c>
      <c r="C27" s="12">
        <v>182</v>
      </c>
      <c r="D27" s="23">
        <v>3192</v>
      </c>
      <c r="E27" s="24">
        <v>552</v>
      </c>
      <c r="F27" s="12">
        <v>495</v>
      </c>
      <c r="G27" s="25">
        <v>413</v>
      </c>
      <c r="H27" s="26">
        <v>240</v>
      </c>
      <c r="I27" s="18">
        <f t="shared" si="1"/>
        <v>1700</v>
      </c>
      <c r="J27" s="27">
        <v>534</v>
      </c>
      <c r="K27" s="27">
        <v>719</v>
      </c>
      <c r="L27" s="27">
        <v>1299</v>
      </c>
      <c r="M27" s="27">
        <v>1306</v>
      </c>
      <c r="N27" s="18">
        <f t="shared" si="0"/>
        <v>3858</v>
      </c>
      <c r="O27" s="27">
        <v>1139</v>
      </c>
      <c r="P27" s="27"/>
      <c r="Q27" s="27"/>
      <c r="W27" s="419"/>
      <c r="X27" s="420"/>
      <c r="Y27" s="219" t="s">
        <v>208</v>
      </c>
      <c r="Z27" s="222">
        <f>Z26/12</f>
        <v>176.66666666666666</v>
      </c>
      <c r="AA27" s="222">
        <f>AA26/5</f>
        <v>180.6</v>
      </c>
      <c r="AB27" s="222">
        <f>AB26/15</f>
        <v>164.53333333333333</v>
      </c>
      <c r="AC27" s="223">
        <f>AC26/9</f>
        <v>289</v>
      </c>
      <c r="AD27" s="223"/>
    </row>
    <row r="28" spans="1:30" x14ac:dyDescent="0.2">
      <c r="A28" s="72" t="s">
        <v>33</v>
      </c>
      <c r="B28" s="73">
        <f>SUM(B24:B27)</f>
        <v>324</v>
      </c>
      <c r="C28" s="73">
        <f>SUM(C24:C27)</f>
        <v>504</v>
      </c>
      <c r="D28" s="74">
        <f>SUM(D24:D27)</f>
        <v>6890</v>
      </c>
      <c r="E28" s="73">
        <f t="shared" ref="E28:G28" si="2">SUM(E24:E27)</f>
        <v>1345</v>
      </c>
      <c r="F28" s="73">
        <f t="shared" si="2"/>
        <v>1146</v>
      </c>
      <c r="G28" s="73">
        <f t="shared" si="2"/>
        <v>962</v>
      </c>
      <c r="H28" s="73">
        <f>SUM(H24:H27)</f>
        <v>526</v>
      </c>
      <c r="I28" s="18">
        <f>E28+F28+G28+H28</f>
        <v>3979</v>
      </c>
      <c r="J28" s="73">
        <f>SUM(J24:J27)</f>
        <v>1437</v>
      </c>
      <c r="K28" s="73">
        <f t="shared" ref="K28:L28" si="3">SUM(K24:K27)</f>
        <v>1644</v>
      </c>
      <c r="L28" s="73">
        <f t="shared" si="3"/>
        <v>3257</v>
      </c>
      <c r="M28" s="73">
        <f>SUM(M24:M27)</f>
        <v>3105</v>
      </c>
      <c r="N28" s="18">
        <f t="shared" si="0"/>
        <v>9443</v>
      </c>
      <c r="O28" s="75"/>
      <c r="P28" s="75"/>
      <c r="Q28" s="75"/>
      <c r="W28" s="419"/>
      <c r="X28" s="421" t="s">
        <v>190</v>
      </c>
      <c r="Y28" s="219" t="s">
        <v>198</v>
      </c>
      <c r="Z28" s="223">
        <f>D13</f>
        <v>32764</v>
      </c>
      <c r="AA28" s="223">
        <f>B13+C13+E13</f>
        <v>12858</v>
      </c>
      <c r="AB28" s="223">
        <f>F13+G13+H13+J13+K13</f>
        <v>37864</v>
      </c>
      <c r="AC28" s="223">
        <f>L13+M13+O13</f>
        <v>38186</v>
      </c>
      <c r="AD28" s="223">
        <f>L13+M13+O13+P13+Q13</f>
        <v>38186</v>
      </c>
    </row>
    <row r="29" spans="1:30" x14ac:dyDescent="0.2">
      <c r="A29" s="71" t="s">
        <v>34</v>
      </c>
      <c r="B29" s="26">
        <v>350</v>
      </c>
      <c r="C29" s="26">
        <v>287</v>
      </c>
      <c r="D29" s="54">
        <v>5643</v>
      </c>
      <c r="E29" s="27">
        <v>800</v>
      </c>
      <c r="F29" s="26">
        <v>1121</v>
      </c>
      <c r="G29" s="25">
        <v>1189</v>
      </c>
      <c r="H29" s="26">
        <v>1243</v>
      </c>
      <c r="I29" s="18">
        <f t="shared" si="1"/>
        <v>4353</v>
      </c>
      <c r="J29" s="27">
        <v>1078</v>
      </c>
      <c r="K29" s="27">
        <v>690</v>
      </c>
      <c r="L29" s="27">
        <v>1431</v>
      </c>
      <c r="M29" s="27">
        <v>1187</v>
      </c>
      <c r="N29" s="18">
        <f t="shared" si="0"/>
        <v>4386</v>
      </c>
      <c r="O29" s="27">
        <v>1118</v>
      </c>
      <c r="P29" s="27"/>
      <c r="Q29" s="27"/>
      <c r="W29" s="419"/>
      <c r="X29" s="419"/>
      <c r="Y29" s="219" t="s">
        <v>209</v>
      </c>
      <c r="Z29" s="222">
        <f>Z28/12</f>
        <v>2730.3333333333335</v>
      </c>
      <c r="AA29" s="222">
        <f>AA28/5</f>
        <v>2571.6</v>
      </c>
      <c r="AB29" s="222">
        <f>AB28/15</f>
        <v>2524.2666666666669</v>
      </c>
      <c r="AC29" s="223">
        <f>AC28/9</f>
        <v>4242.8888888888887</v>
      </c>
      <c r="AD29" s="223"/>
    </row>
    <row r="30" spans="1:30" x14ac:dyDescent="0.2">
      <c r="A30" s="71" t="s">
        <v>35</v>
      </c>
      <c r="B30" s="26">
        <v>309</v>
      </c>
      <c r="C30" s="26">
        <v>303</v>
      </c>
      <c r="D30" s="54">
        <v>4540</v>
      </c>
      <c r="E30" s="27">
        <v>741</v>
      </c>
      <c r="F30" s="26">
        <v>757</v>
      </c>
      <c r="G30" s="25">
        <v>1008</v>
      </c>
      <c r="H30" s="26">
        <v>1284</v>
      </c>
      <c r="I30" s="18">
        <f t="shared" si="1"/>
        <v>3790</v>
      </c>
      <c r="J30" s="27">
        <v>801</v>
      </c>
      <c r="K30" s="53">
        <v>476</v>
      </c>
      <c r="L30" s="53">
        <v>451</v>
      </c>
      <c r="M30" s="53">
        <v>1217</v>
      </c>
      <c r="N30" s="18">
        <f t="shared" si="0"/>
        <v>2945</v>
      </c>
      <c r="O30" s="27">
        <v>875</v>
      </c>
      <c r="P30" s="53"/>
      <c r="Q30" s="53"/>
      <c r="W30" s="419"/>
      <c r="X30" s="419"/>
      <c r="Y30" s="219" t="s">
        <v>200</v>
      </c>
      <c r="Z30" s="223">
        <f>D15</f>
        <v>9637</v>
      </c>
      <c r="AA30" s="223">
        <f>B15+C15+E15</f>
        <v>3353</v>
      </c>
      <c r="AB30" s="223">
        <f>F15+G15+H15+J15+K15</f>
        <v>8531</v>
      </c>
      <c r="AC30" s="223">
        <f>L15+M15+O15</f>
        <v>7728</v>
      </c>
      <c r="AD30" s="223">
        <f>L15+M15+O15+P15+Q15</f>
        <v>7728</v>
      </c>
    </row>
    <row r="31" spans="1:30" x14ac:dyDescent="0.2">
      <c r="A31" s="71" t="s">
        <v>36</v>
      </c>
      <c r="B31" s="26">
        <v>215</v>
      </c>
      <c r="C31" s="26">
        <v>223</v>
      </c>
      <c r="D31" s="54">
        <v>3136</v>
      </c>
      <c r="E31" s="27">
        <v>609</v>
      </c>
      <c r="F31" s="26">
        <v>424</v>
      </c>
      <c r="G31" s="25">
        <v>693</v>
      </c>
      <c r="H31" s="26">
        <v>931</v>
      </c>
      <c r="I31" s="18">
        <f t="shared" si="1"/>
        <v>2657</v>
      </c>
      <c r="J31" s="27">
        <v>601</v>
      </c>
      <c r="K31" s="53">
        <v>275</v>
      </c>
      <c r="L31" s="53">
        <v>195</v>
      </c>
      <c r="M31" s="53">
        <v>1015</v>
      </c>
      <c r="N31" s="18">
        <f t="shared" si="0"/>
        <v>2086</v>
      </c>
      <c r="O31" s="27">
        <v>752</v>
      </c>
      <c r="P31" s="53"/>
      <c r="Q31" s="53"/>
      <c r="W31" s="420"/>
      <c r="X31" s="420"/>
      <c r="Y31" s="219" t="s">
        <v>210</v>
      </c>
      <c r="Z31" s="222">
        <f>Z30/12</f>
        <v>803.08333333333337</v>
      </c>
      <c r="AA31" s="222">
        <f>AA30/5</f>
        <v>670.6</v>
      </c>
      <c r="AB31" s="222">
        <f>AB30/15</f>
        <v>568.73333333333335</v>
      </c>
      <c r="AC31" s="223">
        <f>AC30/9</f>
        <v>858.66666666666663</v>
      </c>
      <c r="AD31" s="223"/>
    </row>
    <row r="32" spans="1:30" x14ac:dyDescent="0.2">
      <c r="A32" s="71" t="s">
        <v>38</v>
      </c>
      <c r="B32" s="26">
        <v>154</v>
      </c>
      <c r="C32" s="26">
        <v>160</v>
      </c>
      <c r="D32" s="54">
        <v>2444</v>
      </c>
      <c r="E32" s="27">
        <v>570</v>
      </c>
      <c r="F32" s="26">
        <v>435</v>
      </c>
      <c r="G32" s="25">
        <v>543</v>
      </c>
      <c r="H32" s="26">
        <v>299</v>
      </c>
      <c r="I32" s="18">
        <f t="shared" si="1"/>
        <v>1847</v>
      </c>
      <c r="J32" s="27">
        <v>755</v>
      </c>
      <c r="K32" s="27">
        <v>569</v>
      </c>
      <c r="L32" s="27">
        <v>1180</v>
      </c>
      <c r="M32" s="27">
        <v>817</v>
      </c>
      <c r="N32" s="18">
        <f t="shared" si="0"/>
        <v>3321</v>
      </c>
      <c r="O32" s="27">
        <v>590</v>
      </c>
      <c r="P32" s="27"/>
      <c r="Q32" s="27"/>
      <c r="W32" s="423" t="s">
        <v>58</v>
      </c>
      <c r="X32" s="378" t="s">
        <v>226</v>
      </c>
      <c r="Y32" s="248" t="s">
        <v>201</v>
      </c>
      <c r="Z32" s="249">
        <f>(D12+D15)/(D11+D14)</f>
        <v>0.40357682273788276</v>
      </c>
      <c r="AA32" s="249">
        <f>(B12+C12+E12+B15+C15+E15)/(B11+C11+E11+B14+C14+E14)</f>
        <v>0.41200387221684415</v>
      </c>
      <c r="AB32" s="249">
        <f>(F12+G12+H12+J12+K12+F15+G15+H15)/(F11+G11+H11+J11+K11+F14+G14+H14+J14+K14+J15+K15)</f>
        <v>0.20458396999583275</v>
      </c>
      <c r="AC32" s="249">
        <f>(L12+M12+O12+L15+M15+O15)/(L11+M11+O11+L14+M14+O14)</f>
        <v>0.20834678070033888</v>
      </c>
      <c r="AD32" s="249">
        <f>(L12+M12+O12+P12+Q12+L15+M15+O15+P15+Q15)/(L11+M11+O11+P11+Q11+L14+M14+O14+P14+Q14)</f>
        <v>0.20834678070033888</v>
      </c>
    </row>
    <row r="33" spans="1:30" x14ac:dyDescent="0.2">
      <c r="A33" s="71" t="s">
        <v>37</v>
      </c>
      <c r="B33" s="26">
        <v>170</v>
      </c>
      <c r="C33" s="26">
        <v>345</v>
      </c>
      <c r="D33" s="54">
        <v>4586</v>
      </c>
      <c r="E33" s="27">
        <v>767</v>
      </c>
      <c r="F33" s="26">
        <v>722</v>
      </c>
      <c r="G33" s="25">
        <v>443</v>
      </c>
      <c r="H33" s="26">
        <v>231</v>
      </c>
      <c r="I33" s="18">
        <f t="shared" si="1"/>
        <v>2163</v>
      </c>
      <c r="J33" s="27">
        <v>518</v>
      </c>
      <c r="K33" s="27">
        <v>1078</v>
      </c>
      <c r="L33" s="27">
        <v>2077</v>
      </c>
      <c r="M33" s="27">
        <v>2329</v>
      </c>
      <c r="N33" s="18">
        <f t="shared" si="0"/>
        <v>6002</v>
      </c>
      <c r="O33" s="27">
        <v>1844</v>
      </c>
      <c r="P33" s="27"/>
      <c r="Q33" s="27"/>
      <c r="W33" s="423"/>
      <c r="X33" s="376"/>
      <c r="Y33" s="220" t="s">
        <v>229</v>
      </c>
      <c r="Z33" s="224">
        <f>D12+D15</f>
        <v>11757</v>
      </c>
      <c r="AA33" s="224">
        <f>B12+C12+E12+B15+C15+E15</f>
        <v>4256</v>
      </c>
      <c r="AB33" s="224">
        <f>F12+G12+H12+J12+K12+F15+G15+H15+J15+K15</f>
        <v>10999</v>
      </c>
      <c r="AC33" s="224">
        <f>L12+M12+O12+L15+M15+O15</f>
        <v>10329</v>
      </c>
      <c r="AD33" s="224">
        <f>L12+M12+O12+P12+Q12+L15+M15+O15+P15+Q15</f>
        <v>10329</v>
      </c>
    </row>
    <row r="34" spans="1:30" x14ac:dyDescent="0.2">
      <c r="A34" s="71" t="s">
        <v>40</v>
      </c>
      <c r="B34" s="26">
        <v>1308</v>
      </c>
      <c r="C34" s="26">
        <v>643</v>
      </c>
      <c r="D34" s="54">
        <v>13615</v>
      </c>
      <c r="E34" s="27">
        <v>3074</v>
      </c>
      <c r="F34" s="26">
        <v>6303</v>
      </c>
      <c r="G34" s="25">
        <v>5764</v>
      </c>
      <c r="H34" s="26">
        <v>5961</v>
      </c>
      <c r="I34" s="18">
        <f t="shared" si="1"/>
        <v>21102</v>
      </c>
      <c r="J34" s="27">
        <v>5551</v>
      </c>
      <c r="K34" s="27">
        <v>5089</v>
      </c>
      <c r="L34" s="27">
        <v>8686</v>
      </c>
      <c r="M34" s="27">
        <v>8291</v>
      </c>
      <c r="N34" s="18">
        <f t="shared" si="0"/>
        <v>27617</v>
      </c>
      <c r="O34" s="27">
        <v>8767</v>
      </c>
      <c r="P34" s="27"/>
      <c r="Q34" s="27"/>
      <c r="W34" s="423"/>
      <c r="X34" s="377"/>
      <c r="Y34" s="220" t="s">
        <v>215</v>
      </c>
      <c r="Z34" s="224">
        <f>D11+D14</f>
        <v>29132</v>
      </c>
      <c r="AA34" s="224">
        <f>B11+C11+E11+B14+C14+E14</f>
        <v>10330</v>
      </c>
      <c r="AB34" s="224">
        <f>F11+G11+H11+J11+K11+F14+G14+H14+J14+K14+J15+K15</f>
        <v>35995</v>
      </c>
      <c r="AC34" s="224">
        <f>L11+M11+O11+L14+M14+O14</f>
        <v>49576</v>
      </c>
      <c r="AD34" s="224">
        <f>L11+M11+O11+P11+Q11+L14+M14+O14+P14+Q14</f>
        <v>49576</v>
      </c>
    </row>
    <row r="35" spans="1:30" x14ac:dyDescent="0.2">
      <c r="A35" s="71" t="s">
        <v>39</v>
      </c>
      <c r="B35" s="26">
        <v>1303</v>
      </c>
      <c r="C35" s="26">
        <v>1640</v>
      </c>
      <c r="D35" s="54">
        <v>21701</v>
      </c>
      <c r="E35" s="27">
        <v>6442</v>
      </c>
      <c r="F35" s="26">
        <v>8045</v>
      </c>
      <c r="G35" s="25">
        <v>6776</v>
      </c>
      <c r="H35" s="26">
        <v>1887</v>
      </c>
      <c r="I35" s="18">
        <f t="shared" si="1"/>
        <v>23150</v>
      </c>
      <c r="J35" s="27">
        <v>2116</v>
      </c>
      <c r="K35" s="27">
        <v>3852</v>
      </c>
      <c r="L35" s="27">
        <v>4161</v>
      </c>
      <c r="M35" s="27">
        <v>5633</v>
      </c>
      <c r="N35" s="18">
        <f t="shared" si="0"/>
        <v>15762</v>
      </c>
      <c r="O35" s="27">
        <v>4546</v>
      </c>
      <c r="P35" s="27"/>
      <c r="Q35" s="27"/>
      <c r="W35" s="423"/>
      <c r="X35" s="378" t="s">
        <v>192</v>
      </c>
      <c r="Y35" s="248" t="s">
        <v>193</v>
      </c>
      <c r="Z35" s="249">
        <f>(D3+D5)/(D2+D4)</f>
        <v>0.18535950330462647</v>
      </c>
      <c r="AA35" s="249">
        <f>(B3+C3+E3+B5+C5+E5)/(B2+C2+E2+B4+C4+E4)</f>
        <v>0.11071254863813229</v>
      </c>
      <c r="AB35" s="249">
        <f>(F3+G3+H3+J3+K3+F5+G5+H5+J5+K5)/(F2+G2+H2+J2+K2+F4+G4+H4+J4+K4)</f>
        <v>0.10219333874898456</v>
      </c>
      <c r="AC35" s="249">
        <f>(L3+M3+O3+L5+M5+O5)/(L2+M2+O2+L4+M4+O4)</f>
        <v>8.4754596785869413E-2</v>
      </c>
      <c r="AD35" s="249">
        <f>(L3+M3+O3+P3+Q3+L5+M5+O5+P5+Q5)/(L2+M2+O2+P2+Q2+L4+M4+O4+P4+Q4)</f>
        <v>8.4754596785869413E-2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423"/>
      <c r="X36" s="376"/>
      <c r="Y36" s="220" t="s">
        <v>233</v>
      </c>
      <c r="Z36" s="224">
        <f>D3+D5</f>
        <v>7404</v>
      </c>
      <c r="AA36" s="224">
        <f>B3+C3+E3+B5+C5+E5</f>
        <v>1821</v>
      </c>
      <c r="AB36" s="224">
        <f>(F3+G3+H3+J3+K3+F5+G5+H5+J5+K5)</f>
        <v>5661</v>
      </c>
      <c r="AC36" s="224">
        <f>(L3+M3+O3+L5+M5+O5)</f>
        <v>2927</v>
      </c>
      <c r="AD36" s="250">
        <f>(L3+M3+O3+P3+Q3+L5+M5+O5+P5+Q5)</f>
        <v>2927</v>
      </c>
    </row>
    <row r="37" spans="1:30" x14ac:dyDescent="0.2">
      <c r="A37" s="71" t="s">
        <v>41</v>
      </c>
      <c r="B37" s="26">
        <v>3</v>
      </c>
      <c r="C37" s="189">
        <v>0</v>
      </c>
      <c r="D37" s="54">
        <v>99</v>
      </c>
      <c r="E37" s="27">
        <v>34</v>
      </c>
      <c r="F37" s="26">
        <v>411</v>
      </c>
      <c r="G37" s="25">
        <v>460</v>
      </c>
      <c r="H37" s="26">
        <v>49</v>
      </c>
      <c r="I37" s="18">
        <f t="shared" si="1"/>
        <v>954</v>
      </c>
      <c r="J37" s="27">
        <v>2</v>
      </c>
      <c r="K37" s="53">
        <v>54</v>
      </c>
      <c r="L37" s="53">
        <v>1</v>
      </c>
      <c r="M37" s="53">
        <v>10</v>
      </c>
      <c r="N37" s="18">
        <f t="shared" si="0"/>
        <v>67</v>
      </c>
      <c r="O37" s="27">
        <v>22</v>
      </c>
      <c r="P37" s="53"/>
      <c r="Q37" s="53"/>
      <c r="W37" s="423"/>
      <c r="X37" s="377"/>
      <c r="Y37" s="220" t="s">
        <v>234</v>
      </c>
      <c r="Z37" s="224">
        <f>D2+D4</f>
        <v>39944</v>
      </c>
      <c r="AA37" s="224">
        <f>B2+C2+E2+B4+C4+E4</f>
        <v>16448</v>
      </c>
      <c r="AB37" s="224">
        <f>(F2+G2+H2+J2+K2+F4+G4+H4+J4+K4)</f>
        <v>55395</v>
      </c>
      <c r="AC37" s="250">
        <f>(L2+M2+O2+L4+M4+O4)</f>
        <v>34535</v>
      </c>
      <c r="AD37" s="250">
        <f>(L2+M2+O2+P2+Q2+L4+M4+O4+P4+Q4)</f>
        <v>34535</v>
      </c>
    </row>
    <row r="38" spans="1:30" x14ac:dyDescent="0.2">
      <c r="A38" s="71" t="s">
        <v>44</v>
      </c>
      <c r="B38" s="26">
        <v>1462</v>
      </c>
      <c r="C38" s="26">
        <v>803</v>
      </c>
      <c r="D38" s="54">
        <v>16059</v>
      </c>
      <c r="E38" s="27">
        <v>3644</v>
      </c>
      <c r="F38" s="26">
        <v>6738</v>
      </c>
      <c r="G38" s="25">
        <v>6307</v>
      </c>
      <c r="H38" s="26">
        <v>6260</v>
      </c>
      <c r="I38" s="18">
        <f t="shared" si="1"/>
        <v>22949</v>
      </c>
      <c r="J38" s="27">
        <v>6306</v>
      </c>
      <c r="K38" s="26">
        <v>5658</v>
      </c>
      <c r="L38" s="26">
        <v>9866</v>
      </c>
      <c r="M38" s="26">
        <v>9108</v>
      </c>
      <c r="N38" s="18">
        <f t="shared" si="0"/>
        <v>30938</v>
      </c>
      <c r="O38" s="27">
        <v>9537</v>
      </c>
      <c r="P38" s="26"/>
      <c r="Q38" s="26"/>
      <c r="W38" s="423"/>
      <c r="X38" s="378" t="s">
        <v>230</v>
      </c>
      <c r="Y38" s="248" t="s">
        <v>194</v>
      </c>
      <c r="Z38" s="249">
        <f>(D7+D9)/(D6+D8)</f>
        <v>0.14127769066859647</v>
      </c>
      <c r="AA38" s="249">
        <f>(B7+C7+E7+B9+C9+E9)/(B6+C6+E6+B8+C8+E8)</f>
        <v>9.5081270583235955E-2</v>
      </c>
      <c r="AB38" s="249">
        <f>(F7+G7+H7+J7+K7+F9+G9+H9+J9+K9)/(F6+G6+H6+J6+K6+F8+G8+H8+J8+K8)</f>
        <v>0.12480903661867507</v>
      </c>
      <c r="AC38" s="249">
        <f>(L7+M7+O7+L9+M9+O9)/(L6+M6+O6+L8+M8+O8)</f>
        <v>0.30437369830407618</v>
      </c>
      <c r="AD38" s="249">
        <f>(L7+M7+O7+P7+Q7+L9+M9+O9+P9+Q9)/(L6+M6+O6+P6+Q6+L8+M8+O8+P8+Q8)</f>
        <v>0.30437369830407618</v>
      </c>
    </row>
    <row r="39" spans="1:30" x14ac:dyDescent="0.2">
      <c r="A39" s="71" t="s">
        <v>43</v>
      </c>
      <c r="B39" s="26">
        <v>1473</v>
      </c>
      <c r="C39" s="26">
        <v>1985</v>
      </c>
      <c r="D39" s="54">
        <v>26287</v>
      </c>
      <c r="E39" s="27">
        <v>7209</v>
      </c>
      <c r="F39" s="26">
        <v>8767</v>
      </c>
      <c r="G39" s="25">
        <v>7219</v>
      </c>
      <c r="H39" s="26">
        <v>2118</v>
      </c>
      <c r="I39" s="18">
        <f t="shared" si="1"/>
        <v>25313</v>
      </c>
      <c r="J39" s="27">
        <v>2634</v>
      </c>
      <c r="K39" s="26">
        <v>4930</v>
      </c>
      <c r="L39" s="26">
        <v>6238</v>
      </c>
      <c r="M39" s="26">
        <v>7962</v>
      </c>
      <c r="N39" s="18">
        <f t="shared" si="0"/>
        <v>21764</v>
      </c>
      <c r="O39" s="27">
        <v>6390</v>
      </c>
      <c r="P39" s="26"/>
      <c r="Q39" s="26"/>
      <c r="W39" s="423"/>
      <c r="X39" s="376"/>
      <c r="Y39" s="220" t="s">
        <v>235</v>
      </c>
      <c r="Z39" s="224">
        <f>D7+D9</f>
        <v>3514</v>
      </c>
      <c r="AA39" s="224">
        <f>B7+C7+E7+B9+C9+E9</f>
        <v>895</v>
      </c>
      <c r="AB39" s="224">
        <f>(F7+G7+H7+J7+K7+F9+G9+H9+J9+K9)</f>
        <v>2696</v>
      </c>
      <c r="AC39" s="250">
        <f>(L7+M7+O7+L9+M9+O9)</f>
        <v>6138</v>
      </c>
      <c r="AD39" s="250">
        <f>(L7+M7+O7+P7+Q7+L9+M9+O9+P9+Q9)</f>
        <v>6138</v>
      </c>
    </row>
    <row r="40" spans="1:30" ht="16" thickBot="1" x14ac:dyDescent="0.25">
      <c r="A40" s="76" t="s">
        <v>45</v>
      </c>
      <c r="B40" s="34">
        <v>0</v>
      </c>
      <c r="C40" s="34">
        <v>1</v>
      </c>
      <c r="D40" s="47">
        <v>20</v>
      </c>
      <c r="E40" s="48">
        <v>0</v>
      </c>
      <c r="F40" s="34">
        <v>0</v>
      </c>
      <c r="G40" s="33">
        <v>0</v>
      </c>
      <c r="H40" s="34">
        <v>0</v>
      </c>
      <c r="I40" s="38">
        <f t="shared" si="1"/>
        <v>0</v>
      </c>
      <c r="J40" s="48">
        <v>49</v>
      </c>
      <c r="K40" s="77">
        <v>0</v>
      </c>
      <c r="L40" s="77">
        <v>102</v>
      </c>
      <c r="M40" s="77">
        <v>0</v>
      </c>
      <c r="N40" s="18">
        <f t="shared" si="0"/>
        <v>151</v>
      </c>
      <c r="O40" s="48">
        <v>0</v>
      </c>
      <c r="P40" s="77"/>
      <c r="Q40" s="77"/>
      <c r="W40" s="423"/>
      <c r="X40" s="377"/>
      <c r="Y40" s="220" t="s">
        <v>236</v>
      </c>
      <c r="Z40" s="250">
        <f>D6+D8</f>
        <v>24873</v>
      </c>
      <c r="AA40" s="250">
        <f>B6+C6+E6+B8+C8+E8</f>
        <v>9413</v>
      </c>
      <c r="AB40" s="250">
        <f>(F6+G6+H6+J6+K6+F8+G8+H8+J8+K8)</f>
        <v>21601</v>
      </c>
      <c r="AC40" s="250">
        <f>(L6+M6+O6+L8+M8+O8)</f>
        <v>20166</v>
      </c>
      <c r="AD40" s="250">
        <f>(L6+M6+O6+P6+Q6+L8+M8+O8+P8+Q8)</f>
        <v>20166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  <c r="N41" s="42">
        <f>SUM(M41)</f>
        <v>0</v>
      </c>
      <c r="O41" s="194">
        <f>0+84+354</f>
        <v>438</v>
      </c>
      <c r="P41" s="194">
        <v>0</v>
      </c>
      <c r="Q41" s="194">
        <v>0</v>
      </c>
      <c r="W41" s="485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/>
      <c r="N42" s="18">
        <f t="shared" ref="N42:N56" si="4">SUM(M42)</f>
        <v>0</v>
      </c>
      <c r="O42" s="188">
        <v>53</v>
      </c>
      <c r="P42" s="188">
        <v>0</v>
      </c>
      <c r="Q42" s="188">
        <v>0</v>
      </c>
      <c r="W42" s="485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/>
      <c r="N43" s="18">
        <f t="shared" si="4"/>
        <v>0</v>
      </c>
      <c r="O43" s="188">
        <v>0</v>
      </c>
      <c r="P43" s="188">
        <v>0</v>
      </c>
      <c r="Q43" s="188">
        <v>0</v>
      </c>
      <c r="W43" s="485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/>
      <c r="N44" s="18">
        <f t="shared" si="4"/>
        <v>0</v>
      </c>
      <c r="O44" s="188">
        <v>1</v>
      </c>
      <c r="P44" s="188">
        <v>0</v>
      </c>
      <c r="Q44" s="188">
        <v>0</v>
      </c>
      <c r="W44" s="485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/>
      <c r="N45" s="18">
        <f t="shared" si="4"/>
        <v>0</v>
      </c>
      <c r="O45" s="195">
        <v>4</v>
      </c>
      <c r="P45" s="195">
        <v>0</v>
      </c>
      <c r="Q45" s="195">
        <v>0</v>
      </c>
      <c r="W45" s="485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/>
      <c r="N46" s="18">
        <f t="shared" si="4"/>
        <v>0</v>
      </c>
      <c r="O46" s="188">
        <v>46</v>
      </c>
      <c r="P46" s="188">
        <v>0</v>
      </c>
      <c r="Q46" s="188">
        <v>0</v>
      </c>
      <c r="W46" s="485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/>
      <c r="N47" s="18">
        <f t="shared" si="4"/>
        <v>0</v>
      </c>
      <c r="O47" s="195">
        <v>0</v>
      </c>
      <c r="P47" s="195">
        <v>0</v>
      </c>
      <c r="Q47" s="195">
        <v>0</v>
      </c>
      <c r="W47" s="485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/>
      <c r="N48" s="18">
        <f t="shared" si="4"/>
        <v>0</v>
      </c>
      <c r="O48" s="195">
        <v>0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/>
      <c r="N49" s="18">
        <f t="shared" si="4"/>
        <v>0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/>
      <c r="N50" s="18">
        <f t="shared" si="4"/>
        <v>0</v>
      </c>
      <c r="O50" s="195">
        <v>0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/>
      <c r="N51" s="18">
        <f t="shared" si="4"/>
        <v>0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/>
      <c r="N52" s="18">
        <f t="shared" si="4"/>
        <v>0</v>
      </c>
      <c r="O52" s="195">
        <v>21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/>
      <c r="N53" s="18">
        <f t="shared" si="4"/>
        <v>0</v>
      </c>
      <c r="O53" s="195">
        <v>32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/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/>
      <c r="N55" s="18">
        <f t="shared" si="4"/>
        <v>0</v>
      </c>
      <c r="O55" s="195">
        <v>53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/>
      <c r="N56" s="38">
        <f t="shared" si="4"/>
        <v>0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165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0</v>
      </c>
      <c r="E60" s="15">
        <v>0</v>
      </c>
      <c r="F60" s="13">
        <v>0</v>
      </c>
      <c r="G60" s="13">
        <v>0</v>
      </c>
      <c r="H60" s="13">
        <v>0</v>
      </c>
      <c r="I60" s="18">
        <f>E60+F60+G60+H60</f>
        <v>0</v>
      </c>
      <c r="J60" s="15">
        <v>0</v>
      </c>
      <c r="K60" s="13">
        <v>0</v>
      </c>
      <c r="L60" s="13">
        <v>0</v>
      </c>
      <c r="M60" s="13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2">
        <v>0</v>
      </c>
      <c r="C61" s="12">
        <v>0</v>
      </c>
      <c r="D61" s="23">
        <v>0</v>
      </c>
      <c r="E61" s="24">
        <v>0</v>
      </c>
      <c r="F61" s="12">
        <v>0</v>
      </c>
      <c r="G61" s="12">
        <v>0</v>
      </c>
      <c r="H61" s="12">
        <v>0</v>
      </c>
      <c r="I61" s="18">
        <f t="shared" ref="I61:I80" si="6">E61+F61+G61+H61</f>
        <v>0</v>
      </c>
      <c r="J61" s="24">
        <v>0</v>
      </c>
      <c r="K61" s="12">
        <v>0</v>
      </c>
      <c r="L61" s="12">
        <v>0</v>
      </c>
      <c r="M61" s="12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2">
        <v>0</v>
      </c>
      <c r="C62" s="12">
        <v>0</v>
      </c>
      <c r="D62" s="23">
        <v>0</v>
      </c>
      <c r="E62" s="24">
        <v>0</v>
      </c>
      <c r="F62" s="12">
        <v>0</v>
      </c>
      <c r="G62" s="12">
        <v>0</v>
      </c>
      <c r="H62" s="12">
        <v>0</v>
      </c>
      <c r="I62" s="18">
        <f t="shared" si="6"/>
        <v>0</v>
      </c>
      <c r="J62" s="24">
        <v>0</v>
      </c>
      <c r="K62" s="12">
        <v>0</v>
      </c>
      <c r="L62" s="12">
        <v>0</v>
      </c>
      <c r="M62" s="12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0</v>
      </c>
      <c r="E63" s="24">
        <v>0</v>
      </c>
      <c r="F63" s="12">
        <v>0</v>
      </c>
      <c r="G63" s="12">
        <v>0</v>
      </c>
      <c r="H63" s="12">
        <v>0</v>
      </c>
      <c r="I63" s="18">
        <f t="shared" si="6"/>
        <v>0</v>
      </c>
      <c r="J63" s="24">
        <v>0</v>
      </c>
      <c r="K63" s="12">
        <v>0</v>
      </c>
      <c r="L63" s="12">
        <v>0</v>
      </c>
      <c r="M63" s="12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0</v>
      </c>
      <c r="D64" s="23">
        <v>960</v>
      </c>
      <c r="E64" s="24">
        <v>0</v>
      </c>
      <c r="F64" s="12">
        <v>0</v>
      </c>
      <c r="G64" s="25">
        <v>133</v>
      </c>
      <c r="H64" s="26">
        <v>0</v>
      </c>
      <c r="I64" s="18">
        <f t="shared" si="6"/>
        <v>133</v>
      </c>
      <c r="J64" s="27">
        <v>87</v>
      </c>
      <c r="K64" s="26">
        <v>144</v>
      </c>
      <c r="L64" s="28">
        <v>130</v>
      </c>
      <c r="M64" s="26">
        <v>366</v>
      </c>
      <c r="N64" s="18">
        <f t="shared" si="5"/>
        <v>727</v>
      </c>
      <c r="O64" s="27">
        <v>238</v>
      </c>
      <c r="P64" s="26"/>
      <c r="Q64" s="28"/>
    </row>
    <row r="65" spans="1:18" x14ac:dyDescent="0.2">
      <c r="A65" s="11" t="s">
        <v>7</v>
      </c>
      <c r="B65" s="12">
        <v>0</v>
      </c>
      <c r="C65" s="12">
        <v>0</v>
      </c>
      <c r="D65" s="23">
        <v>37</v>
      </c>
      <c r="E65" s="24">
        <v>0</v>
      </c>
      <c r="F65" s="12">
        <v>0</v>
      </c>
      <c r="G65" s="25">
        <v>5</v>
      </c>
      <c r="H65" s="26">
        <v>0</v>
      </c>
      <c r="I65" s="18">
        <f t="shared" si="6"/>
        <v>5</v>
      </c>
      <c r="J65" s="27">
        <v>4</v>
      </c>
      <c r="K65" s="26">
        <v>23</v>
      </c>
      <c r="L65" s="28">
        <v>43</v>
      </c>
      <c r="M65" s="26">
        <v>62</v>
      </c>
      <c r="N65" s="18">
        <f t="shared" si="5"/>
        <v>132</v>
      </c>
      <c r="O65" s="27">
        <v>14</v>
      </c>
      <c r="P65" s="26"/>
      <c r="Q65" s="28"/>
    </row>
    <row r="66" spans="1:18" x14ac:dyDescent="0.2">
      <c r="A66" s="22" t="s">
        <v>12</v>
      </c>
      <c r="B66" s="189">
        <v>138</v>
      </c>
      <c r="C66" s="189">
        <v>123</v>
      </c>
      <c r="D66" s="23">
        <v>1256</v>
      </c>
      <c r="E66" s="24">
        <v>0</v>
      </c>
      <c r="F66" s="12">
        <v>0</v>
      </c>
      <c r="G66" s="25">
        <v>643</v>
      </c>
      <c r="H66" s="26">
        <v>0</v>
      </c>
      <c r="I66" s="18">
        <f t="shared" si="6"/>
        <v>643</v>
      </c>
      <c r="J66" s="27">
        <v>284</v>
      </c>
      <c r="K66" s="26">
        <v>577</v>
      </c>
      <c r="L66" s="28">
        <v>414</v>
      </c>
      <c r="M66" s="26">
        <v>927</v>
      </c>
      <c r="N66" s="18">
        <f t="shared" si="5"/>
        <v>2202</v>
      </c>
      <c r="O66" s="27">
        <v>690</v>
      </c>
      <c r="P66" s="49"/>
      <c r="Q66" s="37"/>
      <c r="R66" s="190" t="s">
        <v>169</v>
      </c>
    </row>
    <row r="67" spans="1:18" ht="16" thickBot="1" x14ac:dyDescent="0.25">
      <c r="A67" s="22" t="s">
        <v>8</v>
      </c>
      <c r="B67" s="198">
        <v>12</v>
      </c>
      <c r="C67" s="30">
        <v>0</v>
      </c>
      <c r="D67" s="31">
        <v>58</v>
      </c>
      <c r="E67" s="32">
        <v>0</v>
      </c>
      <c r="F67" s="30">
        <v>0</v>
      </c>
      <c r="G67" s="33">
        <v>44</v>
      </c>
      <c r="H67" s="34">
        <v>0</v>
      </c>
      <c r="I67" s="18">
        <f t="shared" si="6"/>
        <v>44</v>
      </c>
      <c r="J67" s="35">
        <v>36</v>
      </c>
      <c r="K67" s="36">
        <v>109</v>
      </c>
      <c r="L67" s="37">
        <v>139</v>
      </c>
      <c r="M67" s="36">
        <v>217</v>
      </c>
      <c r="N67" s="38">
        <f t="shared" si="5"/>
        <v>501</v>
      </c>
      <c r="O67" s="182">
        <v>160</v>
      </c>
      <c r="P67" s="49"/>
      <c r="Q67" s="37"/>
    </row>
    <row r="68" spans="1:18" ht="16" thickTop="1" x14ac:dyDescent="0.2">
      <c r="A68" s="177" t="s">
        <v>19</v>
      </c>
      <c r="B68" s="199">
        <v>2836</v>
      </c>
      <c r="C68" s="13">
        <v>16</v>
      </c>
      <c r="D68" s="197">
        <v>3361</v>
      </c>
      <c r="E68" s="40">
        <v>118</v>
      </c>
      <c r="F68" s="13">
        <v>180</v>
      </c>
      <c r="G68" s="41">
        <v>133</v>
      </c>
      <c r="H68" s="20">
        <v>74</v>
      </c>
      <c r="I68" s="42">
        <f t="shared" si="6"/>
        <v>505</v>
      </c>
      <c r="J68" s="43">
        <v>119</v>
      </c>
      <c r="K68" s="17">
        <v>144</v>
      </c>
      <c r="L68" s="44">
        <v>228</v>
      </c>
      <c r="M68" s="17">
        <v>366</v>
      </c>
      <c r="N68" s="18">
        <f t="shared" si="5"/>
        <v>857</v>
      </c>
      <c r="O68" s="43">
        <v>201</v>
      </c>
      <c r="P68" s="17"/>
      <c r="Q68" s="44"/>
    </row>
    <row r="69" spans="1:18" x14ac:dyDescent="0.2">
      <c r="A69" s="45" t="s">
        <v>16</v>
      </c>
      <c r="B69" s="189">
        <v>2836</v>
      </c>
      <c r="C69" s="12">
        <v>16</v>
      </c>
      <c r="D69" s="187">
        <v>3361</v>
      </c>
      <c r="E69" s="24">
        <v>118</v>
      </c>
      <c r="F69" s="12">
        <v>180</v>
      </c>
      <c r="G69" s="25">
        <v>133</v>
      </c>
      <c r="H69" s="26">
        <v>0</v>
      </c>
      <c r="I69" s="18">
        <f t="shared" si="6"/>
        <v>431</v>
      </c>
      <c r="J69" s="27">
        <v>87</v>
      </c>
      <c r="K69" s="26">
        <v>144</v>
      </c>
      <c r="L69" s="28">
        <v>130</v>
      </c>
      <c r="M69" s="26">
        <v>366</v>
      </c>
      <c r="N69" s="18">
        <f t="shared" si="5"/>
        <v>727</v>
      </c>
      <c r="O69" s="27">
        <v>201</v>
      </c>
      <c r="P69" s="26"/>
      <c r="Q69" s="28"/>
    </row>
    <row r="70" spans="1:18" x14ac:dyDescent="0.2">
      <c r="A70" s="177" t="s">
        <v>15</v>
      </c>
      <c r="B70" s="12">
        <v>0</v>
      </c>
      <c r="C70" s="12">
        <v>3</v>
      </c>
      <c r="D70" s="23">
        <v>18</v>
      </c>
      <c r="E70" s="24">
        <v>6</v>
      </c>
      <c r="F70" s="12">
        <v>2</v>
      </c>
      <c r="G70" s="25">
        <v>5</v>
      </c>
      <c r="H70" s="26">
        <v>0</v>
      </c>
      <c r="I70" s="18">
        <f t="shared" si="6"/>
        <v>13</v>
      </c>
      <c r="J70" s="27">
        <v>5</v>
      </c>
      <c r="K70" s="26">
        <v>23</v>
      </c>
      <c r="L70" s="28">
        <v>43</v>
      </c>
      <c r="M70" s="26">
        <v>62</v>
      </c>
      <c r="N70" s="18">
        <f t="shared" si="5"/>
        <v>133</v>
      </c>
      <c r="O70" s="27">
        <v>10</v>
      </c>
      <c r="P70" s="26"/>
      <c r="Q70" s="28"/>
    </row>
    <row r="71" spans="1:18" x14ac:dyDescent="0.2">
      <c r="A71" s="45" t="s">
        <v>20</v>
      </c>
      <c r="B71" s="12">
        <v>189</v>
      </c>
      <c r="C71" s="12">
        <v>107</v>
      </c>
      <c r="D71" s="23">
        <v>1961</v>
      </c>
      <c r="E71" s="24">
        <v>417</v>
      </c>
      <c r="F71" s="12">
        <v>604</v>
      </c>
      <c r="G71" s="25">
        <v>644</v>
      </c>
      <c r="H71" s="26">
        <v>174</v>
      </c>
      <c r="I71" s="18">
        <f t="shared" si="6"/>
        <v>1839</v>
      </c>
      <c r="J71" s="27">
        <v>362</v>
      </c>
      <c r="K71" s="26">
        <v>577</v>
      </c>
      <c r="L71" s="28">
        <v>671</v>
      </c>
      <c r="M71" s="26">
        <v>927</v>
      </c>
      <c r="N71" s="18">
        <f t="shared" si="5"/>
        <v>2537</v>
      </c>
      <c r="O71" s="27">
        <v>516</v>
      </c>
      <c r="P71" s="26"/>
      <c r="Q71" s="28"/>
    </row>
    <row r="72" spans="1:18" x14ac:dyDescent="0.2">
      <c r="A72" s="45" t="s">
        <v>18</v>
      </c>
      <c r="B72" s="12">
        <v>0</v>
      </c>
      <c r="C72" s="12">
        <v>0</v>
      </c>
      <c r="D72" s="23">
        <v>612</v>
      </c>
      <c r="E72" s="24"/>
      <c r="F72" s="12"/>
      <c r="G72" s="25"/>
      <c r="H72" s="26"/>
      <c r="I72" s="18">
        <f t="shared" si="6"/>
        <v>0</v>
      </c>
      <c r="J72" s="27">
        <v>230</v>
      </c>
      <c r="K72" s="26">
        <v>577</v>
      </c>
      <c r="L72" s="28">
        <v>536</v>
      </c>
      <c r="M72" s="26">
        <v>927</v>
      </c>
      <c r="N72" s="18">
        <f t="shared" si="5"/>
        <v>2270</v>
      </c>
      <c r="O72" s="27">
        <v>516</v>
      </c>
      <c r="P72" s="26"/>
      <c r="Q72" s="28"/>
    </row>
    <row r="73" spans="1:18" x14ac:dyDescent="0.2">
      <c r="A73" s="45" t="s">
        <v>17</v>
      </c>
      <c r="B73" s="12">
        <v>3</v>
      </c>
      <c r="C73" s="12">
        <v>5</v>
      </c>
      <c r="D73" s="23">
        <v>85</v>
      </c>
      <c r="E73" s="24">
        <v>35</v>
      </c>
      <c r="F73" s="12">
        <v>38</v>
      </c>
      <c r="G73" s="25">
        <v>44</v>
      </c>
      <c r="H73" s="26">
        <v>2</v>
      </c>
      <c r="I73" s="18">
        <f t="shared" si="6"/>
        <v>119</v>
      </c>
      <c r="J73" s="27">
        <v>34</v>
      </c>
      <c r="K73" s="26">
        <v>109</v>
      </c>
      <c r="L73" s="28">
        <v>139</v>
      </c>
      <c r="M73" s="26">
        <v>216</v>
      </c>
      <c r="N73" s="18">
        <f t="shared" si="5"/>
        <v>498</v>
      </c>
      <c r="O73" s="27">
        <v>129</v>
      </c>
      <c r="P73" s="26"/>
      <c r="Q73" s="28"/>
    </row>
    <row r="74" spans="1:18" ht="16" thickBot="1" x14ac:dyDescent="0.25">
      <c r="A74" s="179" t="s">
        <v>21</v>
      </c>
      <c r="B74" s="34">
        <v>0</v>
      </c>
      <c r="C74" s="34">
        <v>0</v>
      </c>
      <c r="D74" s="47">
        <v>1</v>
      </c>
      <c r="E74" s="48">
        <v>1</v>
      </c>
      <c r="F74" s="34">
        <v>0</v>
      </c>
      <c r="G74" s="33">
        <v>1</v>
      </c>
      <c r="H74" s="34">
        <v>0</v>
      </c>
      <c r="I74" s="38">
        <f t="shared" si="6"/>
        <v>2</v>
      </c>
      <c r="J74" s="48">
        <v>1</v>
      </c>
      <c r="K74" s="49">
        <v>1</v>
      </c>
      <c r="L74" s="37">
        <v>1</v>
      </c>
      <c r="M74" s="49">
        <v>1</v>
      </c>
      <c r="N74" s="18">
        <f t="shared" si="5"/>
        <v>4</v>
      </c>
      <c r="O74" s="48">
        <v>4</v>
      </c>
      <c r="P74" s="49"/>
      <c r="Q74" s="37"/>
    </row>
    <row r="75" spans="1:18" ht="16" thickTop="1" x14ac:dyDescent="0.2">
      <c r="A75" s="55" t="s">
        <v>25</v>
      </c>
      <c r="B75" s="13">
        <v>33</v>
      </c>
      <c r="C75" s="13">
        <v>15</v>
      </c>
      <c r="D75" s="14">
        <v>304</v>
      </c>
      <c r="E75" s="40">
        <v>71</v>
      </c>
      <c r="F75" s="13">
        <v>54</v>
      </c>
      <c r="G75" s="41">
        <v>66</v>
      </c>
      <c r="H75" s="20">
        <v>59</v>
      </c>
      <c r="I75" s="18">
        <f t="shared" si="6"/>
        <v>250</v>
      </c>
      <c r="J75" s="19">
        <v>91</v>
      </c>
      <c r="K75" s="51">
        <v>64</v>
      </c>
      <c r="L75" s="44">
        <v>63</v>
      </c>
      <c r="M75" s="51">
        <v>87</v>
      </c>
      <c r="N75" s="42">
        <f t="shared" si="5"/>
        <v>305</v>
      </c>
      <c r="O75" s="19">
        <v>23</v>
      </c>
      <c r="P75" s="51"/>
      <c r="Q75" s="44"/>
    </row>
    <row r="76" spans="1:18" x14ac:dyDescent="0.2">
      <c r="A76" s="52" t="s">
        <v>26</v>
      </c>
      <c r="B76" s="12">
        <v>83</v>
      </c>
      <c r="C76" s="12">
        <v>93</v>
      </c>
      <c r="D76" s="23">
        <v>1005</v>
      </c>
      <c r="E76" s="24">
        <v>259</v>
      </c>
      <c r="F76" s="12">
        <v>172</v>
      </c>
      <c r="G76" s="25">
        <v>233</v>
      </c>
      <c r="H76" s="26">
        <v>194</v>
      </c>
      <c r="I76" s="18">
        <f t="shared" si="6"/>
        <v>858</v>
      </c>
      <c r="J76" s="27">
        <v>232</v>
      </c>
      <c r="K76" s="53">
        <v>215</v>
      </c>
      <c r="L76" s="28">
        <v>212</v>
      </c>
      <c r="M76" s="53">
        <v>240</v>
      </c>
      <c r="N76" s="18">
        <f t="shared" si="5"/>
        <v>899</v>
      </c>
      <c r="O76" s="27">
        <v>87</v>
      </c>
      <c r="P76" s="53"/>
      <c r="Q76" s="28"/>
    </row>
    <row r="77" spans="1:18" x14ac:dyDescent="0.2">
      <c r="A77" s="52" t="s">
        <v>27</v>
      </c>
      <c r="B77" s="26">
        <v>18</v>
      </c>
      <c r="C77" s="26">
        <v>21</v>
      </c>
      <c r="D77" s="54">
        <v>222</v>
      </c>
      <c r="E77" s="27">
        <v>49</v>
      </c>
      <c r="F77" s="26">
        <v>35</v>
      </c>
      <c r="G77" s="25">
        <v>58</v>
      </c>
      <c r="H77" s="26">
        <v>50</v>
      </c>
      <c r="I77" s="18">
        <f t="shared" si="6"/>
        <v>192</v>
      </c>
      <c r="J77" s="27">
        <v>46</v>
      </c>
      <c r="K77" s="53">
        <v>50</v>
      </c>
      <c r="L77" s="28">
        <v>50</v>
      </c>
      <c r="M77" s="53">
        <v>39</v>
      </c>
      <c r="N77" s="18">
        <f t="shared" si="5"/>
        <v>185</v>
      </c>
      <c r="O77" s="27">
        <v>28</v>
      </c>
      <c r="P77" s="53"/>
      <c r="Q77" s="28"/>
    </row>
    <row r="78" spans="1:18" x14ac:dyDescent="0.2">
      <c r="A78" s="52" t="s">
        <v>28</v>
      </c>
      <c r="B78" s="56">
        <v>3</v>
      </c>
      <c r="C78" s="56">
        <v>2</v>
      </c>
      <c r="D78" s="57">
        <v>12</v>
      </c>
      <c r="E78" s="58">
        <v>3</v>
      </c>
      <c r="F78" s="59">
        <v>0</v>
      </c>
      <c r="G78" s="60">
        <v>1</v>
      </c>
      <c r="H78" s="61">
        <v>0</v>
      </c>
      <c r="I78" s="18">
        <f t="shared" si="6"/>
        <v>4</v>
      </c>
      <c r="J78" s="27">
        <v>2</v>
      </c>
      <c r="K78" s="53">
        <v>1</v>
      </c>
      <c r="L78" s="28">
        <v>1</v>
      </c>
      <c r="M78" s="53">
        <v>10</v>
      </c>
      <c r="N78" s="18">
        <f t="shared" si="5"/>
        <v>14</v>
      </c>
      <c r="O78" s="27">
        <v>0</v>
      </c>
      <c r="P78" s="53"/>
      <c r="Q78" s="28"/>
    </row>
    <row r="79" spans="1:18" x14ac:dyDescent="0.2">
      <c r="A79" s="55" t="s">
        <v>22</v>
      </c>
      <c r="B79" s="56">
        <v>37</v>
      </c>
      <c r="C79" s="56">
        <v>0</v>
      </c>
      <c r="D79" s="57">
        <v>293</v>
      </c>
      <c r="E79" s="58">
        <v>0</v>
      </c>
      <c r="F79" s="59">
        <v>0</v>
      </c>
      <c r="G79" s="60">
        <v>34</v>
      </c>
      <c r="H79" s="61">
        <v>90</v>
      </c>
      <c r="I79" s="18">
        <f t="shared" si="6"/>
        <v>124</v>
      </c>
      <c r="J79" s="27">
        <v>15</v>
      </c>
      <c r="K79" s="53">
        <v>72</v>
      </c>
      <c r="L79" s="28">
        <v>66</v>
      </c>
      <c r="M79" s="53">
        <v>82</v>
      </c>
      <c r="N79" s="18">
        <f t="shared" si="5"/>
        <v>235</v>
      </c>
      <c r="O79" s="27">
        <v>22</v>
      </c>
      <c r="P79" s="53"/>
      <c r="Q79" s="28"/>
    </row>
    <row r="80" spans="1:18" x14ac:dyDescent="0.2">
      <c r="A80" s="52" t="s">
        <v>23</v>
      </c>
      <c r="B80" s="56">
        <v>11</v>
      </c>
      <c r="C80" s="56">
        <v>0</v>
      </c>
      <c r="D80" s="57">
        <v>184</v>
      </c>
      <c r="E80" s="58">
        <v>14</v>
      </c>
      <c r="F80" s="59">
        <v>0</v>
      </c>
      <c r="G80" s="60">
        <v>30</v>
      </c>
      <c r="H80" s="61">
        <v>81</v>
      </c>
      <c r="I80" s="18">
        <f t="shared" si="6"/>
        <v>125</v>
      </c>
      <c r="J80" s="27">
        <v>8</v>
      </c>
      <c r="K80" s="53">
        <v>18</v>
      </c>
      <c r="L80" s="28">
        <v>18</v>
      </c>
      <c r="M80" s="53">
        <v>81</v>
      </c>
      <c r="N80" s="18">
        <f t="shared" si="5"/>
        <v>125</v>
      </c>
      <c r="O80" s="27">
        <v>18</v>
      </c>
      <c r="P80" s="53"/>
      <c r="Q80" s="28"/>
    </row>
    <row r="81" spans="1:30" ht="17" thickBot="1" x14ac:dyDescent="0.25">
      <c r="A81" s="52" t="s">
        <v>24</v>
      </c>
      <c r="B81" s="63">
        <v>2</v>
      </c>
      <c r="C81" s="63">
        <v>0</v>
      </c>
      <c r="D81" s="64">
        <v>121</v>
      </c>
      <c r="E81" s="65">
        <v>0</v>
      </c>
      <c r="F81" s="66">
        <v>0</v>
      </c>
      <c r="G81" s="67">
        <v>13</v>
      </c>
      <c r="H81" s="68">
        <v>47</v>
      </c>
      <c r="I81" s="38">
        <f>SUM(E81:H81)</f>
        <v>60</v>
      </c>
      <c r="J81" s="35">
        <v>10</v>
      </c>
      <c r="K81" s="49">
        <v>10</v>
      </c>
      <c r="L81" s="37">
        <v>0</v>
      </c>
      <c r="M81" s="49">
        <v>81</v>
      </c>
      <c r="N81" s="18">
        <f t="shared" si="5"/>
        <v>101</v>
      </c>
      <c r="O81" s="35">
        <v>37</v>
      </c>
      <c r="P81" s="49"/>
      <c r="Q81" s="37"/>
      <c r="W81" s="482" t="s">
        <v>251</v>
      </c>
      <c r="X81" s="483"/>
      <c r="Y81" s="484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0</v>
      </c>
      <c r="C82" s="13">
        <v>2</v>
      </c>
      <c r="D82" s="14">
        <v>31</v>
      </c>
      <c r="E82" s="40">
        <v>1</v>
      </c>
      <c r="F82" s="13">
        <v>4</v>
      </c>
      <c r="G82" s="41">
        <v>6</v>
      </c>
      <c r="H82" s="20">
        <v>0</v>
      </c>
      <c r="I82" s="18">
        <f>E82+F82+G82+H82</f>
        <v>11</v>
      </c>
      <c r="J82" s="70">
        <v>6</v>
      </c>
      <c r="K82" s="16">
        <v>23</v>
      </c>
      <c r="L82" s="16">
        <v>42</v>
      </c>
      <c r="M82" s="16">
        <v>37</v>
      </c>
      <c r="N82" s="42">
        <f t="shared" si="5"/>
        <v>108</v>
      </c>
      <c r="O82" s="70">
        <v>14</v>
      </c>
      <c r="P82" s="16"/>
      <c r="Q82" s="16"/>
      <c r="W82" s="439" t="s">
        <v>59</v>
      </c>
      <c r="X82" s="238"/>
      <c r="Y82" s="226" t="s">
        <v>204</v>
      </c>
      <c r="Z82" s="252">
        <f>D81</f>
        <v>121</v>
      </c>
      <c r="AA82" s="252">
        <f>B81+C81+E81</f>
        <v>2</v>
      </c>
      <c r="AB82" s="252">
        <f>F81+G81+H81+J81+K81</f>
        <v>80</v>
      </c>
      <c r="AC82" s="252">
        <f>L81+M81+O81</f>
        <v>118</v>
      </c>
      <c r="AD82" s="252">
        <f>L81+M81+O81+P81+Q81</f>
        <v>118</v>
      </c>
    </row>
    <row r="83" spans="1:30" x14ac:dyDescent="0.2">
      <c r="A83" s="71" t="s">
        <v>30</v>
      </c>
      <c r="B83" s="12">
        <v>0</v>
      </c>
      <c r="C83" s="12">
        <v>3</v>
      </c>
      <c r="D83" s="23">
        <v>39</v>
      </c>
      <c r="E83" s="24">
        <v>8</v>
      </c>
      <c r="F83" s="12">
        <v>16</v>
      </c>
      <c r="G83" s="25">
        <v>4</v>
      </c>
      <c r="H83" s="26">
        <v>0</v>
      </c>
      <c r="I83" s="18">
        <f t="shared" ref="I83:I85" si="7">E83+F83+G83+H83</f>
        <v>28</v>
      </c>
      <c r="J83" s="27">
        <v>6</v>
      </c>
      <c r="K83" s="27">
        <v>39</v>
      </c>
      <c r="L83" s="27">
        <v>43</v>
      </c>
      <c r="M83" s="27">
        <v>52</v>
      </c>
      <c r="N83" s="18">
        <f t="shared" si="5"/>
        <v>140</v>
      </c>
      <c r="O83" s="27">
        <v>29</v>
      </c>
      <c r="P83" s="27"/>
      <c r="Q83" s="27"/>
      <c r="W83" s="439"/>
      <c r="X83" s="238"/>
      <c r="Y83" s="226" t="s">
        <v>211</v>
      </c>
      <c r="Z83" s="253">
        <f>Z82/12</f>
        <v>10.083333333333334</v>
      </c>
      <c r="AA83" s="253">
        <f>AA82/5</f>
        <v>0.4</v>
      </c>
      <c r="AB83" s="253">
        <f>AB82/15</f>
        <v>5.333333333333333</v>
      </c>
      <c r="AC83" s="253">
        <f>AC82/9</f>
        <v>13.111111111111111</v>
      </c>
      <c r="AD83" s="226"/>
    </row>
    <row r="84" spans="1:30" x14ac:dyDescent="0.2">
      <c r="A84" s="71" t="s">
        <v>31</v>
      </c>
      <c r="B84" s="12">
        <v>0</v>
      </c>
      <c r="C84" s="12">
        <v>0</v>
      </c>
      <c r="D84" s="23">
        <v>16</v>
      </c>
      <c r="E84" s="24">
        <v>2</v>
      </c>
      <c r="F84" s="12">
        <v>6</v>
      </c>
      <c r="G84" s="25">
        <v>8</v>
      </c>
      <c r="H84" s="26">
        <v>0</v>
      </c>
      <c r="I84" s="18">
        <f t="shared" si="7"/>
        <v>16</v>
      </c>
      <c r="J84" s="27">
        <v>7</v>
      </c>
      <c r="K84" s="27">
        <v>16</v>
      </c>
      <c r="L84" s="27">
        <v>17</v>
      </c>
      <c r="M84" s="27">
        <v>26</v>
      </c>
      <c r="N84" s="18">
        <f t="shared" si="5"/>
        <v>66</v>
      </c>
      <c r="O84" s="27">
        <v>30</v>
      </c>
      <c r="P84" s="27"/>
      <c r="Q84" s="27"/>
      <c r="W84" s="440" t="s">
        <v>171</v>
      </c>
      <c r="X84" s="237"/>
      <c r="Y84" s="227" t="s">
        <v>212</v>
      </c>
      <c r="Z84" s="272">
        <f>Z85/Z86</f>
        <v>0.64605543710021318</v>
      </c>
      <c r="AA84" s="272">
        <v>0</v>
      </c>
      <c r="AB84" s="272">
        <f t="shared" ref="AB84:AC84" si="8">AB85/AB86</f>
        <v>0.510221465076661</v>
      </c>
      <c r="AC84" s="272">
        <f t="shared" si="8"/>
        <v>0.92835721426191264</v>
      </c>
      <c r="AD84" s="227"/>
    </row>
    <row r="85" spans="1:30" x14ac:dyDescent="0.2">
      <c r="A85" s="71" t="s">
        <v>32</v>
      </c>
      <c r="B85" s="12">
        <v>4</v>
      </c>
      <c r="C85" s="12">
        <v>3</v>
      </c>
      <c r="D85" s="23">
        <v>46</v>
      </c>
      <c r="E85" s="24">
        <v>9</v>
      </c>
      <c r="F85" s="12">
        <v>7</v>
      </c>
      <c r="G85" s="25">
        <v>31</v>
      </c>
      <c r="H85" s="26">
        <v>2</v>
      </c>
      <c r="I85" s="18">
        <f t="shared" si="7"/>
        <v>49</v>
      </c>
      <c r="J85" s="27">
        <v>21</v>
      </c>
      <c r="K85" s="27">
        <v>54</v>
      </c>
      <c r="L85" s="27">
        <v>80</v>
      </c>
      <c r="M85" s="27">
        <v>93</v>
      </c>
      <c r="N85" s="18">
        <f t="shared" si="5"/>
        <v>248</v>
      </c>
      <c r="O85" s="27">
        <v>101</v>
      </c>
      <c r="P85" s="27"/>
      <c r="Q85" s="27"/>
      <c r="W85" s="440"/>
      <c r="X85" s="237"/>
      <c r="Y85" s="227" t="s">
        <v>217</v>
      </c>
      <c r="Z85" s="227">
        <v>303</v>
      </c>
      <c r="AA85" s="227">
        <v>0</v>
      </c>
      <c r="AB85" s="227">
        <v>4193</v>
      </c>
      <c r="AC85" s="227">
        <v>8358</v>
      </c>
      <c r="AD85" s="227"/>
    </row>
    <row r="86" spans="1:30" x14ac:dyDescent="0.2">
      <c r="A86" s="72" t="s">
        <v>33</v>
      </c>
      <c r="B86" s="73">
        <f>SUM(B82:B85)</f>
        <v>4</v>
      </c>
      <c r="C86" s="73">
        <f>SUM(C82:C85)</f>
        <v>8</v>
      </c>
      <c r="D86" s="74">
        <f>SUM(D82:D85)</f>
        <v>132</v>
      </c>
      <c r="E86" s="73">
        <f t="shared" ref="E86:G86" si="9">SUM(E82:E85)</f>
        <v>20</v>
      </c>
      <c r="F86" s="73">
        <f t="shared" si="9"/>
        <v>33</v>
      </c>
      <c r="G86" s="73">
        <f t="shared" si="9"/>
        <v>49</v>
      </c>
      <c r="H86" s="73">
        <f>SUM(H82:H85)</f>
        <v>2</v>
      </c>
      <c r="I86" s="18">
        <f>E86+F86+G86+H86</f>
        <v>104</v>
      </c>
      <c r="J86" s="73">
        <f>SUM(J82:J85)</f>
        <v>40</v>
      </c>
      <c r="K86" s="73">
        <f t="shared" ref="K86:L86" si="10">SUM(K82:K85)</f>
        <v>132</v>
      </c>
      <c r="L86" s="73">
        <f t="shared" si="10"/>
        <v>182</v>
      </c>
      <c r="M86" s="73">
        <f>SUM(M82:M85)</f>
        <v>208</v>
      </c>
      <c r="N86" s="18">
        <f t="shared" si="5"/>
        <v>562</v>
      </c>
      <c r="O86" s="75"/>
      <c r="P86" s="75"/>
      <c r="Q86" s="75"/>
      <c r="W86" s="440"/>
      <c r="X86" s="237"/>
      <c r="Y86" s="227" t="s">
        <v>218</v>
      </c>
      <c r="Z86" s="227">
        <v>469</v>
      </c>
      <c r="AA86" s="227">
        <v>0</v>
      </c>
      <c r="AB86" s="227">
        <v>8218</v>
      </c>
      <c r="AC86" s="227">
        <v>9003</v>
      </c>
      <c r="AD86" s="227"/>
    </row>
    <row r="87" spans="1:30" x14ac:dyDescent="0.2">
      <c r="A87" s="71" t="s">
        <v>34</v>
      </c>
      <c r="B87" s="26">
        <v>37</v>
      </c>
      <c r="C87" s="26">
        <v>0</v>
      </c>
      <c r="D87" s="54">
        <v>293</v>
      </c>
      <c r="E87" s="27">
        <v>0</v>
      </c>
      <c r="F87" s="26">
        <v>0</v>
      </c>
      <c r="G87" s="25">
        <v>34</v>
      </c>
      <c r="H87" s="26">
        <v>90</v>
      </c>
      <c r="I87" s="18">
        <f t="shared" ref="I87:I98" si="11">E87+F87+G87+H87</f>
        <v>124</v>
      </c>
      <c r="J87" s="27">
        <v>15</v>
      </c>
      <c r="K87" s="27">
        <v>72</v>
      </c>
      <c r="L87" s="27">
        <v>66</v>
      </c>
      <c r="M87" s="27">
        <v>82</v>
      </c>
      <c r="N87" s="18">
        <f t="shared" si="5"/>
        <v>235</v>
      </c>
      <c r="O87" s="27">
        <v>22</v>
      </c>
      <c r="P87" s="27"/>
      <c r="Q87" s="27"/>
      <c r="W87" s="441" t="s">
        <v>180</v>
      </c>
      <c r="X87" s="239"/>
      <c r="Y87" s="228" t="s">
        <v>213</v>
      </c>
      <c r="Z87" s="274">
        <f>Z88/Z89</f>
        <v>0.52878464818763327</v>
      </c>
      <c r="AA87" s="274">
        <v>0</v>
      </c>
      <c r="AB87" s="274">
        <f t="shared" ref="AB87:AC87" si="12">AB88/AB89</f>
        <v>0.36578242881479678</v>
      </c>
      <c r="AC87" s="274">
        <f t="shared" si="12"/>
        <v>0.65289347995112745</v>
      </c>
      <c r="AD87" s="228"/>
    </row>
    <row r="88" spans="1:30" x14ac:dyDescent="0.2">
      <c r="A88" s="71" t="s">
        <v>35</v>
      </c>
      <c r="B88" s="26">
        <v>11</v>
      </c>
      <c r="C88" s="26">
        <v>0</v>
      </c>
      <c r="D88" s="54">
        <v>184</v>
      </c>
      <c r="E88" s="27">
        <v>14</v>
      </c>
      <c r="F88" s="26">
        <v>0</v>
      </c>
      <c r="G88" s="25">
        <v>30</v>
      </c>
      <c r="H88" s="26">
        <v>81</v>
      </c>
      <c r="I88" s="18">
        <f t="shared" si="11"/>
        <v>125</v>
      </c>
      <c r="J88" s="27">
        <v>8</v>
      </c>
      <c r="K88" s="53">
        <v>18</v>
      </c>
      <c r="L88" s="53">
        <v>18</v>
      </c>
      <c r="M88" s="53">
        <v>81</v>
      </c>
      <c r="N88" s="18">
        <f t="shared" si="5"/>
        <v>125</v>
      </c>
      <c r="O88" s="27">
        <v>18</v>
      </c>
      <c r="P88" s="53"/>
      <c r="Q88" s="53"/>
      <c r="W88" s="441"/>
      <c r="X88" s="239"/>
      <c r="Y88" s="228" t="s">
        <v>219</v>
      </c>
      <c r="Z88" s="228">
        <v>248</v>
      </c>
      <c r="AA88" s="228">
        <v>0</v>
      </c>
      <c r="AB88" s="228">
        <v>3006</v>
      </c>
      <c r="AC88" s="228">
        <v>5878</v>
      </c>
      <c r="AD88" s="228"/>
    </row>
    <row r="89" spans="1:30" x14ac:dyDescent="0.2">
      <c r="A89" s="71" t="s">
        <v>36</v>
      </c>
      <c r="B89" s="26">
        <v>2</v>
      </c>
      <c r="C89" s="26">
        <v>0</v>
      </c>
      <c r="D89" s="54">
        <v>121</v>
      </c>
      <c r="E89" s="27">
        <v>0</v>
      </c>
      <c r="F89" s="26">
        <v>0</v>
      </c>
      <c r="G89" s="25">
        <v>13</v>
      </c>
      <c r="H89" s="26">
        <v>47</v>
      </c>
      <c r="I89" s="18">
        <f t="shared" si="11"/>
        <v>60</v>
      </c>
      <c r="J89" s="27">
        <v>10</v>
      </c>
      <c r="K89" s="53">
        <v>10</v>
      </c>
      <c r="L89" s="53">
        <v>0</v>
      </c>
      <c r="M89" s="53">
        <v>81</v>
      </c>
      <c r="N89" s="18">
        <f t="shared" si="5"/>
        <v>101</v>
      </c>
      <c r="O89" s="27">
        <v>37</v>
      </c>
      <c r="P89" s="53"/>
      <c r="Q89" s="53"/>
      <c r="W89" s="441"/>
      <c r="X89" s="239"/>
      <c r="Y89" s="228" t="s">
        <v>218</v>
      </c>
      <c r="Z89" s="228">
        <v>469</v>
      </c>
      <c r="AA89" s="228">
        <v>0</v>
      </c>
      <c r="AB89" s="228">
        <v>8218</v>
      </c>
      <c r="AC89" s="228">
        <v>9003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1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442" t="s">
        <v>173</v>
      </c>
      <c r="X90" s="240"/>
      <c r="Y90" s="229" t="s">
        <v>214</v>
      </c>
      <c r="Z90" s="254">
        <f>(D69+D72)/(D68+D71)</f>
        <v>0.74652386320931985</v>
      </c>
      <c r="AA90" s="254">
        <f>(B69+C69+E69+B72+C72+E72)/(B68+C68+E68+B71+C71+E71)</f>
        <v>0.80640781971219111</v>
      </c>
      <c r="AB90" s="254">
        <f>(F69+G69+H69+J69+K69+F72+G72+H72+J72+K72)/(F68+G68+H68+J68+K68+F71+G71+H71+J71+K71)</f>
        <v>0.44868814347392894</v>
      </c>
      <c r="AC90" s="254">
        <f>(L69+M69+O69+L72+M72+O72)/(L68+M68+O68+L71+M71+O71)</f>
        <v>0.91990374699209354</v>
      </c>
      <c r="AD90" s="254">
        <f>(L69+M69+O69+P69+Q69+L72+M72+O72+P72+Q72)/(L68+M68+O68+P68+Q68+L71+M71+O71+P71+Q71)</f>
        <v>0.91990374699209354</v>
      </c>
    </row>
    <row r="91" spans="1:30" x14ac:dyDescent="0.2">
      <c r="A91" s="71" t="s">
        <v>37</v>
      </c>
      <c r="B91" s="26">
        <v>4</v>
      </c>
      <c r="C91" s="26">
        <v>8</v>
      </c>
      <c r="D91" s="54">
        <v>122</v>
      </c>
      <c r="E91" s="27">
        <v>20</v>
      </c>
      <c r="F91" s="26">
        <v>33</v>
      </c>
      <c r="G91" s="25">
        <v>49</v>
      </c>
      <c r="H91" s="26">
        <v>2</v>
      </c>
      <c r="I91" s="18">
        <f t="shared" si="11"/>
        <v>104</v>
      </c>
      <c r="J91" s="27">
        <v>40</v>
      </c>
      <c r="K91" s="27">
        <v>132</v>
      </c>
      <c r="L91" s="27">
        <v>182</v>
      </c>
      <c r="M91" s="27">
        <v>208</v>
      </c>
      <c r="N91" s="18">
        <f t="shared" si="5"/>
        <v>562</v>
      </c>
      <c r="O91" s="27">
        <v>174</v>
      </c>
      <c r="P91" s="27"/>
      <c r="Q91" s="27"/>
      <c r="W91" s="442"/>
      <c r="X91" s="240"/>
      <c r="Y91" s="229" t="s">
        <v>215</v>
      </c>
      <c r="Z91" s="255">
        <f>(D69+D72)</f>
        <v>3973</v>
      </c>
      <c r="AA91" s="255">
        <f>(B69+C69+E69+B72+C72+E72)</f>
        <v>2970</v>
      </c>
      <c r="AB91" s="255">
        <f>F69+G69+H69+J69+K69+F72+G72+H72+J72+K72</f>
        <v>1351</v>
      </c>
      <c r="AC91" s="255">
        <f>L69+M69+O69+L72+M72+O72</f>
        <v>2676</v>
      </c>
      <c r="AD91" s="255">
        <f>(L69+M69+O69+P69+Q69+L72+M72+O72+P72+Q72)</f>
        <v>2676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1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442"/>
      <c r="X92" s="240"/>
      <c r="Y92" s="229" t="s">
        <v>216</v>
      </c>
      <c r="Z92" s="255">
        <f>D68+D71</f>
        <v>5322</v>
      </c>
      <c r="AA92" s="255">
        <f>(B68+C68+E68+B71+C71+E71)</f>
        <v>3683</v>
      </c>
      <c r="AB92" s="255">
        <f>F68+G68+H68+J68+K68+F71+G71+H71+J71+K71</f>
        <v>3011</v>
      </c>
      <c r="AC92" s="255">
        <f>(L68+M68+O68+L71+M71+O71)</f>
        <v>2909</v>
      </c>
      <c r="AD92" s="255">
        <f>(L68+M68+O68+P68+Q68+L71+M71+O71+P71+Q71)</f>
        <v>2909</v>
      </c>
    </row>
    <row r="93" spans="1:30" x14ac:dyDescent="0.2">
      <c r="A93" s="71" t="s">
        <v>39</v>
      </c>
      <c r="B93" s="26">
        <v>134</v>
      </c>
      <c r="C93" s="26">
        <v>115</v>
      </c>
      <c r="D93" s="54">
        <v>2437</v>
      </c>
      <c r="E93" s="27">
        <v>311</v>
      </c>
      <c r="F93" s="26">
        <v>567</v>
      </c>
      <c r="G93" s="25">
        <v>624</v>
      </c>
      <c r="H93" s="26">
        <v>35</v>
      </c>
      <c r="I93" s="18">
        <f t="shared" si="11"/>
        <v>1537</v>
      </c>
      <c r="J93" s="27">
        <v>321</v>
      </c>
      <c r="K93" s="27">
        <v>588</v>
      </c>
      <c r="L93" s="27">
        <v>404</v>
      </c>
      <c r="M93" s="27">
        <v>1152</v>
      </c>
      <c r="N93" s="18">
        <f t="shared" si="5"/>
        <v>2465</v>
      </c>
      <c r="O93" s="27">
        <v>754</v>
      </c>
      <c r="P93" s="27"/>
      <c r="Q93" s="27"/>
      <c r="W93" s="423" t="s">
        <v>174</v>
      </c>
      <c r="X93" s="241"/>
      <c r="Y93" s="230" t="s">
        <v>220</v>
      </c>
      <c r="Z93" s="256">
        <f>D86</f>
        <v>132</v>
      </c>
      <c r="AA93" s="256">
        <f>B86+C86+E86</f>
        <v>32</v>
      </c>
      <c r="AB93" s="256">
        <f>F86+G86+H86+J86+K86</f>
        <v>256</v>
      </c>
      <c r="AC93" s="256">
        <f>L86+M86+O86</f>
        <v>390</v>
      </c>
      <c r="AD93" s="256">
        <f>L86+M86+O86+P86+Q86</f>
        <v>390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1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423"/>
      <c r="X94" s="241"/>
      <c r="Y94" s="230" t="s">
        <v>221</v>
      </c>
      <c r="Z94" s="260">
        <f>Z93/12</f>
        <v>11</v>
      </c>
      <c r="AA94" s="260">
        <f>AA93/5</f>
        <v>6.4</v>
      </c>
      <c r="AB94" s="260">
        <f>AB93/15</f>
        <v>17.066666666666666</v>
      </c>
      <c r="AC94" s="260">
        <f>AC93/9</f>
        <v>43.333333333333336</v>
      </c>
      <c r="AD94" s="230"/>
    </row>
    <row r="95" spans="1:30" x14ac:dyDescent="0.2">
      <c r="A95" s="71" t="s">
        <v>41</v>
      </c>
      <c r="B95" s="26">
        <v>0</v>
      </c>
      <c r="C95" s="189">
        <v>0</v>
      </c>
      <c r="D95" s="54">
        <v>0</v>
      </c>
      <c r="E95" s="27">
        <v>0</v>
      </c>
      <c r="F95" s="26">
        <v>1</v>
      </c>
      <c r="G95" s="25">
        <v>2</v>
      </c>
      <c r="H95" s="26">
        <v>0</v>
      </c>
      <c r="I95" s="18">
        <f t="shared" si="11"/>
        <v>3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2</v>
      </c>
      <c r="P95" s="53"/>
      <c r="Q95" s="53"/>
      <c r="W95" s="446" t="s">
        <v>175</v>
      </c>
      <c r="X95" s="242"/>
      <c r="Y95" s="231" t="s">
        <v>178</v>
      </c>
      <c r="Z95" s="261">
        <f>D70+D73</f>
        <v>103</v>
      </c>
      <c r="AA95" s="261">
        <f>B70+C70+E70+B73+C73+E73</f>
        <v>52</v>
      </c>
      <c r="AB95" s="261">
        <f>F70+G70+H70+J70+K70+F73+G73+H73+J73+K73</f>
        <v>262</v>
      </c>
      <c r="AC95" s="261">
        <f>L70+M70+O70+L73+M73+O73</f>
        <v>599</v>
      </c>
      <c r="AD95" s="257">
        <f>L70+M70+O70+P70+Q70+L73+M73+O73+P73+Q73</f>
        <v>599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1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446"/>
      <c r="X96" s="242"/>
      <c r="Y96" s="231" t="s">
        <v>222</v>
      </c>
      <c r="Z96" s="262">
        <f>Z95/12</f>
        <v>8.5833333333333339</v>
      </c>
      <c r="AA96" s="262">
        <f>AA95/5</f>
        <v>10.4</v>
      </c>
      <c r="AB96" s="262">
        <f>AB95/15</f>
        <v>17.466666666666665</v>
      </c>
      <c r="AC96" s="262">
        <f>AC95/9</f>
        <v>66.555555555555557</v>
      </c>
      <c r="AD96" s="231"/>
    </row>
    <row r="97" spans="1:30" x14ac:dyDescent="0.2">
      <c r="A97" s="71" t="s">
        <v>43</v>
      </c>
      <c r="B97" s="26">
        <v>138</v>
      </c>
      <c r="C97" s="26">
        <v>123</v>
      </c>
      <c r="D97" s="54">
        <v>2559</v>
      </c>
      <c r="E97" s="27">
        <v>331</v>
      </c>
      <c r="F97" s="26">
        <v>600</v>
      </c>
      <c r="G97" s="25">
        <v>673</v>
      </c>
      <c r="H97" s="26">
        <v>37</v>
      </c>
      <c r="I97" s="18">
        <f t="shared" si="11"/>
        <v>1641</v>
      </c>
      <c r="J97" s="27">
        <v>361</v>
      </c>
      <c r="K97" s="26">
        <v>720</v>
      </c>
      <c r="L97" s="26">
        <v>586</v>
      </c>
      <c r="M97" s="26">
        <v>1360</v>
      </c>
      <c r="N97" s="18">
        <f t="shared" si="5"/>
        <v>3027</v>
      </c>
      <c r="O97" s="27">
        <v>928</v>
      </c>
      <c r="P97" s="26"/>
      <c r="Q97" s="26"/>
      <c r="W97" s="446"/>
      <c r="X97" s="242"/>
      <c r="Y97" s="231" t="s">
        <v>179</v>
      </c>
      <c r="Z97" s="261">
        <f>D90+D91</f>
        <v>122</v>
      </c>
      <c r="AA97" s="261">
        <f>B90+C90+E90+B91+C91+E91</f>
        <v>32</v>
      </c>
      <c r="AB97" s="261">
        <f>F90+G90+H90+J90+K90+F91+G91+H91+J91+K91</f>
        <v>256</v>
      </c>
      <c r="AC97" s="261">
        <f>L90+M90+O90+L91+M91+O91</f>
        <v>564</v>
      </c>
      <c r="AD97" s="257">
        <f>L90+M90+O90+P90+Q90+L91+M91+O91+P91+Q91</f>
        <v>564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1"/>
        <v>0</v>
      </c>
      <c r="J98" s="48">
        <v>0</v>
      </c>
      <c r="K98" s="77">
        <v>0</v>
      </c>
      <c r="L98" s="77">
        <v>0</v>
      </c>
      <c r="M98" s="77">
        <v>0</v>
      </c>
      <c r="N98" s="18">
        <f t="shared" si="5"/>
        <v>0</v>
      </c>
      <c r="O98" s="48">
        <v>0</v>
      </c>
      <c r="P98" s="77"/>
      <c r="Q98" s="77"/>
      <c r="W98" s="446"/>
      <c r="X98" s="242"/>
      <c r="Y98" s="231" t="s">
        <v>223</v>
      </c>
      <c r="Z98" s="261">
        <f>Z97/12</f>
        <v>10.166666666666666</v>
      </c>
      <c r="AA98" s="261">
        <f>AA97/5</f>
        <v>6.4</v>
      </c>
      <c r="AB98" s="261">
        <f>AB97/15</f>
        <v>17.066666666666666</v>
      </c>
      <c r="AC98" s="261">
        <f>AC97/9</f>
        <v>62.666666666666664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/>
      <c r="N99" s="42">
        <f>SUM(M99)</f>
        <v>0</v>
      </c>
      <c r="O99" s="194">
        <f>0+84+354</f>
        <v>438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280</v>
      </c>
      <c r="AB99" s="264" t="s">
        <v>239</v>
      </c>
      <c r="AC99" s="263" t="s">
        <v>272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/>
      <c r="N100" s="18">
        <f t="shared" ref="N100:N114" si="13">SUM(M100)</f>
        <v>0</v>
      </c>
      <c r="O100" s="188">
        <v>53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289</v>
      </c>
      <c r="AA100" s="265" t="s">
        <v>283</v>
      </c>
      <c r="AB100" s="265" t="s">
        <v>284</v>
      </c>
      <c r="AC100" s="265" t="s">
        <v>276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/>
      <c r="N101" s="18">
        <f t="shared" si="13"/>
        <v>0</v>
      </c>
      <c r="O101" s="188">
        <v>0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/>
      <c r="N102" s="18">
        <f t="shared" si="13"/>
        <v>0</v>
      </c>
      <c r="O102" s="188">
        <v>1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/>
      <c r="N103" s="18">
        <f t="shared" si="13"/>
        <v>0</v>
      </c>
      <c r="O103" s="195">
        <v>4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/>
      <c r="N104" s="18">
        <f t="shared" si="13"/>
        <v>0</v>
      </c>
      <c r="O104" s="188">
        <v>46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/>
      <c r="N105" s="18">
        <f t="shared" si="13"/>
        <v>0</v>
      </c>
      <c r="O105" s="195">
        <v>0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/>
      <c r="N106" s="18">
        <f t="shared" si="13"/>
        <v>0</v>
      </c>
      <c r="O106" s="195">
        <v>0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/>
      <c r="N107" s="18">
        <f t="shared" si="13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/>
      <c r="N108" s="18">
        <f t="shared" si="13"/>
        <v>0</v>
      </c>
      <c r="O108" s="195">
        <v>0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/>
      <c r="N109" s="18">
        <f t="shared" si="13"/>
        <v>0</v>
      </c>
      <c r="O109" s="195">
        <v>0</v>
      </c>
      <c r="P109" s="195">
        <v>0</v>
      </c>
      <c r="Q109" s="195">
        <v>0</v>
      </c>
      <c r="W109" s="485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/>
      <c r="N110" s="18">
        <f t="shared" si="13"/>
        <v>0</v>
      </c>
      <c r="O110" s="195">
        <v>21</v>
      </c>
      <c r="P110" s="195">
        <v>0</v>
      </c>
      <c r="Q110" s="195">
        <v>0</v>
      </c>
      <c r="W110" s="485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/>
      <c r="N111" s="18">
        <f t="shared" si="13"/>
        <v>0</v>
      </c>
      <c r="O111" s="195">
        <v>32</v>
      </c>
      <c r="P111" s="195">
        <v>0</v>
      </c>
      <c r="Q111" s="195">
        <v>0</v>
      </c>
      <c r="W111" s="485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/>
      <c r="N112" s="18">
        <f t="shared" si="13"/>
        <v>0</v>
      </c>
      <c r="O112" s="195">
        <v>0</v>
      </c>
      <c r="P112" s="195">
        <v>0</v>
      </c>
      <c r="Q112" s="195">
        <v>0</v>
      </c>
      <c r="W112" s="485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/>
      <c r="N113" s="18">
        <f t="shared" si="13"/>
        <v>0</v>
      </c>
      <c r="O113" s="195">
        <v>53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/>
      <c r="N114" s="38">
        <f t="shared" si="13"/>
        <v>0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5"/>
      <c r="X115" s="209"/>
      <c r="Z115" s="80"/>
      <c r="AA115" s="80"/>
      <c r="AB115" s="80"/>
      <c r="AC115" s="80"/>
      <c r="AD115" s="80"/>
    </row>
    <row r="116" spans="1:30" x14ac:dyDescent="0.2">
      <c r="W116" s="485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166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5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0</v>
      </c>
      <c r="E118" s="15">
        <v>0</v>
      </c>
      <c r="F118" s="13">
        <v>0</v>
      </c>
      <c r="G118" s="13">
        <v>0</v>
      </c>
      <c r="H118" s="13">
        <v>0</v>
      </c>
      <c r="I118" s="18">
        <f>E118+F118+G118+H118</f>
        <v>0</v>
      </c>
      <c r="J118" s="15">
        <v>0</v>
      </c>
      <c r="K118" s="13">
        <v>0</v>
      </c>
      <c r="L118" s="13">
        <v>0</v>
      </c>
      <c r="M118" s="13">
        <v>0</v>
      </c>
      <c r="N118" s="18">
        <f t="shared" ref="N118:N156" si="14">SUM(J118:M118)</f>
        <v>0</v>
      </c>
      <c r="O118" s="19">
        <v>0</v>
      </c>
      <c r="P118" s="20"/>
      <c r="Q118" s="21"/>
      <c r="W118" s="485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0</v>
      </c>
      <c r="E119" s="24">
        <v>0</v>
      </c>
      <c r="F119" s="12">
        <v>0</v>
      </c>
      <c r="G119" s="12">
        <v>0</v>
      </c>
      <c r="H119" s="12">
        <v>0</v>
      </c>
      <c r="I119" s="18">
        <f t="shared" ref="I119:I138" si="15">E119+F119+G119+H119</f>
        <v>0</v>
      </c>
      <c r="J119" s="24">
        <v>0</v>
      </c>
      <c r="K119" s="12">
        <v>0</v>
      </c>
      <c r="L119" s="12">
        <v>0</v>
      </c>
      <c r="M119" s="12">
        <v>0</v>
      </c>
      <c r="N119" s="18">
        <f t="shared" si="14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0</v>
      </c>
      <c r="E120" s="24">
        <v>0</v>
      </c>
      <c r="F120" s="12">
        <v>0</v>
      </c>
      <c r="G120" s="12">
        <v>0</v>
      </c>
      <c r="H120" s="12">
        <v>0</v>
      </c>
      <c r="I120" s="18">
        <f t="shared" si="15"/>
        <v>0</v>
      </c>
      <c r="J120" s="24">
        <v>0</v>
      </c>
      <c r="K120" s="12">
        <v>0</v>
      </c>
      <c r="L120" s="12">
        <v>0</v>
      </c>
      <c r="M120" s="12">
        <v>0</v>
      </c>
      <c r="N120" s="18">
        <f t="shared" si="14"/>
        <v>0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0</v>
      </c>
      <c r="E121" s="24">
        <v>0</v>
      </c>
      <c r="F121" s="12">
        <v>0</v>
      </c>
      <c r="G121" s="12">
        <v>0</v>
      </c>
      <c r="H121" s="12">
        <v>0</v>
      </c>
      <c r="I121" s="18">
        <f t="shared" si="15"/>
        <v>0</v>
      </c>
      <c r="J121" s="24">
        <v>0</v>
      </c>
      <c r="K121" s="12">
        <v>0</v>
      </c>
      <c r="L121" s="12">
        <v>0</v>
      </c>
      <c r="M121" s="12">
        <v>0</v>
      </c>
      <c r="N121" s="18">
        <f t="shared" si="14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122</v>
      </c>
      <c r="C122" s="12">
        <v>0</v>
      </c>
      <c r="D122" s="23">
        <v>2336</v>
      </c>
      <c r="E122" s="24">
        <v>63</v>
      </c>
      <c r="F122" s="12">
        <v>62</v>
      </c>
      <c r="G122" s="25">
        <v>25</v>
      </c>
      <c r="H122" s="26">
        <v>46</v>
      </c>
      <c r="I122" s="18">
        <f t="shared" si="15"/>
        <v>196</v>
      </c>
      <c r="J122" s="27">
        <v>32</v>
      </c>
      <c r="K122" s="26">
        <v>131</v>
      </c>
      <c r="L122" s="28">
        <v>235</v>
      </c>
      <c r="M122" s="26">
        <v>255</v>
      </c>
      <c r="N122" s="18">
        <f t="shared" si="14"/>
        <v>653</v>
      </c>
      <c r="O122" s="27">
        <v>164</v>
      </c>
      <c r="P122" s="26"/>
      <c r="Q122" s="28"/>
      <c r="AB122" s="79"/>
    </row>
    <row r="123" spans="1:30" x14ac:dyDescent="0.2">
      <c r="A123" s="11" t="s">
        <v>7</v>
      </c>
      <c r="B123" s="12">
        <v>19</v>
      </c>
      <c r="C123" s="12">
        <v>0</v>
      </c>
      <c r="D123" s="23">
        <v>841</v>
      </c>
      <c r="E123" s="24">
        <v>30</v>
      </c>
      <c r="F123" s="12">
        <v>3</v>
      </c>
      <c r="G123" s="25">
        <v>1</v>
      </c>
      <c r="H123" s="26">
        <v>6</v>
      </c>
      <c r="I123" s="18">
        <f t="shared" si="15"/>
        <v>40</v>
      </c>
      <c r="J123" s="27">
        <v>9</v>
      </c>
      <c r="K123" s="26">
        <v>68</v>
      </c>
      <c r="L123" s="28">
        <v>87</v>
      </c>
      <c r="M123" s="26">
        <v>174</v>
      </c>
      <c r="N123" s="18">
        <f t="shared" si="14"/>
        <v>338</v>
      </c>
      <c r="O123" s="27">
        <v>89</v>
      </c>
      <c r="P123" s="26"/>
      <c r="Q123" s="28"/>
    </row>
    <row r="124" spans="1:30" x14ac:dyDescent="0.2">
      <c r="A124" s="22" t="s">
        <v>12</v>
      </c>
      <c r="B124" s="12">
        <v>263</v>
      </c>
      <c r="C124" s="12">
        <v>0</v>
      </c>
      <c r="D124" s="23">
        <v>2016</v>
      </c>
      <c r="E124" s="24">
        <v>664</v>
      </c>
      <c r="F124" s="12">
        <v>582</v>
      </c>
      <c r="G124" s="25">
        <v>364</v>
      </c>
      <c r="H124" s="26">
        <v>408</v>
      </c>
      <c r="I124" s="18">
        <f t="shared" si="15"/>
        <v>2018</v>
      </c>
      <c r="J124" s="27">
        <v>417</v>
      </c>
      <c r="K124" s="26">
        <v>1052</v>
      </c>
      <c r="L124" s="28">
        <v>1297</v>
      </c>
      <c r="M124" s="26">
        <v>1328</v>
      </c>
      <c r="N124" s="18">
        <f t="shared" si="14"/>
        <v>4094</v>
      </c>
      <c r="O124" s="27">
        <v>892</v>
      </c>
      <c r="P124" s="49"/>
      <c r="Q124" s="37"/>
    </row>
    <row r="125" spans="1:30" ht="16" thickBot="1" x14ac:dyDescent="0.25">
      <c r="A125" s="22" t="s">
        <v>8</v>
      </c>
      <c r="B125" s="30">
        <v>47</v>
      </c>
      <c r="C125" s="30">
        <v>0</v>
      </c>
      <c r="D125" s="31">
        <v>976</v>
      </c>
      <c r="E125" s="32">
        <v>252</v>
      </c>
      <c r="F125" s="30">
        <v>68</v>
      </c>
      <c r="G125" s="33">
        <v>45</v>
      </c>
      <c r="H125" s="34">
        <v>115</v>
      </c>
      <c r="I125" s="18">
        <f t="shared" si="15"/>
        <v>480</v>
      </c>
      <c r="J125" s="35">
        <v>209</v>
      </c>
      <c r="K125" s="36">
        <v>515</v>
      </c>
      <c r="L125" s="37">
        <v>466</v>
      </c>
      <c r="M125" s="36">
        <v>848</v>
      </c>
      <c r="N125" s="38">
        <f t="shared" si="14"/>
        <v>2038</v>
      </c>
      <c r="O125" s="182">
        <v>595</v>
      </c>
      <c r="P125" s="49"/>
      <c r="Q125" s="37"/>
    </row>
    <row r="126" spans="1:30" ht="16" thickTop="1" x14ac:dyDescent="0.2">
      <c r="A126" s="177" t="s">
        <v>19</v>
      </c>
      <c r="B126" s="13">
        <v>47</v>
      </c>
      <c r="C126" s="13">
        <v>64</v>
      </c>
      <c r="D126" s="14">
        <v>619</v>
      </c>
      <c r="E126" s="40">
        <v>130</v>
      </c>
      <c r="F126" s="13">
        <v>128</v>
      </c>
      <c r="G126" s="41">
        <v>85</v>
      </c>
      <c r="H126" s="20">
        <v>81</v>
      </c>
      <c r="I126" s="42">
        <f t="shared" si="15"/>
        <v>424</v>
      </c>
      <c r="J126" s="43">
        <v>68</v>
      </c>
      <c r="K126" s="17">
        <v>133</v>
      </c>
      <c r="L126" s="44">
        <v>164</v>
      </c>
      <c r="M126" s="17">
        <v>255</v>
      </c>
      <c r="N126" s="18">
        <f t="shared" si="14"/>
        <v>620</v>
      </c>
      <c r="O126" s="43">
        <v>108</v>
      </c>
      <c r="P126" s="17"/>
      <c r="Q126" s="44"/>
    </row>
    <row r="127" spans="1:30" x14ac:dyDescent="0.2">
      <c r="A127" s="45" t="s">
        <v>16</v>
      </c>
      <c r="B127" s="12">
        <v>47</v>
      </c>
      <c r="C127" s="12">
        <v>64</v>
      </c>
      <c r="D127" s="23">
        <v>619</v>
      </c>
      <c r="E127" s="24">
        <v>110</v>
      </c>
      <c r="F127" s="12">
        <v>68</v>
      </c>
      <c r="G127" s="25">
        <v>4</v>
      </c>
      <c r="H127" s="26">
        <v>57</v>
      </c>
      <c r="I127" s="18">
        <f t="shared" si="15"/>
        <v>239</v>
      </c>
      <c r="J127" s="27">
        <v>27</v>
      </c>
      <c r="K127" s="26">
        <v>114</v>
      </c>
      <c r="L127" s="28">
        <v>133</v>
      </c>
      <c r="M127" s="26">
        <v>240</v>
      </c>
      <c r="N127" s="18">
        <f t="shared" si="14"/>
        <v>514</v>
      </c>
      <c r="O127" s="27">
        <v>108</v>
      </c>
      <c r="P127" s="26"/>
      <c r="Q127" s="28"/>
    </row>
    <row r="128" spans="1:30" x14ac:dyDescent="0.2">
      <c r="A128" s="177" t="s">
        <v>15</v>
      </c>
      <c r="B128" s="12">
        <v>19</v>
      </c>
      <c r="C128" s="12">
        <v>33</v>
      </c>
      <c r="D128" s="23">
        <v>350</v>
      </c>
      <c r="E128" s="24">
        <v>46</v>
      </c>
      <c r="F128" s="12">
        <v>26</v>
      </c>
      <c r="G128" s="25">
        <v>1</v>
      </c>
      <c r="H128" s="26">
        <v>5</v>
      </c>
      <c r="I128" s="18">
        <f t="shared" si="15"/>
        <v>78</v>
      </c>
      <c r="J128" s="27">
        <v>1</v>
      </c>
      <c r="K128" s="26">
        <v>43</v>
      </c>
      <c r="L128" s="28">
        <v>49</v>
      </c>
      <c r="M128" s="26">
        <v>118</v>
      </c>
      <c r="N128" s="18">
        <f t="shared" si="14"/>
        <v>211</v>
      </c>
      <c r="O128" s="27">
        <v>60</v>
      </c>
      <c r="P128" s="26"/>
      <c r="Q128" s="28"/>
    </row>
    <row r="129" spans="1:30" x14ac:dyDescent="0.2">
      <c r="A129" s="45" t="s">
        <v>20</v>
      </c>
      <c r="B129" s="12">
        <v>263</v>
      </c>
      <c r="C129" s="12">
        <v>288</v>
      </c>
      <c r="D129" s="23">
        <v>4129</v>
      </c>
      <c r="E129" s="24">
        <v>867</v>
      </c>
      <c r="F129" s="12">
        <v>925</v>
      </c>
      <c r="G129" s="25">
        <v>662</v>
      </c>
      <c r="H129" s="26">
        <v>250</v>
      </c>
      <c r="I129" s="18">
        <f t="shared" si="15"/>
        <v>2704</v>
      </c>
      <c r="J129" s="27">
        <v>493</v>
      </c>
      <c r="K129" s="26">
        <v>1029</v>
      </c>
      <c r="L129" s="28">
        <v>1172</v>
      </c>
      <c r="M129" s="26">
        <v>1324</v>
      </c>
      <c r="N129" s="18">
        <f t="shared" si="14"/>
        <v>4018</v>
      </c>
      <c r="O129" s="27">
        <v>605</v>
      </c>
      <c r="P129" s="26"/>
      <c r="Q129" s="28"/>
    </row>
    <row r="130" spans="1:30" x14ac:dyDescent="0.2">
      <c r="A130" s="45" t="s">
        <v>18</v>
      </c>
      <c r="B130" s="12">
        <v>0</v>
      </c>
      <c r="C130" s="12">
        <v>0</v>
      </c>
      <c r="D130" s="23">
        <v>916</v>
      </c>
      <c r="E130" s="24"/>
      <c r="F130" s="12"/>
      <c r="G130" s="25"/>
      <c r="H130" s="26">
        <v>100</v>
      </c>
      <c r="I130" s="18">
        <f t="shared" si="15"/>
        <v>100</v>
      </c>
      <c r="J130" s="27">
        <v>134</v>
      </c>
      <c r="K130" s="26">
        <v>876</v>
      </c>
      <c r="L130" s="28">
        <v>858</v>
      </c>
      <c r="M130" s="26">
        <v>1324</v>
      </c>
      <c r="N130" s="18">
        <f t="shared" si="14"/>
        <v>3192</v>
      </c>
      <c r="O130" s="27">
        <v>605</v>
      </c>
      <c r="P130" s="26"/>
      <c r="Q130" s="28"/>
    </row>
    <row r="131" spans="1:30" x14ac:dyDescent="0.2">
      <c r="A131" s="45" t="s">
        <v>17</v>
      </c>
      <c r="B131" s="12">
        <v>122</v>
      </c>
      <c r="C131" s="12">
        <v>140</v>
      </c>
      <c r="D131" s="23">
        <v>2277</v>
      </c>
      <c r="E131" s="24">
        <v>335</v>
      </c>
      <c r="F131" s="12">
        <v>227</v>
      </c>
      <c r="G131" s="25">
        <v>60</v>
      </c>
      <c r="H131" s="26">
        <v>100</v>
      </c>
      <c r="I131" s="18">
        <f t="shared" si="15"/>
        <v>722</v>
      </c>
      <c r="J131" s="27">
        <v>170</v>
      </c>
      <c r="K131" s="26">
        <v>545</v>
      </c>
      <c r="L131" s="28">
        <v>476</v>
      </c>
      <c r="M131" s="26">
        <v>848</v>
      </c>
      <c r="N131" s="18">
        <f t="shared" si="14"/>
        <v>2039</v>
      </c>
      <c r="O131" s="27">
        <v>406</v>
      </c>
      <c r="P131" s="26"/>
      <c r="Q131" s="28"/>
    </row>
    <row r="132" spans="1:30" ht="16" thickBot="1" x14ac:dyDescent="0.25">
      <c r="A132" s="179" t="s">
        <v>21</v>
      </c>
      <c r="B132" s="34">
        <v>1</v>
      </c>
      <c r="C132" s="34">
        <v>0</v>
      </c>
      <c r="D132" s="47">
        <v>5</v>
      </c>
      <c r="E132" s="48"/>
      <c r="F132" s="34"/>
      <c r="G132" s="33"/>
      <c r="H132" s="34"/>
      <c r="I132" s="38">
        <f t="shared" si="15"/>
        <v>0</v>
      </c>
      <c r="J132" s="48">
        <v>0</v>
      </c>
      <c r="K132" s="49">
        <v>1</v>
      </c>
      <c r="L132" s="37">
        <v>3</v>
      </c>
      <c r="M132" s="49">
        <v>0</v>
      </c>
      <c r="N132" s="18">
        <f t="shared" si="14"/>
        <v>4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3">
        <v>7</v>
      </c>
      <c r="C133" s="13">
        <v>6</v>
      </c>
      <c r="D133" s="14">
        <v>70</v>
      </c>
      <c r="E133" s="40">
        <v>24</v>
      </c>
      <c r="F133" s="13">
        <v>60</v>
      </c>
      <c r="G133" s="41">
        <v>12</v>
      </c>
      <c r="H133" s="20">
        <v>20</v>
      </c>
      <c r="I133" s="18">
        <f t="shared" si="15"/>
        <v>116</v>
      </c>
      <c r="J133" s="19">
        <v>27</v>
      </c>
      <c r="K133" s="51">
        <v>25</v>
      </c>
      <c r="L133" s="44">
        <v>10</v>
      </c>
      <c r="M133" s="51">
        <v>4</v>
      </c>
      <c r="N133" s="42">
        <f t="shared" si="14"/>
        <v>66</v>
      </c>
      <c r="O133" s="19">
        <v>9</v>
      </c>
      <c r="P133" s="51"/>
      <c r="Q133" s="44"/>
    </row>
    <row r="134" spans="1:30" x14ac:dyDescent="0.2">
      <c r="A134" s="52" t="s">
        <v>26</v>
      </c>
      <c r="B134" s="12">
        <v>15</v>
      </c>
      <c r="C134" s="12">
        <v>21</v>
      </c>
      <c r="D134" s="23">
        <v>174</v>
      </c>
      <c r="E134" s="24">
        <v>52</v>
      </c>
      <c r="F134" s="12">
        <v>64</v>
      </c>
      <c r="G134" s="25">
        <v>63</v>
      </c>
      <c r="H134" s="26">
        <v>58</v>
      </c>
      <c r="I134" s="18">
        <f t="shared" si="15"/>
        <v>237</v>
      </c>
      <c r="J134" s="27">
        <v>52</v>
      </c>
      <c r="K134" s="53">
        <v>66</v>
      </c>
      <c r="L134" s="28">
        <v>59</v>
      </c>
      <c r="M134" s="53">
        <v>43</v>
      </c>
      <c r="N134" s="18">
        <f t="shared" si="14"/>
        <v>220</v>
      </c>
      <c r="O134" s="27">
        <v>15</v>
      </c>
      <c r="P134" s="53"/>
      <c r="Q134" s="28"/>
    </row>
    <row r="135" spans="1:30" x14ac:dyDescent="0.2">
      <c r="A135" s="52" t="s">
        <v>27</v>
      </c>
      <c r="B135" s="26">
        <v>2</v>
      </c>
      <c r="C135" s="26">
        <v>3</v>
      </c>
      <c r="D135" s="54">
        <v>33</v>
      </c>
      <c r="E135" s="27">
        <v>11</v>
      </c>
      <c r="F135" s="26">
        <v>16</v>
      </c>
      <c r="G135" s="25">
        <v>14</v>
      </c>
      <c r="H135" s="26">
        <v>6</v>
      </c>
      <c r="I135" s="18">
        <f t="shared" si="15"/>
        <v>47</v>
      </c>
      <c r="J135" s="27">
        <v>5</v>
      </c>
      <c r="K135" s="53">
        <v>12</v>
      </c>
      <c r="L135" s="28">
        <v>12</v>
      </c>
      <c r="M135" s="53">
        <v>1</v>
      </c>
      <c r="N135" s="18">
        <f t="shared" si="14"/>
        <v>30</v>
      </c>
      <c r="O135" s="27">
        <v>2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0</v>
      </c>
      <c r="E136" s="58">
        <v>0</v>
      </c>
      <c r="F136" s="59">
        <v>0</v>
      </c>
      <c r="G136" s="60">
        <v>1</v>
      </c>
      <c r="H136" s="61">
        <v>0</v>
      </c>
      <c r="I136" s="18">
        <f t="shared" si="15"/>
        <v>1</v>
      </c>
      <c r="J136" s="27">
        <v>8</v>
      </c>
      <c r="K136" s="53">
        <v>0</v>
      </c>
      <c r="L136" s="28">
        <v>0</v>
      </c>
      <c r="M136" s="53">
        <v>9</v>
      </c>
      <c r="N136" s="18">
        <f t="shared" si="14"/>
        <v>17</v>
      </c>
      <c r="O136" s="27">
        <v>0</v>
      </c>
      <c r="P136" s="53"/>
      <c r="Q136" s="28"/>
    </row>
    <row r="137" spans="1:30" x14ac:dyDescent="0.2">
      <c r="A137" s="55" t="s">
        <v>22</v>
      </c>
      <c r="B137" s="56">
        <v>7</v>
      </c>
      <c r="C137" s="56">
        <v>6</v>
      </c>
      <c r="D137" s="57">
        <v>65</v>
      </c>
      <c r="E137" s="58">
        <v>17</v>
      </c>
      <c r="F137" s="59">
        <v>23</v>
      </c>
      <c r="G137" s="60">
        <v>9</v>
      </c>
      <c r="H137" s="61">
        <v>16</v>
      </c>
      <c r="I137" s="18">
        <f t="shared" si="15"/>
        <v>65</v>
      </c>
      <c r="J137" s="27">
        <v>23</v>
      </c>
      <c r="K137" s="53">
        <v>6</v>
      </c>
      <c r="L137" s="28">
        <v>13</v>
      </c>
      <c r="M137" s="53">
        <v>4</v>
      </c>
      <c r="N137" s="18">
        <f t="shared" si="14"/>
        <v>46</v>
      </c>
      <c r="O137" s="27">
        <v>8</v>
      </c>
      <c r="P137" s="53"/>
      <c r="Q137" s="28"/>
    </row>
    <row r="138" spans="1:30" x14ac:dyDescent="0.2">
      <c r="A138" s="52" t="s">
        <v>23</v>
      </c>
      <c r="B138" s="56">
        <v>4</v>
      </c>
      <c r="C138" s="56">
        <v>5</v>
      </c>
      <c r="D138" s="57">
        <v>53</v>
      </c>
      <c r="E138" s="58">
        <v>91</v>
      </c>
      <c r="F138" s="59">
        <v>19</v>
      </c>
      <c r="G138" s="60">
        <v>25</v>
      </c>
      <c r="H138" s="61">
        <v>12</v>
      </c>
      <c r="I138" s="18">
        <f t="shared" si="15"/>
        <v>147</v>
      </c>
      <c r="J138" s="27">
        <v>22</v>
      </c>
      <c r="K138" s="53">
        <v>7</v>
      </c>
      <c r="L138" s="28">
        <v>6</v>
      </c>
      <c r="M138" s="53">
        <v>8</v>
      </c>
      <c r="N138" s="18">
        <f t="shared" si="14"/>
        <v>43</v>
      </c>
      <c r="O138" s="27">
        <v>3</v>
      </c>
      <c r="P138" s="53"/>
      <c r="Q138" s="28"/>
    </row>
    <row r="139" spans="1:30" ht="17" thickBot="1" x14ac:dyDescent="0.25">
      <c r="A139" s="52" t="s">
        <v>24</v>
      </c>
      <c r="B139" s="63">
        <v>7</v>
      </c>
      <c r="C139" s="63">
        <v>8</v>
      </c>
      <c r="D139" s="64">
        <v>57</v>
      </c>
      <c r="E139" s="65">
        <v>15</v>
      </c>
      <c r="F139" s="66">
        <v>18</v>
      </c>
      <c r="G139" s="67">
        <v>21</v>
      </c>
      <c r="H139" s="68">
        <v>10</v>
      </c>
      <c r="I139" s="38">
        <f>SUM(E139:H139)</f>
        <v>64</v>
      </c>
      <c r="J139" s="35">
        <v>11</v>
      </c>
      <c r="K139" s="49">
        <v>4</v>
      </c>
      <c r="L139" s="37">
        <v>3</v>
      </c>
      <c r="M139" s="49">
        <v>22</v>
      </c>
      <c r="N139" s="18">
        <f t="shared" si="14"/>
        <v>40</v>
      </c>
      <c r="O139" s="35">
        <v>5</v>
      </c>
      <c r="P139" s="49"/>
      <c r="Q139" s="37"/>
      <c r="W139" s="482" t="s">
        <v>252</v>
      </c>
      <c r="X139" s="483"/>
      <c r="Y139" s="484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13</v>
      </c>
      <c r="C140" s="13">
        <v>20</v>
      </c>
      <c r="D140" s="14">
        <v>352</v>
      </c>
      <c r="E140" s="40">
        <v>48</v>
      </c>
      <c r="F140" s="13">
        <v>20</v>
      </c>
      <c r="G140" s="41">
        <v>5</v>
      </c>
      <c r="H140" s="20">
        <v>14</v>
      </c>
      <c r="I140" s="18">
        <f>E140+F140+G140+H140</f>
        <v>87</v>
      </c>
      <c r="J140" s="70">
        <v>41</v>
      </c>
      <c r="K140" s="16">
        <v>69</v>
      </c>
      <c r="L140" s="16">
        <v>78</v>
      </c>
      <c r="M140" s="16">
        <v>168</v>
      </c>
      <c r="N140" s="42">
        <f t="shared" si="14"/>
        <v>356</v>
      </c>
      <c r="O140" s="70">
        <v>78</v>
      </c>
      <c r="P140" s="16"/>
      <c r="Q140" s="16"/>
      <c r="W140" s="439" t="s">
        <v>59</v>
      </c>
      <c r="X140" s="238"/>
      <c r="Y140" s="226" t="s">
        <v>204</v>
      </c>
      <c r="Z140" s="252">
        <f>D139</f>
        <v>57</v>
      </c>
      <c r="AA140" s="252">
        <f>B139+C139+E139</f>
        <v>30</v>
      </c>
      <c r="AB140" s="252">
        <f>F139+G139+H139+J139+K139</f>
        <v>64</v>
      </c>
      <c r="AC140" s="252">
        <f>L139+M139+O139</f>
        <v>30</v>
      </c>
      <c r="AD140" s="252">
        <f>L139+M139+O139+P139+Q139</f>
        <v>30</v>
      </c>
    </row>
    <row r="141" spans="1:30" x14ac:dyDescent="0.2">
      <c r="A141" s="71" t="s">
        <v>30</v>
      </c>
      <c r="B141" s="12">
        <v>44</v>
      </c>
      <c r="C141" s="12">
        <v>64</v>
      </c>
      <c r="D141" s="23">
        <v>547</v>
      </c>
      <c r="E141" s="24">
        <v>87</v>
      </c>
      <c r="F141" s="12">
        <v>83</v>
      </c>
      <c r="G141" s="25">
        <v>16</v>
      </c>
      <c r="H141" s="26">
        <v>24</v>
      </c>
      <c r="I141" s="18">
        <f t="shared" ref="I141:I143" si="16">E141+F141+G141+H141</f>
        <v>210</v>
      </c>
      <c r="J141" s="27">
        <v>89</v>
      </c>
      <c r="K141" s="27">
        <v>142</v>
      </c>
      <c r="L141" s="27">
        <v>185</v>
      </c>
      <c r="M141" s="27">
        <v>246</v>
      </c>
      <c r="N141" s="18">
        <f t="shared" si="14"/>
        <v>662</v>
      </c>
      <c r="O141" s="27">
        <v>169</v>
      </c>
      <c r="P141" s="27"/>
      <c r="Q141" s="27"/>
      <c r="W141" s="439"/>
      <c r="X141" s="238"/>
      <c r="Y141" s="226" t="s">
        <v>211</v>
      </c>
      <c r="Z141" s="253">
        <f>Z140/12</f>
        <v>4.75</v>
      </c>
      <c r="AA141" s="253">
        <f>AA140/5</f>
        <v>6</v>
      </c>
      <c r="AB141" s="253">
        <f>AB140/15</f>
        <v>4.2666666666666666</v>
      </c>
      <c r="AC141" s="253">
        <f>AC140/9</f>
        <v>3.3333333333333335</v>
      </c>
      <c r="AD141" s="226"/>
    </row>
    <row r="142" spans="1:30" x14ac:dyDescent="0.2">
      <c r="A142" s="71" t="s">
        <v>31</v>
      </c>
      <c r="B142" s="12">
        <v>21</v>
      </c>
      <c r="C142" s="12">
        <v>27</v>
      </c>
      <c r="D142" s="23">
        <v>441</v>
      </c>
      <c r="E142" s="24">
        <v>71</v>
      </c>
      <c r="F142" s="12">
        <v>35</v>
      </c>
      <c r="G142" s="25">
        <v>14</v>
      </c>
      <c r="H142" s="26">
        <v>16</v>
      </c>
      <c r="I142" s="18">
        <f t="shared" si="16"/>
        <v>136</v>
      </c>
      <c r="J142" s="27">
        <v>94</v>
      </c>
      <c r="K142" s="27">
        <v>129</v>
      </c>
      <c r="L142" s="27">
        <v>131</v>
      </c>
      <c r="M142" s="27">
        <v>142</v>
      </c>
      <c r="N142" s="18">
        <f t="shared" si="14"/>
        <v>496</v>
      </c>
      <c r="O142" s="27">
        <v>119</v>
      </c>
      <c r="P142" s="27"/>
      <c r="Q142" s="27"/>
      <c r="W142" s="440" t="s">
        <v>171</v>
      </c>
      <c r="X142" s="237"/>
      <c r="Y142" s="227" t="s">
        <v>212</v>
      </c>
      <c r="Z142" s="272">
        <f>Z143/Z144</f>
        <v>0.54058577405857744</v>
      </c>
      <c r="AA142" s="272">
        <v>0</v>
      </c>
      <c r="AB142" s="272">
        <f t="shared" ref="AB142:AC142" si="17">AB143/AB144</f>
        <v>0.56499586890663733</v>
      </c>
      <c r="AC142" s="272">
        <f t="shared" si="17"/>
        <v>0.75532163742690062</v>
      </c>
      <c r="AD142" s="227"/>
    </row>
    <row r="143" spans="1:30" x14ac:dyDescent="0.2">
      <c r="A143" s="71" t="s">
        <v>32</v>
      </c>
      <c r="B143" s="12">
        <v>63</v>
      </c>
      <c r="C143" s="12">
        <v>62</v>
      </c>
      <c r="D143" s="23">
        <v>1631</v>
      </c>
      <c r="E143" s="24">
        <v>180</v>
      </c>
      <c r="F143" s="12">
        <v>117</v>
      </c>
      <c r="G143" s="25">
        <v>34</v>
      </c>
      <c r="H143" s="26">
        <v>66</v>
      </c>
      <c r="I143" s="18">
        <f t="shared" si="16"/>
        <v>397</v>
      </c>
      <c r="J143" s="27">
        <v>147</v>
      </c>
      <c r="K143" s="27">
        <v>270</v>
      </c>
      <c r="L143" s="27">
        <v>276</v>
      </c>
      <c r="M143" s="27">
        <v>466</v>
      </c>
      <c r="N143" s="18">
        <f t="shared" si="14"/>
        <v>1159</v>
      </c>
      <c r="O143" s="27">
        <v>318</v>
      </c>
      <c r="P143" s="27"/>
      <c r="Q143" s="27"/>
      <c r="W143" s="440"/>
      <c r="X143" s="237"/>
      <c r="Y143" s="227" t="s">
        <v>217</v>
      </c>
      <c r="Z143" s="227">
        <v>646</v>
      </c>
      <c r="AA143" s="227">
        <v>0</v>
      </c>
      <c r="AB143" s="227">
        <v>4103</v>
      </c>
      <c r="AC143" s="227">
        <v>3229</v>
      </c>
      <c r="AD143" s="227"/>
    </row>
    <row r="144" spans="1:30" x14ac:dyDescent="0.2">
      <c r="A144" s="72" t="s">
        <v>33</v>
      </c>
      <c r="B144" s="73">
        <f>SUM(B140:B143)</f>
        <v>141</v>
      </c>
      <c r="C144" s="73">
        <f>SUM(C140:C143)</f>
        <v>173</v>
      </c>
      <c r="D144" s="74">
        <f>SUM(D140:D143)</f>
        <v>2971</v>
      </c>
      <c r="E144" s="73">
        <f t="shared" ref="E144:G144" si="18">SUM(E140:E143)</f>
        <v>386</v>
      </c>
      <c r="F144" s="73">
        <f t="shared" si="18"/>
        <v>255</v>
      </c>
      <c r="G144" s="73">
        <f t="shared" si="18"/>
        <v>69</v>
      </c>
      <c r="H144" s="73">
        <f>SUM(H140:H143)</f>
        <v>120</v>
      </c>
      <c r="I144" s="18">
        <f>E144+F144+G144+H144</f>
        <v>830</v>
      </c>
      <c r="J144" s="73">
        <f>SUM(J140:J143)</f>
        <v>371</v>
      </c>
      <c r="K144" s="73">
        <f t="shared" ref="K144:L144" si="19">SUM(K140:K143)</f>
        <v>610</v>
      </c>
      <c r="L144" s="73">
        <f t="shared" si="19"/>
        <v>670</v>
      </c>
      <c r="M144" s="73">
        <f>SUM(M140:M143)</f>
        <v>1022</v>
      </c>
      <c r="N144" s="18">
        <f t="shared" si="14"/>
        <v>2673</v>
      </c>
      <c r="O144" s="75"/>
      <c r="P144" s="75"/>
      <c r="Q144" s="75"/>
      <c r="W144" s="440"/>
      <c r="X144" s="237"/>
      <c r="Y144" s="227" t="s">
        <v>218</v>
      </c>
      <c r="Z144" s="227">
        <v>1195</v>
      </c>
      <c r="AA144" s="227">
        <v>0</v>
      </c>
      <c r="AB144" s="227">
        <v>7262</v>
      </c>
      <c r="AC144" s="227">
        <v>4275</v>
      </c>
      <c r="AD144" s="227"/>
    </row>
    <row r="145" spans="1:30" x14ac:dyDescent="0.2">
      <c r="A145" s="71" t="s">
        <v>34</v>
      </c>
      <c r="B145" s="26">
        <v>7</v>
      </c>
      <c r="C145" s="26">
        <v>6</v>
      </c>
      <c r="D145" s="54">
        <v>65</v>
      </c>
      <c r="E145" s="27">
        <v>17</v>
      </c>
      <c r="F145" s="26">
        <v>23</v>
      </c>
      <c r="G145" s="25">
        <v>9</v>
      </c>
      <c r="H145" s="26">
        <v>16</v>
      </c>
      <c r="I145" s="18">
        <f t="shared" ref="I145:I156" si="20">E145+F145+G145+H145</f>
        <v>65</v>
      </c>
      <c r="J145" s="27">
        <v>23</v>
      </c>
      <c r="K145" s="27">
        <v>6</v>
      </c>
      <c r="L145" s="27">
        <v>13</v>
      </c>
      <c r="M145" s="27">
        <v>4</v>
      </c>
      <c r="N145" s="18">
        <f t="shared" si="14"/>
        <v>46</v>
      </c>
      <c r="O145" s="27">
        <v>8</v>
      </c>
      <c r="P145" s="27"/>
      <c r="Q145" s="27"/>
      <c r="W145" s="441" t="s">
        <v>180</v>
      </c>
      <c r="X145" s="239"/>
      <c r="Y145" s="228" t="s">
        <v>213</v>
      </c>
      <c r="Z145" s="274">
        <f>Z146/Z147</f>
        <v>0.53054393305439329</v>
      </c>
      <c r="AA145" s="274">
        <v>0</v>
      </c>
      <c r="AB145" s="274">
        <f t="shared" ref="AB145" si="21">AB146/AB147</f>
        <v>0.57009088405397967</v>
      </c>
      <c r="AC145" s="274">
        <f t="shared" ref="AC145" si="22">AC146/AC147</f>
        <v>0.59157894736842109</v>
      </c>
      <c r="AD145" s="228"/>
    </row>
    <row r="146" spans="1:30" x14ac:dyDescent="0.2">
      <c r="A146" s="71" t="s">
        <v>35</v>
      </c>
      <c r="B146" s="26">
        <v>4</v>
      </c>
      <c r="C146" s="26">
        <v>5</v>
      </c>
      <c r="D146" s="54">
        <v>53</v>
      </c>
      <c r="E146" s="27">
        <v>91</v>
      </c>
      <c r="F146" s="26">
        <v>19</v>
      </c>
      <c r="G146" s="25">
        <v>25</v>
      </c>
      <c r="H146" s="26">
        <v>12</v>
      </c>
      <c r="I146" s="18">
        <f t="shared" si="20"/>
        <v>147</v>
      </c>
      <c r="J146" s="27">
        <v>22</v>
      </c>
      <c r="K146" s="53">
        <v>7</v>
      </c>
      <c r="L146" s="53">
        <v>6</v>
      </c>
      <c r="M146" s="53">
        <v>8</v>
      </c>
      <c r="N146" s="18">
        <f t="shared" si="14"/>
        <v>43</v>
      </c>
      <c r="O146" s="27">
        <v>3</v>
      </c>
      <c r="P146" s="53"/>
      <c r="Q146" s="53"/>
      <c r="W146" s="441"/>
      <c r="X146" s="239"/>
      <c r="Y146" s="228" t="s">
        <v>219</v>
      </c>
      <c r="Z146" s="228">
        <v>634</v>
      </c>
      <c r="AA146" s="228">
        <v>0</v>
      </c>
      <c r="AB146" s="228">
        <v>4140</v>
      </c>
      <c r="AC146" s="228">
        <v>2529</v>
      </c>
      <c r="AD146" s="228"/>
    </row>
    <row r="147" spans="1:30" x14ac:dyDescent="0.2">
      <c r="A147" s="71" t="s">
        <v>36</v>
      </c>
      <c r="B147" s="26">
        <v>7</v>
      </c>
      <c r="C147" s="26">
        <v>8</v>
      </c>
      <c r="D147" s="54">
        <v>57</v>
      </c>
      <c r="E147" s="27">
        <v>15</v>
      </c>
      <c r="F147" s="26">
        <v>18</v>
      </c>
      <c r="G147" s="25">
        <v>21</v>
      </c>
      <c r="H147" s="26">
        <v>10</v>
      </c>
      <c r="I147" s="18">
        <f t="shared" si="20"/>
        <v>64</v>
      </c>
      <c r="J147" s="27">
        <v>11</v>
      </c>
      <c r="K147" s="53">
        <v>4</v>
      </c>
      <c r="L147" s="53">
        <v>3</v>
      </c>
      <c r="M147" s="53">
        <v>22</v>
      </c>
      <c r="N147" s="18">
        <f t="shared" si="14"/>
        <v>40</v>
      </c>
      <c r="O147" s="27">
        <v>5</v>
      </c>
      <c r="P147" s="53"/>
      <c r="Q147" s="53"/>
      <c r="W147" s="441"/>
      <c r="X147" s="239"/>
      <c r="Y147" s="228" t="s">
        <v>218</v>
      </c>
      <c r="Z147" s="228">
        <v>1195</v>
      </c>
      <c r="AA147" s="228">
        <v>0</v>
      </c>
      <c r="AB147" s="228">
        <v>7262</v>
      </c>
      <c r="AC147" s="228">
        <v>4275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0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4"/>
        <v>0</v>
      </c>
      <c r="O148" s="27">
        <v>0</v>
      </c>
      <c r="P148" s="27"/>
      <c r="Q148" s="27"/>
      <c r="W148" s="442" t="s">
        <v>173</v>
      </c>
      <c r="X148" s="240"/>
      <c r="Y148" s="229" t="s">
        <v>214</v>
      </c>
      <c r="Z148" s="254">
        <f>(D127+D130)/(D126+D129)</f>
        <v>0.32329401853411965</v>
      </c>
      <c r="AA148" s="254">
        <f>(B127+C127+E127+B130+C130+E130)/(B126+C126+E126+B129+C129+E129)</f>
        <v>0.13321277878239904</v>
      </c>
      <c r="AB148" s="254">
        <f>(F127+G127+H127+J127+K127+F130+G130+H130+J130+K130)/(F126+G126+H126+J126+K126+F129+G129+H129+J129+K129)</f>
        <v>0.35806953814218995</v>
      </c>
      <c r="AC148" s="254">
        <f>(L127+M127+O127+L130+M130+O130)/(L126+M126+O126+L129+M129+O129)</f>
        <v>0.90077177508269024</v>
      </c>
      <c r="AD148" s="254">
        <f>(L127+M127+O127+P127+Q127+L130+M130+O130+P130+Q130)/(L126+M126+O126+P126+Q126+L129+M129+O129+P129+Q129)</f>
        <v>0.90077177508269024</v>
      </c>
    </row>
    <row r="149" spans="1:30" x14ac:dyDescent="0.2">
      <c r="A149" s="71" t="s">
        <v>37</v>
      </c>
      <c r="B149" s="26">
        <v>141</v>
      </c>
      <c r="C149" s="26">
        <v>173</v>
      </c>
      <c r="D149" s="54">
        <v>2965</v>
      </c>
      <c r="E149" s="27">
        <v>386</v>
      </c>
      <c r="F149" s="26">
        <v>265</v>
      </c>
      <c r="G149" s="25">
        <v>69</v>
      </c>
      <c r="H149" s="26">
        <v>121</v>
      </c>
      <c r="I149" s="18">
        <f t="shared" si="20"/>
        <v>841</v>
      </c>
      <c r="J149" s="27">
        <v>218</v>
      </c>
      <c r="K149" s="27">
        <v>610</v>
      </c>
      <c r="L149" s="27">
        <v>566</v>
      </c>
      <c r="M149" s="27">
        <v>1022</v>
      </c>
      <c r="N149" s="18">
        <f t="shared" si="14"/>
        <v>2416</v>
      </c>
      <c r="O149" s="27">
        <v>684</v>
      </c>
      <c r="P149" s="27"/>
      <c r="Q149" s="27"/>
      <c r="W149" s="442"/>
      <c r="X149" s="240"/>
      <c r="Y149" s="229" t="s">
        <v>215</v>
      </c>
      <c r="Z149" s="255">
        <f>(D127+D130)</f>
        <v>1535</v>
      </c>
      <c r="AA149" s="255">
        <f>(B127+C127+E127+B130+C130+E130)</f>
        <v>221</v>
      </c>
      <c r="AB149" s="255">
        <f>F127+G127+H127+J127+K127+F130+G130+H130+J130+K130</f>
        <v>1380</v>
      </c>
      <c r="AC149" s="255">
        <f>L127+M127+O127+L130+M130+O130</f>
        <v>3268</v>
      </c>
      <c r="AD149" s="255">
        <f>(L127+M127+O127+P127+Q127+L130+M130+O130+P130+Q130)</f>
        <v>3268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20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4"/>
        <v>0</v>
      </c>
      <c r="O150" s="27">
        <v>0</v>
      </c>
      <c r="P150" s="27"/>
      <c r="Q150" s="27"/>
      <c r="W150" s="442"/>
      <c r="X150" s="240"/>
      <c r="Y150" s="229" t="s">
        <v>216</v>
      </c>
      <c r="Z150" s="255">
        <f>D126+D129</f>
        <v>4748</v>
      </c>
      <c r="AA150" s="255">
        <f>(B126+C126+E126+B129+C129+E129)</f>
        <v>1659</v>
      </c>
      <c r="AB150" s="255">
        <f>F126+G126+H126+J126+K126+F129+G129+H129+J129+K129</f>
        <v>3854</v>
      </c>
      <c r="AC150" s="255">
        <f>(L126+M126+O126+L129+M129+O129)</f>
        <v>3628</v>
      </c>
      <c r="AD150" s="255">
        <f>(L126+M126+O126+P126+Q126+L129+M129+O129+P129+Q129)</f>
        <v>3628</v>
      </c>
    </row>
    <row r="151" spans="1:30" x14ac:dyDescent="0.2">
      <c r="A151" s="71" t="s">
        <v>39</v>
      </c>
      <c r="B151" s="26">
        <v>169</v>
      </c>
      <c r="C151" s="26">
        <v>179</v>
      </c>
      <c r="D151" s="54">
        <v>2690</v>
      </c>
      <c r="E151" s="27">
        <v>644</v>
      </c>
      <c r="F151" s="26">
        <v>836</v>
      </c>
      <c r="G151" s="25">
        <v>707</v>
      </c>
      <c r="H151" s="26">
        <v>356</v>
      </c>
      <c r="I151" s="18">
        <f t="shared" si="20"/>
        <v>2543</v>
      </c>
      <c r="J151" s="27">
        <v>221</v>
      </c>
      <c r="K151" s="27">
        <v>519</v>
      </c>
      <c r="L151" s="27">
        <v>344</v>
      </c>
      <c r="M151" s="27">
        <v>561</v>
      </c>
      <c r="N151" s="18">
        <f t="shared" si="14"/>
        <v>1645</v>
      </c>
      <c r="O151" s="27">
        <v>372</v>
      </c>
      <c r="P151" s="27"/>
      <c r="Q151" s="27"/>
      <c r="W151" s="423" t="s">
        <v>174</v>
      </c>
      <c r="X151" s="241"/>
      <c r="Y151" s="230" t="s">
        <v>220</v>
      </c>
      <c r="Z151" s="256">
        <f>D144</f>
        <v>2971</v>
      </c>
      <c r="AA151" s="256">
        <f>B144+C144+E144</f>
        <v>700</v>
      </c>
      <c r="AB151" s="256">
        <f>F144+G144+H144+J144+K144</f>
        <v>1425</v>
      </c>
      <c r="AC151" s="256">
        <f>L144+M144+O144</f>
        <v>1692</v>
      </c>
      <c r="AD151" s="256">
        <f>L144+M144+O144+P144+Q144</f>
        <v>1692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0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4"/>
        <v>0</v>
      </c>
      <c r="O152" s="27">
        <v>0</v>
      </c>
      <c r="P152" s="27"/>
      <c r="Q152" s="27"/>
      <c r="W152" s="423"/>
      <c r="X152" s="241"/>
      <c r="Y152" s="230" t="s">
        <v>221</v>
      </c>
      <c r="Z152" s="260">
        <f>Z151/12</f>
        <v>247.58333333333334</v>
      </c>
      <c r="AA152" s="260">
        <f>AA151/5</f>
        <v>140</v>
      </c>
      <c r="AB152" s="260">
        <f>AB151/15</f>
        <v>95</v>
      </c>
      <c r="AC152" s="260">
        <f>AC151/9</f>
        <v>188</v>
      </c>
      <c r="AD152" s="230"/>
    </row>
    <row r="153" spans="1:30" x14ac:dyDescent="0.2">
      <c r="A153" s="71" t="s">
        <v>41</v>
      </c>
      <c r="B153" s="26">
        <v>0</v>
      </c>
      <c r="C153" s="189">
        <v>0</v>
      </c>
      <c r="D153" s="54">
        <v>0</v>
      </c>
      <c r="E153" s="27">
        <v>0</v>
      </c>
      <c r="F153" s="26">
        <v>0</v>
      </c>
      <c r="G153" s="25">
        <v>0</v>
      </c>
      <c r="H153" s="26">
        <v>0</v>
      </c>
      <c r="I153" s="18">
        <f t="shared" si="20"/>
        <v>0</v>
      </c>
      <c r="J153" s="27">
        <v>2</v>
      </c>
      <c r="K153" s="53">
        <v>0</v>
      </c>
      <c r="L153" s="53">
        <v>0</v>
      </c>
      <c r="M153" s="53">
        <v>0</v>
      </c>
      <c r="N153" s="18">
        <f t="shared" si="14"/>
        <v>2</v>
      </c>
      <c r="O153" s="27">
        <v>0</v>
      </c>
      <c r="P153" s="53"/>
      <c r="Q153" s="53"/>
      <c r="W153" s="446" t="s">
        <v>175</v>
      </c>
      <c r="X153" s="242"/>
      <c r="Y153" s="231" t="s">
        <v>178</v>
      </c>
      <c r="Z153" s="261">
        <f>D128+D131</f>
        <v>2627</v>
      </c>
      <c r="AA153" s="261">
        <f>B128+C128+E128+B131+C131+E131</f>
        <v>695</v>
      </c>
      <c r="AB153" s="261">
        <f>F128+G128+H128+J128+K128+F131+G131+H131+J131+K131</f>
        <v>1178</v>
      </c>
      <c r="AC153" s="261">
        <f>L128+M128+O128+L131+M131+O131</f>
        <v>1957</v>
      </c>
      <c r="AD153" s="261">
        <f>L128+M128+O128+P128+Q128+L131+M131+O131+P131+Q131</f>
        <v>1957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20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4"/>
        <v>0</v>
      </c>
      <c r="O154" s="27">
        <v>0</v>
      </c>
      <c r="P154" s="26"/>
      <c r="Q154" s="26"/>
      <c r="W154" s="446"/>
      <c r="X154" s="242"/>
      <c r="Y154" s="231" t="s">
        <v>222</v>
      </c>
      <c r="Z154" s="262">
        <f>Z153/12</f>
        <v>218.91666666666666</v>
      </c>
      <c r="AA154" s="262">
        <f>AA153/5</f>
        <v>139</v>
      </c>
      <c r="AB154" s="262">
        <f>AB153/15</f>
        <v>78.533333333333331</v>
      </c>
      <c r="AC154" s="262">
        <f>AC153/9</f>
        <v>217.44444444444446</v>
      </c>
      <c r="AD154" s="242"/>
    </row>
    <row r="155" spans="1:30" x14ac:dyDescent="0.2">
      <c r="A155" s="71" t="s">
        <v>43</v>
      </c>
      <c r="B155" s="26">
        <v>310</v>
      </c>
      <c r="C155" s="26">
        <v>352</v>
      </c>
      <c r="D155" s="54">
        <v>5655</v>
      </c>
      <c r="E155" s="27">
        <v>1030</v>
      </c>
      <c r="F155" s="26">
        <v>1101</v>
      </c>
      <c r="G155" s="25">
        <v>776</v>
      </c>
      <c r="H155" s="26">
        <v>477</v>
      </c>
      <c r="I155" s="18">
        <f t="shared" si="20"/>
        <v>3384</v>
      </c>
      <c r="J155" s="27">
        <v>439</v>
      </c>
      <c r="K155" s="26">
        <v>1129</v>
      </c>
      <c r="L155" s="26">
        <v>910</v>
      </c>
      <c r="M155" s="26">
        <v>1583</v>
      </c>
      <c r="N155" s="18">
        <f t="shared" si="14"/>
        <v>4061</v>
      </c>
      <c r="O155" s="27">
        <v>1056</v>
      </c>
      <c r="P155" s="26"/>
      <c r="Q155" s="26"/>
      <c r="W155" s="446"/>
      <c r="X155" s="242"/>
      <c r="Y155" s="231" t="s">
        <v>179</v>
      </c>
      <c r="Z155" s="261">
        <f>D148+D149</f>
        <v>2965</v>
      </c>
      <c r="AA155" s="261">
        <f>B148+C148+E148+B149+C149+E149</f>
        <v>700</v>
      </c>
      <c r="AB155" s="261">
        <f>F148+G148+H148+J148+K148+F149+G149+H149+J149+K149</f>
        <v>1283</v>
      </c>
      <c r="AC155" s="261">
        <f>L148+M148+O148+L149+M149+O149</f>
        <v>2272</v>
      </c>
      <c r="AD155" s="261">
        <f>L148+M148+O148+P148+Q148+L149+M149+O149+P149+Q149</f>
        <v>2272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20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4"/>
        <v>0</v>
      </c>
      <c r="O156" s="48">
        <v>0</v>
      </c>
      <c r="P156" s="77"/>
      <c r="Q156" s="77"/>
      <c r="W156" s="446"/>
      <c r="X156" s="242"/>
      <c r="Y156" s="231" t="s">
        <v>223</v>
      </c>
      <c r="Z156" s="261">
        <f>Z155/12</f>
        <v>247.08333333333334</v>
      </c>
      <c r="AA156" s="261">
        <f>AA155/5</f>
        <v>140</v>
      </c>
      <c r="AB156" s="261">
        <f>AB155/15</f>
        <v>85.533333333333331</v>
      </c>
      <c r="AC156" s="261">
        <f>AC155/9</f>
        <v>252.44444444444446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/>
      <c r="N157" s="42">
        <f>SUM(M157)</f>
        <v>0</v>
      </c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279</v>
      </c>
      <c r="AA157" s="263" t="s">
        <v>277</v>
      </c>
      <c r="AB157" s="264" t="s">
        <v>239</v>
      </c>
      <c r="AC157" s="263" t="s">
        <v>272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/>
      <c r="N158" s="18">
        <f t="shared" ref="N158:N172" si="23">SUM(M158)</f>
        <v>0</v>
      </c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286</v>
      </c>
      <c r="AA158" s="265" t="s">
        <v>283</v>
      </c>
      <c r="AB158" s="265" t="s">
        <v>284</v>
      </c>
      <c r="AC158" s="265" t="s">
        <v>276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/>
      <c r="N159" s="18">
        <f t="shared" si="23"/>
        <v>0</v>
      </c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/>
      <c r="N160" s="18">
        <f t="shared" si="23"/>
        <v>0</v>
      </c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/>
      <c r="N161" s="18">
        <f t="shared" si="23"/>
        <v>0</v>
      </c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/>
      <c r="N162" s="18">
        <f t="shared" si="23"/>
        <v>0</v>
      </c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/>
      <c r="N163" s="18">
        <f t="shared" si="23"/>
        <v>0</v>
      </c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/>
      <c r="N164" s="18">
        <f t="shared" si="23"/>
        <v>0</v>
      </c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/>
      <c r="N165" s="18">
        <f t="shared" si="23"/>
        <v>0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/>
      <c r="N166" s="18">
        <f t="shared" si="23"/>
        <v>0</v>
      </c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/>
      <c r="N167" s="18">
        <f t="shared" si="23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/>
      <c r="N168" s="18">
        <f t="shared" si="23"/>
        <v>0</v>
      </c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/>
      <c r="N169" s="18">
        <f t="shared" si="23"/>
        <v>0</v>
      </c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/>
      <c r="N170" s="18">
        <f t="shared" si="23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/>
      <c r="N171" s="18">
        <f t="shared" si="23"/>
        <v>0</v>
      </c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/>
      <c r="N172" s="38">
        <f t="shared" si="23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48:W150"/>
    <mergeCell ref="W151:W152"/>
    <mergeCell ref="W153:W156"/>
    <mergeCell ref="X14:X16"/>
    <mergeCell ref="X17:X19"/>
    <mergeCell ref="W20:W31"/>
    <mergeCell ref="X20:X23"/>
    <mergeCell ref="X24:X27"/>
    <mergeCell ref="X28:X31"/>
    <mergeCell ref="W11:W19"/>
    <mergeCell ref="X11:X13"/>
    <mergeCell ref="W32:W40"/>
    <mergeCell ref="X32:X34"/>
    <mergeCell ref="X35:X37"/>
    <mergeCell ref="X38:X40"/>
    <mergeCell ref="W41:W43"/>
    <mergeCell ref="W1:Y1"/>
    <mergeCell ref="W2:W10"/>
    <mergeCell ref="X2:X4"/>
    <mergeCell ref="X5:X7"/>
    <mergeCell ref="X8:X10"/>
    <mergeCell ref="W44:W47"/>
    <mergeCell ref="W81:Y81"/>
    <mergeCell ref="W82:W83"/>
    <mergeCell ref="W84:W86"/>
    <mergeCell ref="W87:W89"/>
    <mergeCell ref="W139:Y139"/>
    <mergeCell ref="W140:W141"/>
    <mergeCell ref="W142:W144"/>
    <mergeCell ref="W145:W147"/>
    <mergeCell ref="W90:W92"/>
    <mergeCell ref="W93:W94"/>
    <mergeCell ref="W95:W98"/>
    <mergeCell ref="W109:W112"/>
    <mergeCell ref="W115:W1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414C-8ACF-4538-B6CB-3EF3EE6D2CC9}">
  <dimension ref="A1:AE173"/>
  <sheetViews>
    <sheetView zoomScale="80" zoomScaleNormal="80" workbookViewId="0">
      <selection activeCell="A23" sqref="A23"/>
    </sheetView>
  </sheetViews>
  <sheetFormatPr baseColWidth="10" defaultColWidth="8.83203125" defaultRowHeight="15" x14ac:dyDescent="0.2"/>
  <cols>
    <col min="2" max="2" width="70.1640625" bestFit="1" customWidth="1"/>
    <col min="3" max="4" width="7.83203125" customWidth="1"/>
    <col min="5" max="5" width="18.6640625" customWidth="1"/>
    <col min="6" max="6" width="9.5" customWidth="1"/>
    <col min="7" max="7" width="10.1640625" customWidth="1"/>
    <col min="8" max="9" width="7.83203125" customWidth="1"/>
    <col min="10" max="10" width="19.5" customWidth="1"/>
    <col min="12" max="15" width="7.83203125" customWidth="1"/>
    <col min="16" max="16" width="23.1640625" customWidth="1"/>
    <col min="20" max="20" width="17.33203125" hidden="1" customWidth="1"/>
    <col min="21" max="21" width="28.1640625" hidden="1" customWidth="1"/>
    <col min="22" max="22" width="29" hidden="1" customWidth="1"/>
    <col min="23" max="23" width="27.6640625" hidden="1" customWidth="1"/>
    <col min="24" max="25" width="14.83203125" customWidth="1"/>
    <col min="26" max="26" width="47.1640625" bestFit="1" customWidth="1"/>
    <col min="27" max="27" width="14.5" bestFit="1" customWidth="1"/>
    <col min="28" max="28" width="19.1640625" bestFit="1" customWidth="1"/>
    <col min="29" max="29" width="18.83203125" bestFit="1" customWidth="1"/>
    <col min="30" max="30" width="16.33203125" bestFit="1" customWidth="1"/>
    <col min="31" max="31" width="17.83203125" bestFit="1" customWidth="1"/>
  </cols>
  <sheetData>
    <row r="1" spans="2:31" ht="29" thickBot="1" x14ac:dyDescent="0.25">
      <c r="B1" s="1" t="s">
        <v>164</v>
      </c>
      <c r="C1" s="2">
        <v>44866</v>
      </c>
      <c r="D1" s="2">
        <v>44896</v>
      </c>
      <c r="E1" s="3">
        <v>2022</v>
      </c>
      <c r="F1" s="4" t="s">
        <v>0</v>
      </c>
      <c r="G1" s="5" t="s">
        <v>1</v>
      </c>
      <c r="H1" s="6" t="s">
        <v>153</v>
      </c>
      <c r="I1" s="6" t="s">
        <v>154</v>
      </c>
      <c r="J1" s="7" t="s">
        <v>4</v>
      </c>
      <c r="K1" s="8" t="s">
        <v>5</v>
      </c>
      <c r="L1" s="185" t="s">
        <v>150</v>
      </c>
      <c r="M1" s="186" t="s">
        <v>151</v>
      </c>
      <c r="N1" s="186" t="s">
        <v>152</v>
      </c>
      <c r="O1" s="10" t="s">
        <v>6</v>
      </c>
      <c r="P1" s="8" t="s">
        <v>181</v>
      </c>
      <c r="Q1" s="2">
        <v>45748</v>
      </c>
      <c r="R1" s="186">
        <v>45778</v>
      </c>
      <c r="X1" s="481" t="s">
        <v>164</v>
      </c>
      <c r="Y1" s="481"/>
      <c r="Z1" s="481"/>
      <c r="AA1" s="251" t="s">
        <v>185</v>
      </c>
      <c r="AB1" s="251" t="s">
        <v>202</v>
      </c>
      <c r="AC1" s="251" t="s">
        <v>203</v>
      </c>
      <c r="AD1" s="251" t="s">
        <v>187</v>
      </c>
      <c r="AE1" s="251" t="s">
        <v>186</v>
      </c>
    </row>
    <row r="2" spans="2:31" ht="16" thickTop="1" x14ac:dyDescent="0.2">
      <c r="B2" s="29" t="s">
        <v>14</v>
      </c>
      <c r="C2" s="12">
        <v>513</v>
      </c>
      <c r="D2" s="12">
        <v>493</v>
      </c>
      <c r="E2" s="14">
        <v>3811</v>
      </c>
      <c r="F2" s="15">
        <v>663</v>
      </c>
      <c r="G2" s="13">
        <v>380</v>
      </c>
      <c r="H2" s="16">
        <v>900</v>
      </c>
      <c r="I2" s="17">
        <v>818</v>
      </c>
      <c r="J2" s="18">
        <f>F2+G2+H2+I2</f>
        <v>2761</v>
      </c>
      <c r="K2" s="19">
        <v>867</v>
      </c>
      <c r="L2" s="20">
        <v>814</v>
      </c>
      <c r="M2" s="21">
        <v>651</v>
      </c>
      <c r="N2" s="20">
        <v>1966</v>
      </c>
      <c r="O2" s="18">
        <f t="shared" ref="O2:O40" si="0">SUM(K2:N2)</f>
        <v>4298</v>
      </c>
      <c r="P2" s="19">
        <v>398</v>
      </c>
      <c r="Q2" s="20"/>
      <c r="R2" s="21"/>
      <c r="X2" s="387" t="s">
        <v>51</v>
      </c>
      <c r="Y2" s="387" t="s">
        <v>226</v>
      </c>
      <c r="Z2" s="243" t="s">
        <v>188</v>
      </c>
      <c r="AA2" s="247">
        <f>((E12+E15)/(E10+E13))*1000</f>
        <v>229.72667209702234</v>
      </c>
      <c r="AB2" s="247">
        <f>((C12+D12+F12+C15+D15+F15)/(C10+D10+F10+C13+D13+F13))*1000</f>
        <v>245.53757984597934</v>
      </c>
      <c r="AC2" s="247">
        <f>((G12+H12+I12+K12+L12+G15+H15+I15+K15+L15)/(G10+H10+I10+K10+L10+G13+H13+I13+K13+L13))*1000</f>
        <v>249.70446485405108</v>
      </c>
      <c r="AD2" s="247">
        <f>((M12+N12+P12+M15+N15+P15)/(M10+N10+P10+M13+N13+P13))*1000</f>
        <v>258.02144615512998</v>
      </c>
      <c r="AE2" s="247">
        <f>((M12+N12+P12+Q12+R12+M15+N15+P15+Q15+R15)/(M10+N10+P10+Q10+R10+M13+N13+P13+Q13+R13))*1000</f>
        <v>258.02144615512998</v>
      </c>
    </row>
    <row r="3" spans="2:31" x14ac:dyDescent="0.2">
      <c r="B3" s="22" t="s">
        <v>10</v>
      </c>
      <c r="C3" s="12">
        <v>107</v>
      </c>
      <c r="D3" s="12">
        <v>99</v>
      </c>
      <c r="E3" s="23">
        <v>428</v>
      </c>
      <c r="F3" s="24">
        <v>120</v>
      </c>
      <c r="G3" s="12">
        <v>62</v>
      </c>
      <c r="H3" s="25">
        <v>59</v>
      </c>
      <c r="I3" s="26">
        <v>102</v>
      </c>
      <c r="J3" s="18">
        <f t="shared" ref="J3:J40" si="1">F3+G3+H3+I3</f>
        <v>343</v>
      </c>
      <c r="K3" s="27">
        <v>99</v>
      </c>
      <c r="L3" s="26">
        <v>36</v>
      </c>
      <c r="M3" s="28">
        <v>74</v>
      </c>
      <c r="N3" s="26">
        <v>79</v>
      </c>
      <c r="O3" s="18">
        <f t="shared" si="0"/>
        <v>288</v>
      </c>
      <c r="P3" s="27">
        <v>43</v>
      </c>
      <c r="Q3" s="26"/>
      <c r="R3" s="28"/>
      <c r="X3" s="388"/>
      <c r="Y3" s="388"/>
      <c r="Z3" s="217" t="s">
        <v>229</v>
      </c>
      <c r="AA3" s="236">
        <f>E12+E15</f>
        <v>10153</v>
      </c>
      <c r="AB3" s="236">
        <f>C12+D12+F12+C15+D15+F15</f>
        <v>4113</v>
      </c>
      <c r="AC3" s="236">
        <f>G12+H12+I12+K12+L12+G15+H15+I15+K15+L15</f>
        <v>10984</v>
      </c>
      <c r="AD3" s="236">
        <f>M12+N12+P12+M15+N15+P15</f>
        <v>6184</v>
      </c>
      <c r="AE3" s="236">
        <f>M12+N12+P12+Q12+R12+M15+N15+P15+Q15+R15</f>
        <v>6184</v>
      </c>
    </row>
    <row r="4" spans="2:31" x14ac:dyDescent="0.2">
      <c r="B4" s="22" t="s">
        <v>13</v>
      </c>
      <c r="C4" s="12">
        <v>1069</v>
      </c>
      <c r="D4" s="12">
        <v>1009</v>
      </c>
      <c r="E4" s="23">
        <v>7973</v>
      </c>
      <c r="F4" s="24">
        <v>2096</v>
      </c>
      <c r="G4" s="12">
        <v>1236</v>
      </c>
      <c r="H4" s="25">
        <v>2362</v>
      </c>
      <c r="I4" s="26">
        <v>2176</v>
      </c>
      <c r="J4" s="18">
        <f t="shared" si="1"/>
        <v>7870</v>
      </c>
      <c r="K4" s="27">
        <v>2315</v>
      </c>
      <c r="L4" s="26">
        <v>666</v>
      </c>
      <c r="M4" s="28">
        <v>1391</v>
      </c>
      <c r="N4" s="26">
        <v>1530</v>
      </c>
      <c r="O4" s="18">
        <f t="shared" si="0"/>
        <v>5902</v>
      </c>
      <c r="P4" s="27">
        <v>899</v>
      </c>
      <c r="Q4" s="26"/>
      <c r="R4" s="28"/>
      <c r="X4" s="388"/>
      <c r="Y4" s="389"/>
      <c r="Z4" s="217" t="s">
        <v>216</v>
      </c>
      <c r="AA4" s="236">
        <f>E10+E13</f>
        <v>44196</v>
      </c>
      <c r="AB4" s="236">
        <f>(C10+D10+F10+C13+D13+F13)</f>
        <v>16751</v>
      </c>
      <c r="AC4" s="236">
        <f>G10+H10+I10+K10+L10+G13+H13+I13+K13+L13</f>
        <v>43988</v>
      </c>
      <c r="AD4" s="236">
        <f>M10+N10+P10+M13+N13+P13</f>
        <v>23967</v>
      </c>
      <c r="AE4" s="236">
        <f>M10+N10+P10+Q10+R10+M13+N13+P13+Q13+R13</f>
        <v>23967</v>
      </c>
    </row>
    <row r="5" spans="2:31" x14ac:dyDescent="0.2">
      <c r="B5" s="22" t="s">
        <v>9</v>
      </c>
      <c r="C5" s="12">
        <v>360</v>
      </c>
      <c r="D5" s="12">
        <v>412</v>
      </c>
      <c r="E5" s="23">
        <v>1556</v>
      </c>
      <c r="F5" s="24">
        <v>650</v>
      </c>
      <c r="G5" s="12">
        <v>266</v>
      </c>
      <c r="H5" s="25">
        <v>383</v>
      </c>
      <c r="I5" s="26">
        <v>537</v>
      </c>
      <c r="J5" s="18">
        <f t="shared" si="1"/>
        <v>1836</v>
      </c>
      <c r="K5" s="27">
        <v>443</v>
      </c>
      <c r="L5" s="26">
        <v>158</v>
      </c>
      <c r="M5" s="28">
        <v>296</v>
      </c>
      <c r="N5" s="26">
        <v>255</v>
      </c>
      <c r="O5" s="18">
        <f t="shared" si="0"/>
        <v>1152</v>
      </c>
      <c r="P5" s="27">
        <v>187</v>
      </c>
      <c r="Q5" s="26"/>
      <c r="R5" s="28"/>
      <c r="X5" s="388"/>
      <c r="Y5" s="387" t="s">
        <v>227</v>
      </c>
      <c r="Z5" s="217" t="s">
        <v>188</v>
      </c>
      <c r="AA5" s="247">
        <f>(E12/E10)*1000</f>
        <v>181.71044835078018</v>
      </c>
      <c r="AB5" s="247">
        <f>((C12+D12+F12)/(C10+D10+F10))*1000</f>
        <v>197.76593043919777</v>
      </c>
      <c r="AC5" s="247">
        <f>((G12+H12+I12+K12+L12)/(G10+H10+I10+K10+L10))*1000</f>
        <v>217.08700374079885</v>
      </c>
      <c r="AD5" s="247">
        <f>((M12+N12+P12)/(M10+N10+P10))*1000</f>
        <v>168.0672268907563</v>
      </c>
      <c r="AE5" s="247">
        <f>((M12+N12+P12+Q12+R12)/(M10+N10+P10+Q10+R10))*1000</f>
        <v>168.0672268907563</v>
      </c>
    </row>
    <row r="6" spans="2:31" x14ac:dyDescent="0.2">
      <c r="B6" s="22" t="s">
        <v>11</v>
      </c>
      <c r="C6" s="12">
        <v>436</v>
      </c>
      <c r="D6" s="12">
        <v>664</v>
      </c>
      <c r="E6" s="23">
        <v>5786</v>
      </c>
      <c r="F6" s="24">
        <v>1392</v>
      </c>
      <c r="G6" s="12">
        <v>2738</v>
      </c>
      <c r="H6" s="25">
        <v>2954</v>
      </c>
      <c r="I6" s="26">
        <v>631</v>
      </c>
      <c r="J6" s="18">
        <f t="shared" si="1"/>
        <v>7715</v>
      </c>
      <c r="K6" s="27">
        <v>589</v>
      </c>
      <c r="L6" s="26">
        <v>1598</v>
      </c>
      <c r="M6" s="28">
        <v>1862</v>
      </c>
      <c r="N6" s="26">
        <v>1288</v>
      </c>
      <c r="O6" s="18">
        <f t="shared" si="0"/>
        <v>5337</v>
      </c>
      <c r="P6" s="27">
        <v>1273</v>
      </c>
      <c r="Q6" s="26"/>
      <c r="R6" s="28"/>
      <c r="X6" s="388"/>
      <c r="Y6" s="388"/>
      <c r="Z6" s="217" t="s">
        <v>229</v>
      </c>
      <c r="AA6" s="236">
        <f>E12</f>
        <v>1840</v>
      </c>
      <c r="AB6" s="236">
        <f>C12+D12+F12</f>
        <v>779</v>
      </c>
      <c r="AC6" s="236">
        <f>G12+H12+I12+K12+L12</f>
        <v>1799</v>
      </c>
      <c r="AD6" s="236">
        <f>M12+N12+P12</f>
        <v>860</v>
      </c>
      <c r="AE6" s="236">
        <f>M12+N12+P12+Q12+R12</f>
        <v>860</v>
      </c>
    </row>
    <row r="7" spans="2:31" x14ac:dyDescent="0.2">
      <c r="B7" s="11" t="s">
        <v>7</v>
      </c>
      <c r="C7" s="12">
        <v>12</v>
      </c>
      <c r="D7" s="12">
        <v>74</v>
      </c>
      <c r="E7" s="23">
        <v>742</v>
      </c>
      <c r="F7" s="24">
        <v>233</v>
      </c>
      <c r="G7" s="12">
        <v>308</v>
      </c>
      <c r="H7" s="25">
        <v>741</v>
      </c>
      <c r="I7" s="26">
        <v>99</v>
      </c>
      <c r="J7" s="18">
        <f t="shared" si="1"/>
        <v>1381</v>
      </c>
      <c r="K7" s="27">
        <v>86</v>
      </c>
      <c r="L7" s="26">
        <v>265</v>
      </c>
      <c r="M7" s="28">
        <v>360</v>
      </c>
      <c r="N7" s="26">
        <v>204</v>
      </c>
      <c r="O7" s="18">
        <f t="shared" si="0"/>
        <v>915</v>
      </c>
      <c r="P7" s="27">
        <v>160</v>
      </c>
      <c r="Q7" s="26"/>
      <c r="R7" s="28"/>
      <c r="X7" s="388"/>
      <c r="Y7" s="389"/>
      <c r="Z7" s="217" t="s">
        <v>216</v>
      </c>
      <c r="AA7" s="236">
        <f>E10</f>
        <v>10126</v>
      </c>
      <c r="AB7" s="236">
        <f>C10+D10+F10</f>
        <v>3939</v>
      </c>
      <c r="AC7" s="236">
        <f>G10+H10+I10+K10+L10</f>
        <v>8287</v>
      </c>
      <c r="AD7" s="236">
        <f>M10+N10+P10</f>
        <v>5117</v>
      </c>
      <c r="AE7" s="236">
        <f>M10+N10+P10+Q10+R10</f>
        <v>5117</v>
      </c>
    </row>
    <row r="8" spans="2:31" x14ac:dyDescent="0.2">
      <c r="B8" s="22" t="s">
        <v>12</v>
      </c>
      <c r="C8" s="12">
        <v>1790</v>
      </c>
      <c r="D8" s="12">
        <v>3195</v>
      </c>
      <c r="E8" s="23">
        <v>38092</v>
      </c>
      <c r="F8" s="24">
        <v>10645</v>
      </c>
      <c r="G8" s="12">
        <v>13507</v>
      </c>
      <c r="H8" s="25">
        <v>9516</v>
      </c>
      <c r="I8" s="26">
        <v>2170</v>
      </c>
      <c r="J8" s="18">
        <f t="shared" si="1"/>
        <v>35838</v>
      </c>
      <c r="K8" s="27">
        <v>2534</v>
      </c>
      <c r="L8" s="26">
        <v>4610</v>
      </c>
      <c r="M8" s="28">
        <v>7243</v>
      </c>
      <c r="N8" s="26">
        <v>6052</v>
      </c>
      <c r="O8" s="18">
        <f t="shared" si="0"/>
        <v>20439</v>
      </c>
      <c r="P8" s="27">
        <v>3660</v>
      </c>
      <c r="Q8" s="49"/>
      <c r="R8" s="37"/>
      <c r="X8" s="388"/>
      <c r="Y8" s="387" t="s">
        <v>228</v>
      </c>
      <c r="Z8" s="217" t="s">
        <v>188</v>
      </c>
      <c r="AA8" s="247">
        <f>(E15/E13)*1000</f>
        <v>243.99765189316113</v>
      </c>
      <c r="AB8" s="247">
        <f>((C15+D15+F15)/(C13+D13+F13))*1000</f>
        <v>260.22478926006869</v>
      </c>
      <c r="AC8" s="247">
        <f>((G15+H15+I15+K15+L15)/(G13+H13+I13+K13+L13))*1000</f>
        <v>257.27570656284138</v>
      </c>
      <c r="AD8" s="247">
        <f>((M15+N15+P15)/(M13+N13+P13))*1000</f>
        <v>282.44031830238725</v>
      </c>
      <c r="AE8" s="247">
        <f>((M15+N15+P15+Q15+R15)/(M13+N13+P13+Q13+R13))*1000</f>
        <v>282.44031830238725</v>
      </c>
    </row>
    <row r="9" spans="2:31" ht="16" thickBot="1" x14ac:dyDescent="0.25">
      <c r="B9" s="22" t="s">
        <v>8</v>
      </c>
      <c r="C9" s="30">
        <v>54</v>
      </c>
      <c r="D9" s="30">
        <v>745</v>
      </c>
      <c r="E9" s="31">
        <v>6297</v>
      </c>
      <c r="F9" s="32">
        <v>1863</v>
      </c>
      <c r="G9" s="30">
        <v>2819</v>
      </c>
      <c r="H9" s="33">
        <v>2319</v>
      </c>
      <c r="I9" s="34">
        <v>512</v>
      </c>
      <c r="J9" s="18">
        <f t="shared" si="1"/>
        <v>7513</v>
      </c>
      <c r="K9" s="35">
        <v>575</v>
      </c>
      <c r="L9" s="36">
        <v>1004</v>
      </c>
      <c r="M9" s="37">
        <v>1400</v>
      </c>
      <c r="N9" s="36">
        <v>1368</v>
      </c>
      <c r="O9" s="38">
        <f t="shared" si="0"/>
        <v>4347</v>
      </c>
      <c r="P9" s="182">
        <v>926</v>
      </c>
      <c r="Q9" s="49"/>
      <c r="R9" s="37"/>
      <c r="X9" s="388"/>
      <c r="Y9" s="388"/>
      <c r="Z9" s="217" t="s">
        <v>229</v>
      </c>
      <c r="AA9" s="236">
        <f>E15</f>
        <v>8313</v>
      </c>
      <c r="AB9" s="236">
        <f>C15+D15+F15</f>
        <v>3334</v>
      </c>
      <c r="AC9" s="236">
        <f>G15+H15+I15+K15+L15</f>
        <v>9185</v>
      </c>
      <c r="AD9" s="236">
        <f>M15+N15+P15</f>
        <v>5324</v>
      </c>
      <c r="AE9" s="236">
        <f>M15+N15+P15+Q15+R15</f>
        <v>5324</v>
      </c>
    </row>
    <row r="10" spans="2:31" ht="16" thickTop="1" x14ac:dyDescent="0.2">
      <c r="B10" s="177" t="s">
        <v>19</v>
      </c>
      <c r="C10" s="13">
        <v>784</v>
      </c>
      <c r="D10" s="13">
        <v>714</v>
      </c>
      <c r="E10" s="14">
        <v>10126</v>
      </c>
      <c r="F10" s="40">
        <v>2441</v>
      </c>
      <c r="G10" s="13">
        <v>1942</v>
      </c>
      <c r="H10" s="41">
        <v>1868</v>
      </c>
      <c r="I10" s="20">
        <v>1403</v>
      </c>
      <c r="J10" s="42">
        <f t="shared" si="1"/>
        <v>7654</v>
      </c>
      <c r="K10" s="43">
        <v>2093</v>
      </c>
      <c r="L10" s="17">
        <v>981</v>
      </c>
      <c r="M10" s="44">
        <v>1718</v>
      </c>
      <c r="N10" s="17">
        <v>1890</v>
      </c>
      <c r="O10" s="18">
        <f t="shared" si="0"/>
        <v>6682</v>
      </c>
      <c r="P10" s="43">
        <v>1509</v>
      </c>
      <c r="Q10" s="17"/>
      <c r="R10" s="44"/>
      <c r="X10" s="389"/>
      <c r="Y10" s="389"/>
      <c r="Z10" s="217" t="s">
        <v>216</v>
      </c>
      <c r="AA10" s="236">
        <f>E13</f>
        <v>34070</v>
      </c>
      <c r="AB10" s="236">
        <f>C13+D13+F13</f>
        <v>12812</v>
      </c>
      <c r="AC10" s="236">
        <f>G13+H13+I13+K13+L13</f>
        <v>35701</v>
      </c>
      <c r="AD10" s="236">
        <f>M13+N13+P13</f>
        <v>18850</v>
      </c>
      <c r="AE10" s="236">
        <f>M13+N13+P13+Q13+R13</f>
        <v>18850</v>
      </c>
    </row>
    <row r="11" spans="2:31" x14ac:dyDescent="0.2">
      <c r="B11" s="45" t="s">
        <v>16</v>
      </c>
      <c r="C11" s="12">
        <v>573</v>
      </c>
      <c r="D11" s="12">
        <v>573</v>
      </c>
      <c r="E11" s="23">
        <v>8740</v>
      </c>
      <c r="F11" s="24">
        <v>2148</v>
      </c>
      <c r="G11" s="12">
        <v>1869</v>
      </c>
      <c r="H11" s="25">
        <v>1786</v>
      </c>
      <c r="I11" s="26">
        <v>966</v>
      </c>
      <c r="J11" s="18">
        <f t="shared" si="1"/>
        <v>6769</v>
      </c>
      <c r="K11" s="27">
        <v>1462</v>
      </c>
      <c r="L11" s="26">
        <v>819</v>
      </c>
      <c r="M11" s="28">
        <v>1629</v>
      </c>
      <c r="N11" s="26">
        <v>1868</v>
      </c>
      <c r="O11" s="18">
        <f t="shared" si="0"/>
        <v>5778</v>
      </c>
      <c r="P11" s="27">
        <v>1429</v>
      </c>
      <c r="Q11" s="26"/>
      <c r="R11" s="28"/>
      <c r="X11" s="390" t="s">
        <v>46</v>
      </c>
      <c r="Y11" s="390" t="s">
        <v>226</v>
      </c>
      <c r="Z11" s="244" t="s">
        <v>191</v>
      </c>
      <c r="AA11" s="245">
        <f>(E3+E7)/(E2+E6)</f>
        <v>0.12191309784307595</v>
      </c>
      <c r="AB11" s="245">
        <f>(C3+D3+F3+C7+D7+F7)/(C2+D2+F2+C6+D6+F6)</f>
        <v>0.15501081470800288</v>
      </c>
      <c r="AC11" s="245">
        <f>(G3+H3+I3+K3+L3+G7+H7+I7+K7+L7)/(G2+H2+I2+K2+L2+G6+H6+I6+K6+L6)</f>
        <v>0.1511107494507283</v>
      </c>
      <c r="AD11" s="245">
        <f>(M3+N3+P3+M7+N7+P7)/(M2+N2+P2+M6+N6+P6)</f>
        <v>0.12368916375369723</v>
      </c>
      <c r="AE11" s="245">
        <f>(M3+N3+P3+Q3+R3+M7+N7+P7+Q7+R7)/(M2+N2+P2+Q2+R2+M6+N6+P6+Q6+R6)</f>
        <v>0.12368916375369723</v>
      </c>
    </row>
    <row r="12" spans="2:31" x14ac:dyDescent="0.2">
      <c r="B12" s="177" t="s">
        <v>15</v>
      </c>
      <c r="C12" s="12">
        <v>135</v>
      </c>
      <c r="D12" s="12">
        <v>169</v>
      </c>
      <c r="E12" s="23">
        <v>1840</v>
      </c>
      <c r="F12" s="24">
        <v>475</v>
      </c>
      <c r="G12" s="12">
        <v>572</v>
      </c>
      <c r="H12" s="25">
        <v>474</v>
      </c>
      <c r="I12" s="26">
        <v>284</v>
      </c>
      <c r="J12" s="18">
        <f t="shared" si="1"/>
        <v>1805</v>
      </c>
      <c r="K12" s="27">
        <v>254</v>
      </c>
      <c r="L12" s="26">
        <v>215</v>
      </c>
      <c r="M12" s="28">
        <v>338</v>
      </c>
      <c r="N12" s="26">
        <v>300</v>
      </c>
      <c r="O12" s="18">
        <f t="shared" si="0"/>
        <v>1107</v>
      </c>
      <c r="P12" s="27">
        <v>222</v>
      </c>
      <c r="Q12" s="26"/>
      <c r="R12" s="28"/>
      <c r="X12" s="391"/>
      <c r="Y12" s="391"/>
      <c r="Z12" s="218" t="s">
        <v>231</v>
      </c>
      <c r="AA12" s="246">
        <f>E3+E7</f>
        <v>1170</v>
      </c>
      <c r="AB12" s="246">
        <f>C3+D3+F3+C7+D7+F7</f>
        <v>645</v>
      </c>
      <c r="AC12" s="246">
        <f>G3+H3+I3+K3+L3+G7+H7+I7+K7+L7</f>
        <v>1857</v>
      </c>
      <c r="AD12" s="246">
        <f>M3+N3+P3+M7+N7+P7</f>
        <v>920</v>
      </c>
      <c r="AE12" s="246">
        <f>M3+N3+P3+Q3+R3+M7+N7+P7+Q7+R7</f>
        <v>920</v>
      </c>
    </row>
    <row r="13" spans="2:31" x14ac:dyDescent="0.2">
      <c r="B13" s="45" t="s">
        <v>20</v>
      </c>
      <c r="C13" s="12">
        <v>2283</v>
      </c>
      <c r="D13" s="12">
        <v>2409</v>
      </c>
      <c r="E13" s="23">
        <v>34070</v>
      </c>
      <c r="F13" s="24">
        <v>8120</v>
      </c>
      <c r="G13" s="12">
        <v>8344</v>
      </c>
      <c r="H13" s="25">
        <v>9720</v>
      </c>
      <c r="I13" s="26">
        <v>5352</v>
      </c>
      <c r="J13" s="18">
        <f t="shared" si="1"/>
        <v>31536</v>
      </c>
      <c r="K13" s="27">
        <v>7771</v>
      </c>
      <c r="L13" s="26">
        <v>4514</v>
      </c>
      <c r="M13" s="28">
        <v>7349</v>
      </c>
      <c r="N13" s="26">
        <v>6230</v>
      </c>
      <c r="O13" s="18">
        <f t="shared" si="0"/>
        <v>25864</v>
      </c>
      <c r="P13" s="27">
        <v>5271</v>
      </c>
      <c r="Q13" s="26"/>
      <c r="R13" s="28"/>
      <c r="X13" s="391"/>
      <c r="Y13" s="392"/>
      <c r="Z13" s="218" t="s">
        <v>232</v>
      </c>
      <c r="AA13" s="246">
        <f>E2+E6</f>
        <v>9597</v>
      </c>
      <c r="AB13" s="246">
        <f>(C2+D2+F2+C6+D6+F6)</f>
        <v>4161</v>
      </c>
      <c r="AC13" s="246">
        <f>G2+H2+I2+K2+L2+G6+H6+I6+K6+L6</f>
        <v>12289</v>
      </c>
      <c r="AD13" s="246">
        <f>M2+N2+P2+M6+N6+P6</f>
        <v>7438</v>
      </c>
      <c r="AE13" s="246">
        <f>M2+N2+P2+Q2+R2+M6+N6+P6+Q6+R6</f>
        <v>7438</v>
      </c>
    </row>
    <row r="14" spans="2:31" x14ac:dyDescent="0.2">
      <c r="B14" s="45" t="s">
        <v>18</v>
      </c>
      <c r="C14" s="12">
        <v>208</v>
      </c>
      <c r="D14" s="12">
        <v>384</v>
      </c>
      <c r="E14" s="23">
        <v>3056</v>
      </c>
      <c r="F14" s="24">
        <v>881</v>
      </c>
      <c r="G14" s="12">
        <v>2034</v>
      </c>
      <c r="H14" s="25">
        <v>7615</v>
      </c>
      <c r="I14" s="26">
        <v>2579</v>
      </c>
      <c r="J14" s="18">
        <f t="shared" si="1"/>
        <v>13109</v>
      </c>
      <c r="K14" s="27">
        <v>5535</v>
      </c>
      <c r="L14" s="26">
        <v>2494</v>
      </c>
      <c r="M14" s="28">
        <v>2509</v>
      </c>
      <c r="N14" s="26">
        <v>4098</v>
      </c>
      <c r="O14" s="18">
        <f t="shared" si="0"/>
        <v>14636</v>
      </c>
      <c r="P14" s="27">
        <v>3462</v>
      </c>
      <c r="Q14" s="26"/>
      <c r="R14" s="28"/>
      <c r="X14" s="391"/>
      <c r="Y14" s="390" t="s">
        <v>192</v>
      </c>
      <c r="Z14" s="244" t="s">
        <v>193</v>
      </c>
      <c r="AA14" s="245">
        <f>E3/E2</f>
        <v>0.11230648123852008</v>
      </c>
      <c r="AB14" s="245">
        <f>(C3+D3+F3)/(C2+D2+F2)</f>
        <v>0.19532654284002396</v>
      </c>
      <c r="AC14" s="245">
        <f>(G3+H3+I3+K3+L3)/(G2+H2+I2+K2+L2)</f>
        <v>9.4734056628737767E-2</v>
      </c>
      <c r="AD14" s="245">
        <f>(M3+N3+P3)/(M2+N2+P2)</f>
        <v>6.5008291873963522E-2</v>
      </c>
      <c r="AE14" s="245">
        <f>(M3+N3+P3+Q3+R3)/(M2+N2+P2+Q2+R2)</f>
        <v>6.5008291873963522E-2</v>
      </c>
    </row>
    <row r="15" spans="2:31" x14ac:dyDescent="0.2">
      <c r="B15" s="45" t="s">
        <v>17</v>
      </c>
      <c r="C15" s="12">
        <v>452</v>
      </c>
      <c r="D15" s="12">
        <v>726</v>
      </c>
      <c r="E15" s="23">
        <v>8313</v>
      </c>
      <c r="F15" s="24">
        <v>2156</v>
      </c>
      <c r="G15" s="12">
        <v>2212</v>
      </c>
      <c r="H15" s="25">
        <v>2978</v>
      </c>
      <c r="I15" s="26">
        <v>1175</v>
      </c>
      <c r="J15" s="18">
        <f t="shared" si="1"/>
        <v>8521</v>
      </c>
      <c r="K15" s="27">
        <v>1357</v>
      </c>
      <c r="L15" s="26">
        <v>1463</v>
      </c>
      <c r="M15" s="28">
        <v>2047</v>
      </c>
      <c r="N15" s="26">
        <v>1669</v>
      </c>
      <c r="O15" s="18">
        <f t="shared" si="0"/>
        <v>6536</v>
      </c>
      <c r="P15" s="27">
        <v>1608</v>
      </c>
      <c r="Q15" s="26"/>
      <c r="R15" s="28"/>
      <c r="X15" s="391"/>
      <c r="Y15" s="391"/>
      <c r="Z15" s="218" t="s">
        <v>233</v>
      </c>
      <c r="AA15" s="246">
        <f>E3</f>
        <v>428</v>
      </c>
      <c r="AB15" s="246">
        <f>C3+D3+F3</f>
        <v>326</v>
      </c>
      <c r="AC15" s="246">
        <f>G3+H3+I3+K3+L3</f>
        <v>358</v>
      </c>
      <c r="AD15" s="246">
        <f>M3+N3+P3</f>
        <v>196</v>
      </c>
      <c r="AE15" s="246">
        <f>M3+N3+P3+Q3+R3</f>
        <v>196</v>
      </c>
    </row>
    <row r="16" spans="2:31" ht="16" thickBot="1" x14ac:dyDescent="0.25">
      <c r="B16" s="179" t="s">
        <v>21</v>
      </c>
      <c r="C16" s="34">
        <v>2</v>
      </c>
      <c r="D16" s="34">
        <v>84</v>
      </c>
      <c r="E16" s="47">
        <v>226</v>
      </c>
      <c r="F16" s="48">
        <v>8</v>
      </c>
      <c r="G16" s="34">
        <v>5</v>
      </c>
      <c r="H16" s="33">
        <v>20</v>
      </c>
      <c r="I16" s="34">
        <v>4</v>
      </c>
      <c r="J16" s="38">
        <f t="shared" si="1"/>
        <v>37</v>
      </c>
      <c r="K16" s="48">
        <v>13</v>
      </c>
      <c r="L16" s="49">
        <v>7</v>
      </c>
      <c r="M16" s="37">
        <v>217</v>
      </c>
      <c r="N16" s="49">
        <v>33</v>
      </c>
      <c r="O16" s="18">
        <f t="shared" si="0"/>
        <v>270</v>
      </c>
      <c r="P16" s="48">
        <v>11</v>
      </c>
      <c r="Q16" s="49"/>
      <c r="R16" s="37"/>
      <c r="X16" s="391"/>
      <c r="Y16" s="392"/>
      <c r="Z16" s="218" t="s">
        <v>234</v>
      </c>
      <c r="AA16" s="246">
        <f>E2</f>
        <v>3811</v>
      </c>
      <c r="AB16" s="246">
        <f>C2+D2+F2</f>
        <v>1669</v>
      </c>
      <c r="AC16" s="246">
        <f>G2+H2+I2+K2+L2</f>
        <v>3779</v>
      </c>
      <c r="AD16" s="246">
        <f>M2+N2+P2</f>
        <v>3015</v>
      </c>
      <c r="AE16" s="246">
        <f>M2+N2+P2+Q2+R2</f>
        <v>3015</v>
      </c>
    </row>
    <row r="17" spans="1:31" ht="16" thickTop="1" x14ac:dyDescent="0.2">
      <c r="B17" s="55" t="s">
        <v>25</v>
      </c>
      <c r="C17" s="13">
        <v>446</v>
      </c>
      <c r="D17" s="13">
        <v>372</v>
      </c>
      <c r="E17" s="14">
        <v>4841</v>
      </c>
      <c r="F17" s="40">
        <v>1295</v>
      </c>
      <c r="G17" s="13">
        <v>1170</v>
      </c>
      <c r="H17" s="41">
        <v>1247</v>
      </c>
      <c r="I17" s="20">
        <v>1153</v>
      </c>
      <c r="J17" s="18">
        <f t="shared" si="1"/>
        <v>4865</v>
      </c>
      <c r="K17" s="19">
        <v>1490</v>
      </c>
      <c r="L17" s="51">
        <v>1195</v>
      </c>
      <c r="M17" s="44">
        <v>1249</v>
      </c>
      <c r="N17" s="51">
        <v>1219</v>
      </c>
      <c r="O17" s="42">
        <f t="shared" si="0"/>
        <v>5153</v>
      </c>
      <c r="P17" s="19">
        <v>702</v>
      </c>
      <c r="Q17" s="51"/>
      <c r="R17" s="44"/>
      <c r="X17" s="391"/>
      <c r="Y17" s="390" t="s">
        <v>230</v>
      </c>
      <c r="Z17" s="244" t="s">
        <v>194</v>
      </c>
      <c r="AA17" s="245">
        <f>E7/E6</f>
        <v>0.1282405807120636</v>
      </c>
      <c r="AB17" s="245">
        <f>(C7+D7+F7)/(C6+D6+F6)</f>
        <v>0.12800963081861957</v>
      </c>
      <c r="AC17" s="245">
        <f>(G7+H7+I7+K7+L7)/(G6+H6+I6+K6+L6)</f>
        <v>0.17614571092831963</v>
      </c>
      <c r="AD17" s="245">
        <f>(M7+N7+P7)/(M6+N6+P6)</f>
        <v>0.16368980330092697</v>
      </c>
      <c r="AE17" s="245">
        <f>(M7+N7+P7+Q7+R7)/(M6+N6+P6+Q6+R6)</f>
        <v>0.16368980330092697</v>
      </c>
    </row>
    <row r="18" spans="1:31" x14ac:dyDescent="0.2">
      <c r="B18" s="52" t="s">
        <v>26</v>
      </c>
      <c r="C18" s="12">
        <v>1204</v>
      </c>
      <c r="D18" s="12">
        <v>1187</v>
      </c>
      <c r="E18" s="23">
        <v>14383</v>
      </c>
      <c r="F18" s="24">
        <v>4040</v>
      </c>
      <c r="G18" s="12">
        <v>3755</v>
      </c>
      <c r="H18" s="25">
        <v>3918</v>
      </c>
      <c r="I18" s="26">
        <v>3542</v>
      </c>
      <c r="J18" s="18">
        <f t="shared" si="1"/>
        <v>15255</v>
      </c>
      <c r="K18" s="27">
        <v>4118</v>
      </c>
      <c r="L18" s="53">
        <v>3965</v>
      </c>
      <c r="M18" s="28">
        <v>3978</v>
      </c>
      <c r="N18" s="53">
        <v>4302</v>
      </c>
      <c r="O18" s="18">
        <f t="shared" si="0"/>
        <v>16363</v>
      </c>
      <c r="P18" s="27">
        <v>2461</v>
      </c>
      <c r="Q18" s="53"/>
      <c r="R18" s="28"/>
      <c r="X18" s="391"/>
      <c r="Y18" s="391"/>
      <c r="Z18" s="218" t="s">
        <v>235</v>
      </c>
      <c r="AA18" s="221">
        <f>E7</f>
        <v>742</v>
      </c>
      <c r="AB18" s="221">
        <f>C7+D7+F7</f>
        <v>319</v>
      </c>
      <c r="AC18" s="221">
        <f>G7+H7+I7+K7+L7</f>
        <v>1499</v>
      </c>
      <c r="AD18" s="221">
        <f>M7+N7+P7</f>
        <v>724</v>
      </c>
      <c r="AE18" s="221">
        <f>M7+N7+P7+Q7+R7</f>
        <v>724</v>
      </c>
    </row>
    <row r="19" spans="1:31" x14ac:dyDescent="0.2">
      <c r="B19" s="52" t="s">
        <v>27</v>
      </c>
      <c r="C19" s="26">
        <v>244</v>
      </c>
      <c r="D19" s="26">
        <v>275</v>
      </c>
      <c r="E19" s="54">
        <v>3144</v>
      </c>
      <c r="F19" s="27">
        <v>890</v>
      </c>
      <c r="G19" s="26">
        <v>853</v>
      </c>
      <c r="H19" s="25">
        <v>848</v>
      </c>
      <c r="I19" s="26">
        <v>818</v>
      </c>
      <c r="J19" s="18">
        <f t="shared" si="1"/>
        <v>3409</v>
      </c>
      <c r="K19" s="27">
        <v>875</v>
      </c>
      <c r="L19" s="53">
        <v>968</v>
      </c>
      <c r="M19" s="28">
        <v>901</v>
      </c>
      <c r="N19" s="53">
        <v>896</v>
      </c>
      <c r="O19" s="18">
        <f t="shared" si="0"/>
        <v>3640</v>
      </c>
      <c r="P19" s="27">
        <v>451</v>
      </c>
      <c r="Q19" s="53"/>
      <c r="R19" s="28"/>
      <c r="X19" s="392"/>
      <c r="Y19" s="392"/>
      <c r="Z19" s="218" t="s">
        <v>236</v>
      </c>
      <c r="AA19" s="221">
        <f>E6</f>
        <v>5786</v>
      </c>
      <c r="AB19" s="221">
        <f>C6+D6+F6</f>
        <v>2492</v>
      </c>
      <c r="AC19" s="221">
        <f>G6+H6+I6+K6+L6</f>
        <v>8510</v>
      </c>
      <c r="AD19" s="221">
        <f>M6+N6+P6</f>
        <v>4423</v>
      </c>
      <c r="AE19" s="221">
        <f>M6+N6+P6+Q6+R6</f>
        <v>4423</v>
      </c>
    </row>
    <row r="20" spans="1:31" x14ac:dyDescent="0.2">
      <c r="B20" s="52" t="s">
        <v>28</v>
      </c>
      <c r="C20" s="56">
        <v>6</v>
      </c>
      <c r="D20" s="56">
        <v>7</v>
      </c>
      <c r="E20" s="57">
        <v>94</v>
      </c>
      <c r="F20" s="58">
        <v>24</v>
      </c>
      <c r="G20" s="59">
        <v>36</v>
      </c>
      <c r="H20" s="60">
        <v>71</v>
      </c>
      <c r="I20" s="61">
        <v>33</v>
      </c>
      <c r="J20" s="18">
        <f t="shared" si="1"/>
        <v>164</v>
      </c>
      <c r="K20" s="27">
        <v>23</v>
      </c>
      <c r="L20" s="53">
        <v>38</v>
      </c>
      <c r="M20" s="28">
        <v>63</v>
      </c>
      <c r="N20" s="53">
        <v>112</v>
      </c>
      <c r="O20" s="18">
        <f t="shared" si="0"/>
        <v>236</v>
      </c>
      <c r="P20" s="27">
        <v>71</v>
      </c>
      <c r="Q20" s="53"/>
      <c r="R20" s="28"/>
      <c r="X20" s="421" t="s">
        <v>170</v>
      </c>
      <c r="Y20" s="421" t="s">
        <v>226</v>
      </c>
      <c r="Z20" s="219" t="s">
        <v>195</v>
      </c>
      <c r="AA20" s="222">
        <f>E10+E13</f>
        <v>44196</v>
      </c>
      <c r="AB20" s="222">
        <f>C10+D10+F10+C13+D13+F13</f>
        <v>16751</v>
      </c>
      <c r="AC20" s="222">
        <f>G10+H10+I10+K10+L10+G13+H13+I13+K13+L13</f>
        <v>43988</v>
      </c>
      <c r="AD20" s="223">
        <f>M10+N10+P10+M13+N13+P13</f>
        <v>23967</v>
      </c>
      <c r="AE20" s="223">
        <f>M10+N10+P10+Q10+R10+M13+N13+P13+Q13+R13</f>
        <v>23967</v>
      </c>
    </row>
    <row r="21" spans="1:31" x14ac:dyDescent="0.2">
      <c r="A21" s="345"/>
      <c r="B21" s="55" t="s">
        <v>22</v>
      </c>
      <c r="C21" s="56">
        <v>307</v>
      </c>
      <c r="D21" s="56">
        <v>295</v>
      </c>
      <c r="E21" s="57">
        <v>4582</v>
      </c>
      <c r="F21" s="58">
        <v>872</v>
      </c>
      <c r="G21" s="59">
        <v>1184</v>
      </c>
      <c r="H21" s="60">
        <v>1012</v>
      </c>
      <c r="I21" s="61">
        <v>1183</v>
      </c>
      <c r="J21" s="18">
        <f t="shared" si="1"/>
        <v>4251</v>
      </c>
      <c r="K21" s="27">
        <v>1401</v>
      </c>
      <c r="L21" s="53">
        <v>630</v>
      </c>
      <c r="M21" s="28">
        <v>1158</v>
      </c>
      <c r="N21" s="53">
        <v>1154</v>
      </c>
      <c r="O21" s="18">
        <f t="shared" si="0"/>
        <v>4343</v>
      </c>
      <c r="P21" s="27">
        <v>678</v>
      </c>
      <c r="Q21" s="53"/>
      <c r="R21" s="28"/>
      <c r="X21" s="419"/>
      <c r="Y21" s="419"/>
      <c r="Z21" s="219" t="s">
        <v>205</v>
      </c>
      <c r="AA21" s="222">
        <f>AA20/12</f>
        <v>3683</v>
      </c>
      <c r="AB21" s="222">
        <f>AB20/5</f>
        <v>3350.2</v>
      </c>
      <c r="AC21" s="222">
        <f>AC20/15</f>
        <v>2932.5333333333333</v>
      </c>
      <c r="AD21" s="223">
        <f>AD20/9</f>
        <v>2663</v>
      </c>
      <c r="AE21" s="223"/>
    </row>
    <row r="22" spans="1:31" x14ac:dyDescent="0.2">
      <c r="A22" s="345"/>
      <c r="B22" s="52" t="s">
        <v>23</v>
      </c>
      <c r="C22" s="56">
        <v>300</v>
      </c>
      <c r="D22" s="56">
        <v>280</v>
      </c>
      <c r="E22" s="57">
        <v>3714</v>
      </c>
      <c r="F22" s="58">
        <v>852</v>
      </c>
      <c r="G22" s="59">
        <v>823</v>
      </c>
      <c r="H22" s="60">
        <v>1070</v>
      </c>
      <c r="I22" s="61">
        <v>1016</v>
      </c>
      <c r="J22" s="18">
        <f t="shared" si="1"/>
        <v>3761</v>
      </c>
      <c r="K22" s="27">
        <v>1245</v>
      </c>
      <c r="L22" s="53">
        <v>613</v>
      </c>
      <c r="M22" s="28">
        <v>479</v>
      </c>
      <c r="N22" s="53">
        <v>1343</v>
      </c>
      <c r="O22" s="18">
        <f t="shared" si="0"/>
        <v>3680</v>
      </c>
      <c r="P22" s="27">
        <v>491</v>
      </c>
      <c r="Q22" s="53"/>
      <c r="R22" s="28"/>
      <c r="X22" s="419"/>
      <c r="Y22" s="419"/>
      <c r="Z22" s="219" t="s">
        <v>196</v>
      </c>
      <c r="AA22" s="223">
        <f>E12+E15</f>
        <v>10153</v>
      </c>
      <c r="AB22" s="223">
        <f>C12+D12+F12+C15+D15+F15</f>
        <v>4113</v>
      </c>
      <c r="AC22" s="223">
        <f>G12+H12+I12+K12+L12+G15+H15+I15+K15+L15</f>
        <v>10984</v>
      </c>
      <c r="AD22" s="223">
        <f>M12+N12+P12+M15+N15+P15</f>
        <v>6184</v>
      </c>
      <c r="AE22" s="223">
        <f>M12+N12+P12+Q12+R12+M15+N15+P15+Q15+R15</f>
        <v>6184</v>
      </c>
    </row>
    <row r="23" spans="1:31" ht="16" thickBot="1" x14ac:dyDescent="0.25">
      <c r="A23" s="345"/>
      <c r="B23" s="52" t="s">
        <v>24</v>
      </c>
      <c r="C23" s="63">
        <v>234</v>
      </c>
      <c r="D23" s="63">
        <v>223</v>
      </c>
      <c r="E23" s="64">
        <v>3150</v>
      </c>
      <c r="F23" s="65">
        <v>774</v>
      </c>
      <c r="G23" s="66">
        <v>753</v>
      </c>
      <c r="H23" s="67">
        <v>835</v>
      </c>
      <c r="I23" s="68">
        <v>750</v>
      </c>
      <c r="J23" s="38">
        <f>SUM(F23:I23)</f>
        <v>3112</v>
      </c>
      <c r="K23" s="35">
        <v>1108</v>
      </c>
      <c r="L23" s="49">
        <v>560</v>
      </c>
      <c r="M23" s="37">
        <v>328</v>
      </c>
      <c r="N23" s="49">
        <v>1172</v>
      </c>
      <c r="O23" s="18">
        <f t="shared" si="0"/>
        <v>3168</v>
      </c>
      <c r="P23" s="35">
        <v>490</v>
      </c>
      <c r="Q23" s="49"/>
      <c r="R23" s="37"/>
      <c r="X23" s="419"/>
      <c r="Y23" s="420"/>
      <c r="Z23" s="219" t="s">
        <v>206</v>
      </c>
      <c r="AA23" s="222">
        <f>AA22/12</f>
        <v>846.08333333333337</v>
      </c>
      <c r="AB23" s="222">
        <f>AB22/5</f>
        <v>822.6</v>
      </c>
      <c r="AC23" s="222">
        <f>AC22/15</f>
        <v>732.26666666666665</v>
      </c>
      <c r="AD23" s="223">
        <f>AD22/9</f>
        <v>687.11111111111109</v>
      </c>
      <c r="AE23" s="223"/>
    </row>
    <row r="24" spans="1:31" ht="16" thickTop="1" x14ac:dyDescent="0.2">
      <c r="B24" s="69" t="s">
        <v>29</v>
      </c>
      <c r="C24" s="13">
        <v>97</v>
      </c>
      <c r="D24" s="13">
        <v>123</v>
      </c>
      <c r="E24" s="14">
        <v>1460</v>
      </c>
      <c r="F24" s="40">
        <v>352</v>
      </c>
      <c r="G24" s="13">
        <v>427</v>
      </c>
      <c r="H24" s="41">
        <v>429</v>
      </c>
      <c r="I24" s="20">
        <v>469</v>
      </c>
      <c r="J24" s="18">
        <f>F24+G24+H24+I24</f>
        <v>1677</v>
      </c>
      <c r="K24" s="70">
        <v>608</v>
      </c>
      <c r="L24" s="16">
        <v>160</v>
      </c>
      <c r="M24" s="16">
        <v>250</v>
      </c>
      <c r="N24" s="16">
        <v>600</v>
      </c>
      <c r="O24" s="42">
        <f t="shared" si="0"/>
        <v>1618</v>
      </c>
      <c r="P24" s="70">
        <v>198</v>
      </c>
      <c r="Q24" s="16"/>
      <c r="R24" s="16"/>
      <c r="X24" s="419"/>
      <c r="Y24" s="421" t="s">
        <v>189</v>
      </c>
      <c r="Z24" s="219" t="s">
        <v>197</v>
      </c>
      <c r="AA24" s="223">
        <f>E10</f>
        <v>10126</v>
      </c>
      <c r="AB24" s="223">
        <f>C10+D10+F10</f>
        <v>3939</v>
      </c>
      <c r="AC24" s="223">
        <f>G10+H10+I10+K10+L10</f>
        <v>8287</v>
      </c>
      <c r="AD24" s="223">
        <f>M10+N10+P10</f>
        <v>5117</v>
      </c>
      <c r="AE24" s="223">
        <f>M10+N10+P10+Q10+R10</f>
        <v>5117</v>
      </c>
    </row>
    <row r="25" spans="1:31" x14ac:dyDescent="0.2">
      <c r="B25" s="71" t="s">
        <v>30</v>
      </c>
      <c r="C25" s="12">
        <v>101</v>
      </c>
      <c r="D25" s="12">
        <v>179</v>
      </c>
      <c r="E25" s="23">
        <v>1613</v>
      </c>
      <c r="F25" s="24">
        <v>474</v>
      </c>
      <c r="G25" s="12">
        <v>624</v>
      </c>
      <c r="H25" s="25">
        <v>718</v>
      </c>
      <c r="I25" s="26">
        <v>670</v>
      </c>
      <c r="J25" s="18">
        <f t="shared" si="1"/>
        <v>2486</v>
      </c>
      <c r="K25" s="27">
        <v>1171</v>
      </c>
      <c r="L25" s="27">
        <v>264</v>
      </c>
      <c r="M25" s="27">
        <v>417</v>
      </c>
      <c r="N25" s="27">
        <v>330</v>
      </c>
      <c r="O25" s="18">
        <f t="shared" si="0"/>
        <v>2182</v>
      </c>
      <c r="P25" s="27">
        <v>330</v>
      </c>
      <c r="Q25" s="27"/>
      <c r="R25" s="27"/>
      <c r="X25" s="419"/>
      <c r="Y25" s="419"/>
      <c r="Z25" s="219" t="s">
        <v>207</v>
      </c>
      <c r="AA25" s="222">
        <f>AA24/12</f>
        <v>843.83333333333337</v>
      </c>
      <c r="AB25" s="222">
        <f>AB24/5</f>
        <v>787.8</v>
      </c>
      <c r="AC25" s="222">
        <f>AC24/15</f>
        <v>552.4666666666667</v>
      </c>
      <c r="AD25" s="223">
        <f>AD24/9</f>
        <v>568.55555555555554</v>
      </c>
      <c r="AE25" s="223"/>
    </row>
    <row r="26" spans="1:31" x14ac:dyDescent="0.2">
      <c r="B26" s="71" t="s">
        <v>31</v>
      </c>
      <c r="C26" s="12">
        <v>66</v>
      </c>
      <c r="D26" s="12">
        <v>120</v>
      </c>
      <c r="E26" s="23">
        <v>1307</v>
      </c>
      <c r="F26" s="24">
        <v>310</v>
      </c>
      <c r="G26" s="12">
        <v>484</v>
      </c>
      <c r="H26" s="25">
        <v>502</v>
      </c>
      <c r="I26" s="26">
        <v>453</v>
      </c>
      <c r="J26" s="18">
        <f t="shared" si="1"/>
        <v>1749</v>
      </c>
      <c r="K26" s="27">
        <v>723</v>
      </c>
      <c r="L26" s="27">
        <v>242</v>
      </c>
      <c r="M26" s="27">
        <v>302</v>
      </c>
      <c r="N26" s="27">
        <v>246</v>
      </c>
      <c r="O26" s="18">
        <f t="shared" si="0"/>
        <v>1513</v>
      </c>
      <c r="P26" s="27">
        <v>242</v>
      </c>
      <c r="Q26" s="27"/>
      <c r="R26" s="27"/>
      <c r="X26" s="419"/>
      <c r="Y26" s="419"/>
      <c r="Z26" s="219" t="s">
        <v>199</v>
      </c>
      <c r="AA26" s="223">
        <f>E12</f>
        <v>1840</v>
      </c>
      <c r="AB26" s="223">
        <f>C12+D12+F12</f>
        <v>779</v>
      </c>
      <c r="AC26" s="223">
        <f>G12+H12+I12+K12+L12</f>
        <v>1799</v>
      </c>
      <c r="AD26" s="223">
        <f>M12+N12+P12</f>
        <v>860</v>
      </c>
      <c r="AE26" s="223">
        <f>M12+N12+P12+Q12+R12</f>
        <v>860</v>
      </c>
    </row>
    <row r="27" spans="1:31" x14ac:dyDescent="0.2">
      <c r="B27" s="71" t="s">
        <v>32</v>
      </c>
      <c r="C27" s="12">
        <v>221</v>
      </c>
      <c r="D27" s="12">
        <v>439</v>
      </c>
      <c r="E27" s="23">
        <v>4465</v>
      </c>
      <c r="F27" s="24">
        <v>1154</v>
      </c>
      <c r="G27" s="12">
        <v>1892</v>
      </c>
      <c r="H27" s="25">
        <v>1884</v>
      </c>
      <c r="I27" s="26">
        <v>1958</v>
      </c>
      <c r="J27" s="18">
        <f t="shared" si="1"/>
        <v>6888</v>
      </c>
      <c r="K27" s="27">
        <v>2923</v>
      </c>
      <c r="L27" s="27">
        <v>836</v>
      </c>
      <c r="M27" s="27">
        <v>1085</v>
      </c>
      <c r="N27" s="27">
        <v>979</v>
      </c>
      <c r="O27" s="18">
        <f t="shared" si="0"/>
        <v>5823</v>
      </c>
      <c r="P27" s="27">
        <v>1029</v>
      </c>
      <c r="Q27" s="27"/>
      <c r="R27" s="27"/>
      <c r="X27" s="419"/>
      <c r="Y27" s="420"/>
      <c r="Z27" s="219" t="s">
        <v>208</v>
      </c>
      <c r="AA27" s="222">
        <f>AA26/12</f>
        <v>153.33333333333334</v>
      </c>
      <c r="AB27" s="222">
        <f>AB26/5</f>
        <v>155.80000000000001</v>
      </c>
      <c r="AC27" s="222">
        <f>AC26/15</f>
        <v>119.93333333333334</v>
      </c>
      <c r="AD27" s="223">
        <f>AD26/9</f>
        <v>95.555555555555557</v>
      </c>
      <c r="AE27" s="223"/>
    </row>
    <row r="28" spans="1:31" x14ac:dyDescent="0.2">
      <c r="B28" s="72" t="s">
        <v>33</v>
      </c>
      <c r="C28" s="73">
        <f>SUM(C24:C27)</f>
        <v>485</v>
      </c>
      <c r="D28" s="73">
        <f>SUM(D24:D27)</f>
        <v>861</v>
      </c>
      <c r="E28" s="74">
        <f>SUM(E24:E27)</f>
        <v>8845</v>
      </c>
      <c r="F28" s="73">
        <f t="shared" ref="F28:H28" si="2">SUM(F24:F27)</f>
        <v>2290</v>
      </c>
      <c r="G28" s="73">
        <f t="shared" si="2"/>
        <v>3427</v>
      </c>
      <c r="H28" s="73">
        <f t="shared" si="2"/>
        <v>3533</v>
      </c>
      <c r="I28" s="73">
        <f>SUM(I24:I27)</f>
        <v>3550</v>
      </c>
      <c r="J28" s="18">
        <f>F28+G28+H28+I28</f>
        <v>12800</v>
      </c>
      <c r="K28" s="73">
        <f>SUM(K24:K27)</f>
        <v>5425</v>
      </c>
      <c r="L28" s="73">
        <f t="shared" ref="L28:M28" si="3">SUM(L24:L27)</f>
        <v>1502</v>
      </c>
      <c r="M28" s="73">
        <f t="shared" si="3"/>
        <v>2054</v>
      </c>
      <c r="N28" s="73">
        <f>SUM(N24:N27)</f>
        <v>2155</v>
      </c>
      <c r="O28" s="18">
        <f t="shared" si="0"/>
        <v>11136</v>
      </c>
      <c r="P28" s="75"/>
      <c r="Q28" s="75"/>
      <c r="R28" s="75"/>
      <c r="X28" s="419"/>
      <c r="Y28" s="421" t="s">
        <v>190</v>
      </c>
      <c r="Z28" s="219" t="s">
        <v>198</v>
      </c>
      <c r="AA28" s="223">
        <f>E13</f>
        <v>34070</v>
      </c>
      <c r="AB28" s="223">
        <f>C13+D13+F13</f>
        <v>12812</v>
      </c>
      <c r="AC28" s="223">
        <f>G13+H13+I13+K13+L13</f>
        <v>35701</v>
      </c>
      <c r="AD28" s="223">
        <f>M13+N13+P13</f>
        <v>18850</v>
      </c>
      <c r="AE28" s="223">
        <f>M13+N13+P13+Q13+R13</f>
        <v>18850</v>
      </c>
    </row>
    <row r="29" spans="1:31" x14ac:dyDescent="0.2">
      <c r="A29" s="345"/>
      <c r="B29" s="71" t="s">
        <v>34</v>
      </c>
      <c r="C29" s="26">
        <v>307</v>
      </c>
      <c r="D29" s="26">
        <v>295</v>
      </c>
      <c r="E29" s="54">
        <v>4582</v>
      </c>
      <c r="F29" s="27">
        <v>872</v>
      </c>
      <c r="G29" s="26">
        <v>1184</v>
      </c>
      <c r="H29" s="25">
        <v>1012</v>
      </c>
      <c r="I29" s="26">
        <v>1183</v>
      </c>
      <c r="J29" s="18">
        <f t="shared" si="1"/>
        <v>4251</v>
      </c>
      <c r="K29" s="27">
        <v>1401</v>
      </c>
      <c r="L29" s="27">
        <v>630</v>
      </c>
      <c r="M29" s="27">
        <v>1158</v>
      </c>
      <c r="N29" s="27">
        <v>1154</v>
      </c>
      <c r="O29" s="18">
        <f t="shared" si="0"/>
        <v>4343</v>
      </c>
      <c r="P29" s="27">
        <v>678</v>
      </c>
      <c r="Q29" s="27"/>
      <c r="R29" s="27"/>
      <c r="X29" s="419"/>
      <c r="Y29" s="419"/>
      <c r="Z29" s="219" t="s">
        <v>209</v>
      </c>
      <c r="AA29" s="222">
        <f>AA28/12</f>
        <v>2839.1666666666665</v>
      </c>
      <c r="AB29" s="222">
        <f>AB28/5</f>
        <v>2562.4</v>
      </c>
      <c r="AC29" s="222">
        <f>AC28/15</f>
        <v>2380.0666666666666</v>
      </c>
      <c r="AD29" s="223">
        <f>AD28/9</f>
        <v>2094.4444444444443</v>
      </c>
      <c r="AE29" s="223"/>
    </row>
    <row r="30" spans="1:31" x14ac:dyDescent="0.2">
      <c r="A30" s="345"/>
      <c r="B30" s="71" t="s">
        <v>35</v>
      </c>
      <c r="C30" s="26">
        <v>300</v>
      </c>
      <c r="D30" s="26">
        <v>280</v>
      </c>
      <c r="E30" s="54">
        <v>3714</v>
      </c>
      <c r="F30" s="27">
        <v>852</v>
      </c>
      <c r="G30" s="26">
        <v>823</v>
      </c>
      <c r="H30" s="25">
        <v>1070</v>
      </c>
      <c r="I30" s="26">
        <v>1016</v>
      </c>
      <c r="J30" s="18">
        <f t="shared" si="1"/>
        <v>3761</v>
      </c>
      <c r="K30" s="27">
        <v>1245</v>
      </c>
      <c r="L30" s="53">
        <v>613</v>
      </c>
      <c r="M30" s="53">
        <v>479</v>
      </c>
      <c r="N30" s="53">
        <v>1343</v>
      </c>
      <c r="O30" s="18">
        <f t="shared" si="0"/>
        <v>3680</v>
      </c>
      <c r="P30" s="27">
        <v>491</v>
      </c>
      <c r="Q30" s="53"/>
      <c r="R30" s="53"/>
      <c r="X30" s="419"/>
      <c r="Y30" s="419"/>
      <c r="Z30" s="219" t="s">
        <v>200</v>
      </c>
      <c r="AA30" s="223">
        <f>E15</f>
        <v>8313</v>
      </c>
      <c r="AB30" s="223">
        <f>C15+D15+F15</f>
        <v>3334</v>
      </c>
      <c r="AC30" s="223">
        <f>G15+H15+I15+K15+L15</f>
        <v>9185</v>
      </c>
      <c r="AD30" s="223">
        <f>M15+N15+P15</f>
        <v>5324</v>
      </c>
      <c r="AE30" s="223">
        <f>M15+N15+P15+Q15+R15</f>
        <v>5324</v>
      </c>
    </row>
    <row r="31" spans="1:31" x14ac:dyDescent="0.2">
      <c r="A31" s="345"/>
      <c r="B31" s="71" t="s">
        <v>36</v>
      </c>
      <c r="C31" s="26">
        <v>234</v>
      </c>
      <c r="D31" s="26">
        <v>223</v>
      </c>
      <c r="E31" s="54">
        <v>3150</v>
      </c>
      <c r="F31" s="27">
        <v>774</v>
      </c>
      <c r="G31" s="26">
        <v>753</v>
      </c>
      <c r="H31" s="25">
        <v>835</v>
      </c>
      <c r="I31" s="26">
        <v>750</v>
      </c>
      <c r="J31" s="18">
        <f t="shared" si="1"/>
        <v>3112</v>
      </c>
      <c r="K31" s="27">
        <v>1108</v>
      </c>
      <c r="L31" s="53">
        <v>560</v>
      </c>
      <c r="M31" s="53">
        <v>328</v>
      </c>
      <c r="N31" s="53">
        <v>1172</v>
      </c>
      <c r="O31" s="18">
        <f t="shared" si="0"/>
        <v>3168</v>
      </c>
      <c r="P31" s="27">
        <v>490</v>
      </c>
      <c r="Q31" s="53"/>
      <c r="R31" s="53"/>
      <c r="X31" s="420"/>
      <c r="Y31" s="420"/>
      <c r="Z31" s="219" t="s">
        <v>210</v>
      </c>
      <c r="AA31" s="222">
        <f>AA30/12</f>
        <v>692.75</v>
      </c>
      <c r="AB31" s="222">
        <f>AB30/5</f>
        <v>666.8</v>
      </c>
      <c r="AC31" s="222">
        <f>AC30/15</f>
        <v>612.33333333333337</v>
      </c>
      <c r="AD31" s="223">
        <f>AD30/9</f>
        <v>591.55555555555554</v>
      </c>
      <c r="AE31" s="223"/>
    </row>
    <row r="32" spans="1:31" x14ac:dyDescent="0.2">
      <c r="B32" s="71" t="s">
        <v>38</v>
      </c>
      <c r="C32" s="26">
        <v>0</v>
      </c>
      <c r="D32" s="26">
        <v>3</v>
      </c>
      <c r="E32" s="54">
        <v>126</v>
      </c>
      <c r="F32" s="27">
        <v>6</v>
      </c>
      <c r="G32" s="26">
        <v>67</v>
      </c>
      <c r="H32" s="25">
        <v>186</v>
      </c>
      <c r="I32" s="26">
        <v>582</v>
      </c>
      <c r="J32" s="18">
        <f t="shared" si="1"/>
        <v>841</v>
      </c>
      <c r="K32" s="27">
        <v>254</v>
      </c>
      <c r="L32" s="27">
        <v>33</v>
      </c>
      <c r="M32" s="27">
        <v>96</v>
      </c>
      <c r="N32" s="27">
        <v>70</v>
      </c>
      <c r="O32" s="18">
        <f t="shared" si="0"/>
        <v>453</v>
      </c>
      <c r="P32" s="27">
        <v>91</v>
      </c>
      <c r="Q32" s="27"/>
      <c r="R32" s="27"/>
      <c r="X32" s="423" t="s">
        <v>58</v>
      </c>
      <c r="Y32" s="378" t="s">
        <v>226</v>
      </c>
      <c r="Z32" s="248" t="s">
        <v>201</v>
      </c>
      <c r="AA32" s="249">
        <f>(E12+E15)/(E11+E14)</f>
        <v>0.86071549677856896</v>
      </c>
      <c r="AB32" s="249">
        <f>(C12+D12+F12+C15+D15+F15)/(C11+D11+F11+C14+D14+F14)</f>
        <v>0.8628067967275016</v>
      </c>
      <c r="AC32" s="249">
        <f>(G12+H12+I12+K12+L12+G15+H15+I15)/(G11+H11+I11+K11+L11+G14+H14+I14+K14+L14+K15+L15)</f>
        <v>0.2723239601054071</v>
      </c>
      <c r="AD32" s="249">
        <f>(M12+N12+P12+M15+N15+P15)/(M11+N11+P11+M14+N14+P14)</f>
        <v>0.4124041347115705</v>
      </c>
      <c r="AE32" s="249">
        <f>(M12+N12+P12+Q12+R12+M15+N15+P15+Q15+R15)/(M11+N11+P11+Q11+R11+M14+N14+P14+Q14+R14)</f>
        <v>0.4124041347115705</v>
      </c>
    </row>
    <row r="33" spans="2:31" x14ac:dyDescent="0.2">
      <c r="B33" s="71" t="s">
        <v>37</v>
      </c>
      <c r="C33" s="26">
        <v>470</v>
      </c>
      <c r="D33" s="26">
        <v>836</v>
      </c>
      <c r="E33" s="54">
        <v>9536</v>
      </c>
      <c r="F33" s="27">
        <v>2228</v>
      </c>
      <c r="G33" s="26">
        <v>3308</v>
      </c>
      <c r="H33" s="25">
        <v>3228</v>
      </c>
      <c r="I33" s="26">
        <v>537</v>
      </c>
      <c r="J33" s="18">
        <f t="shared" si="1"/>
        <v>9301</v>
      </c>
      <c r="K33" s="27">
        <v>723</v>
      </c>
      <c r="L33" s="27">
        <v>1487</v>
      </c>
      <c r="M33" s="27">
        <v>1970</v>
      </c>
      <c r="N33" s="27">
        <v>1820</v>
      </c>
      <c r="O33" s="18">
        <f t="shared" si="0"/>
        <v>6000</v>
      </c>
      <c r="P33" s="27">
        <v>1658</v>
      </c>
      <c r="Q33" s="27"/>
      <c r="R33" s="27"/>
      <c r="X33" s="423"/>
      <c r="Y33" s="376"/>
      <c r="Z33" s="220" t="s">
        <v>229</v>
      </c>
      <c r="AA33" s="224">
        <f>E12+E15</f>
        <v>10153</v>
      </c>
      <c r="AB33" s="224">
        <f>C12+D12+F12+C15+D15+F15</f>
        <v>4113</v>
      </c>
      <c r="AC33" s="224">
        <f>G12+H12+I12+K12+L12+G15+H15+I15+K15+L15</f>
        <v>10984</v>
      </c>
      <c r="AD33" s="224">
        <f>M12+N12+P12+M15+N15+P15</f>
        <v>6184</v>
      </c>
      <c r="AE33" s="224">
        <f>M12+N12+P12+Q12+R12+M15+N15+P15+Q15+R15</f>
        <v>6184</v>
      </c>
    </row>
    <row r="34" spans="2:31" x14ac:dyDescent="0.2">
      <c r="B34" s="71" t="s">
        <v>40</v>
      </c>
      <c r="C34" s="26">
        <v>78</v>
      </c>
      <c r="D34" s="26">
        <v>23</v>
      </c>
      <c r="E34" s="54">
        <v>9894</v>
      </c>
      <c r="F34" s="27">
        <v>216</v>
      </c>
      <c r="G34" s="26">
        <v>553</v>
      </c>
      <c r="H34" s="25">
        <v>1971</v>
      </c>
      <c r="I34" s="26">
        <v>1948</v>
      </c>
      <c r="J34" s="18">
        <f t="shared" si="1"/>
        <v>4688</v>
      </c>
      <c r="K34" s="27">
        <v>2264</v>
      </c>
      <c r="L34" s="27">
        <v>109</v>
      </c>
      <c r="M34" s="27">
        <v>1162</v>
      </c>
      <c r="N34" s="27">
        <v>1716</v>
      </c>
      <c r="O34" s="18">
        <f t="shared" si="0"/>
        <v>5251</v>
      </c>
      <c r="P34" s="27">
        <v>1880</v>
      </c>
      <c r="Q34" s="27"/>
      <c r="R34" s="27"/>
      <c r="X34" s="423"/>
      <c r="Y34" s="377"/>
      <c r="Z34" s="220" t="s">
        <v>215</v>
      </c>
      <c r="AA34" s="224">
        <f>E11+E14</f>
        <v>11796</v>
      </c>
      <c r="AB34" s="224">
        <f>C11+D11+F11+C14+D14+F14</f>
        <v>4767</v>
      </c>
      <c r="AC34" s="224">
        <f>G11+H11+I11+K11+L11+G14+H14+I14+K14+L14+K15+L15</f>
        <v>29979</v>
      </c>
      <c r="AD34" s="224">
        <f>M11+N11+P11+M14+N14+P14</f>
        <v>14995</v>
      </c>
      <c r="AE34" s="224">
        <f>M11+N11+P11+Q11+R11+M14+N14+P14+Q14+R14</f>
        <v>14995</v>
      </c>
    </row>
    <row r="35" spans="2:31" x14ac:dyDescent="0.2">
      <c r="B35" s="71" t="s">
        <v>39</v>
      </c>
      <c r="C35" s="26">
        <v>3466</v>
      </c>
      <c r="D35" s="26">
        <v>3181</v>
      </c>
      <c r="E35" s="54">
        <v>43585</v>
      </c>
      <c r="F35" s="27">
        <v>11757</v>
      </c>
      <c r="G35" s="26">
        <v>13167</v>
      </c>
      <c r="H35" s="25">
        <v>10604</v>
      </c>
      <c r="I35" s="26">
        <v>2602</v>
      </c>
      <c r="J35" s="18">
        <f t="shared" si="1"/>
        <v>38130</v>
      </c>
      <c r="K35" s="27">
        <v>3135</v>
      </c>
      <c r="L35" s="27">
        <v>5819</v>
      </c>
      <c r="M35" s="27">
        <v>7918</v>
      </c>
      <c r="N35" s="27">
        <v>7226</v>
      </c>
      <c r="O35" s="18">
        <f t="shared" si="0"/>
        <v>24098</v>
      </c>
      <c r="P35" s="27">
        <v>6594</v>
      </c>
      <c r="Q35" s="27"/>
      <c r="R35" s="27"/>
      <c r="X35" s="423"/>
      <c r="Y35" s="378" t="s">
        <v>192</v>
      </c>
      <c r="Z35" s="248" t="s">
        <v>193</v>
      </c>
      <c r="AA35" s="249">
        <f>(E3+E5)/(E2+E4)</f>
        <v>0.16836388323150034</v>
      </c>
      <c r="AB35" s="249">
        <f>(C3+D3+F3+C5+D5+F5)/(C2+D2+F2+C4+D4+F4)</f>
        <v>0.2991613896970734</v>
      </c>
      <c r="AC35" s="249">
        <f>(G3+H3+I3+K3+L3+G5+H5+I5+K5+L5)/(G2+H2+I2+K2+L2+G4+H4+I4+K4+L4)</f>
        <v>0.17113451412158928</v>
      </c>
      <c r="AD35" s="249">
        <f>(M3+N3+P3+M5+N5+P5)/(M2+N2+P2+M4+N4+P4)</f>
        <v>0.13664959765910753</v>
      </c>
      <c r="AE35" s="249">
        <f>(M3+N3+P3+Q3+R3+M5+N5+P5+Q5+R5)/(M2+N2+P2+Q2+R2+M4+N4+P4+Q4+R4)</f>
        <v>0.13664959765910753</v>
      </c>
    </row>
    <row r="36" spans="2:31" x14ac:dyDescent="0.2">
      <c r="B36" s="71" t="s">
        <v>42</v>
      </c>
      <c r="C36" s="26">
        <v>0</v>
      </c>
      <c r="D36" s="26">
        <v>0</v>
      </c>
      <c r="E36" s="54">
        <v>0</v>
      </c>
      <c r="F36" s="27">
        <v>0</v>
      </c>
      <c r="G36" s="26">
        <v>0</v>
      </c>
      <c r="H36" s="25">
        <v>0</v>
      </c>
      <c r="I36" s="26">
        <v>0</v>
      </c>
      <c r="J36" s="18">
        <f t="shared" si="1"/>
        <v>0</v>
      </c>
      <c r="K36" s="27">
        <v>0</v>
      </c>
      <c r="L36" s="27">
        <v>0</v>
      </c>
      <c r="M36" s="27">
        <v>0</v>
      </c>
      <c r="N36" s="27">
        <v>0</v>
      </c>
      <c r="O36" s="18">
        <f t="shared" si="0"/>
        <v>0</v>
      </c>
      <c r="P36" s="27">
        <v>0</v>
      </c>
      <c r="Q36" s="27"/>
      <c r="R36" s="27"/>
      <c r="X36" s="423"/>
      <c r="Y36" s="376"/>
      <c r="Z36" s="220" t="s">
        <v>233</v>
      </c>
      <c r="AA36" s="224">
        <f>E3+E5</f>
        <v>1984</v>
      </c>
      <c r="AB36" s="224">
        <f>C3+D3+F3+C5+D5+F5</f>
        <v>1748</v>
      </c>
      <c r="AC36" s="224">
        <f>(G3+H3+I3+K3+L3+G5+H5+I5+K5+L5)</f>
        <v>2145</v>
      </c>
      <c r="AD36" s="224">
        <f>(M3+N3+P3+M5+N5+P5)</f>
        <v>934</v>
      </c>
      <c r="AE36" s="250">
        <f>(M3+N3+P3+Q3+R3+M5+N5+P5+Q5+R5)</f>
        <v>934</v>
      </c>
    </row>
    <row r="37" spans="2:31" x14ac:dyDescent="0.2">
      <c r="B37" s="71" t="s">
        <v>41</v>
      </c>
      <c r="C37" s="26">
        <v>0</v>
      </c>
      <c r="D37" s="189">
        <v>21</v>
      </c>
      <c r="E37" s="54">
        <v>153</v>
      </c>
      <c r="F37" s="27">
        <v>46</v>
      </c>
      <c r="G37" s="26">
        <v>45</v>
      </c>
      <c r="H37" s="25">
        <v>43</v>
      </c>
      <c r="I37" s="26">
        <v>15</v>
      </c>
      <c r="J37" s="18">
        <f t="shared" si="1"/>
        <v>149</v>
      </c>
      <c r="K37" s="27">
        <v>11</v>
      </c>
      <c r="L37" s="53">
        <v>9</v>
      </c>
      <c r="M37" s="53">
        <v>47</v>
      </c>
      <c r="N37" s="53">
        <v>31</v>
      </c>
      <c r="O37" s="18">
        <f t="shared" si="0"/>
        <v>98</v>
      </c>
      <c r="P37" s="27">
        <v>25</v>
      </c>
      <c r="Q37" s="53"/>
      <c r="R37" s="53"/>
      <c r="X37" s="423"/>
      <c r="Y37" s="377"/>
      <c r="Z37" s="220" t="s">
        <v>234</v>
      </c>
      <c r="AA37" s="224">
        <f>E2+E4</f>
        <v>11784</v>
      </c>
      <c r="AB37" s="224">
        <f>C2+D2+F2+C4+D4+F4</f>
        <v>5843</v>
      </c>
      <c r="AC37" s="224">
        <f>(G2+H2+I2+K2+L2+G4+H4+I4+K4+L4)</f>
        <v>12534</v>
      </c>
      <c r="AD37" s="250">
        <f>(M2+N2+P2+M4+N4+P4)</f>
        <v>6835</v>
      </c>
      <c r="AE37" s="250">
        <f>(M2+N2+P2+Q2+R2+M4+N4+P4+Q4+R4)</f>
        <v>6835</v>
      </c>
    </row>
    <row r="38" spans="2:31" x14ac:dyDescent="0.2">
      <c r="B38" s="71" t="s">
        <v>44</v>
      </c>
      <c r="C38" s="26">
        <v>78</v>
      </c>
      <c r="D38" s="26">
        <v>26</v>
      </c>
      <c r="E38" s="54">
        <v>4020</v>
      </c>
      <c r="F38" s="27">
        <v>222</v>
      </c>
      <c r="G38" s="26">
        <v>620</v>
      </c>
      <c r="H38" s="25">
        <v>2157</v>
      </c>
      <c r="I38" s="26">
        <v>2530</v>
      </c>
      <c r="J38" s="18">
        <f t="shared" si="1"/>
        <v>5529</v>
      </c>
      <c r="K38" s="27">
        <v>2518</v>
      </c>
      <c r="L38" s="26">
        <v>142</v>
      </c>
      <c r="M38" s="26">
        <v>1258</v>
      </c>
      <c r="N38" s="26">
        <v>1786</v>
      </c>
      <c r="O38" s="18">
        <f t="shared" si="0"/>
        <v>5704</v>
      </c>
      <c r="P38" s="27">
        <v>1971</v>
      </c>
      <c r="Q38" s="26"/>
      <c r="R38" s="26"/>
      <c r="X38" s="423"/>
      <c r="Y38" s="378" t="s">
        <v>230</v>
      </c>
      <c r="Z38" s="248" t="s">
        <v>194</v>
      </c>
      <c r="AA38" s="249">
        <f>(E7+E9)/(E6+E8)</f>
        <v>0.16042207940197822</v>
      </c>
      <c r="AB38" s="249">
        <f>(C7+D7+F7+C9+D9+F9)/(C6+D6+F6+C8+D8+F8)</f>
        <v>0.16449619247323696</v>
      </c>
      <c r="AC38" s="249">
        <f>(G7+H7+I7+K7+L7+G9+H9+I9+K9+L9)/(G6+H6+I6+K6+L6+G8+H8+I8+K8+L8)</f>
        <v>0.21367542291967587</v>
      </c>
      <c r="AD38" s="249">
        <f>(M7+N7+P7+M9+N9+P9)/(M6+N6+P6+M8+N8+P8)</f>
        <v>0.20666105341940313</v>
      </c>
      <c r="AE38" s="249">
        <f>(M7+N7+P7+Q7+R7+M9+N9+P9+Q9+R9)/(M6+N6+P6+Q6+R6+M8+N8+P8+Q8+R8)</f>
        <v>0.20666105341940313</v>
      </c>
    </row>
    <row r="39" spans="2:31" x14ac:dyDescent="0.2">
      <c r="B39" s="71" t="s">
        <v>43</v>
      </c>
      <c r="C39" s="26">
        <v>3936</v>
      </c>
      <c r="D39" s="26">
        <v>4017</v>
      </c>
      <c r="E39" s="54">
        <v>53121</v>
      </c>
      <c r="F39" s="27">
        <v>13985</v>
      </c>
      <c r="G39" s="26">
        <v>16475</v>
      </c>
      <c r="H39" s="25">
        <v>13832</v>
      </c>
      <c r="I39" s="26">
        <v>3139</v>
      </c>
      <c r="J39" s="18">
        <f t="shared" si="1"/>
        <v>47431</v>
      </c>
      <c r="K39" s="27">
        <v>3858</v>
      </c>
      <c r="L39" s="26">
        <v>7306</v>
      </c>
      <c r="M39" s="26">
        <v>9888</v>
      </c>
      <c r="N39" s="26">
        <v>9046</v>
      </c>
      <c r="O39" s="18">
        <f t="shared" si="0"/>
        <v>30098</v>
      </c>
      <c r="P39" s="27">
        <v>8252</v>
      </c>
      <c r="Q39" s="26"/>
      <c r="R39" s="26"/>
      <c r="X39" s="423"/>
      <c r="Y39" s="376"/>
      <c r="Z39" s="220" t="s">
        <v>235</v>
      </c>
      <c r="AA39" s="224">
        <f>E7+E9</f>
        <v>7039</v>
      </c>
      <c r="AB39" s="224">
        <f>C7+D7+F7+C9+D9+F9</f>
        <v>2981</v>
      </c>
      <c r="AC39" s="224">
        <f>(G7+H7+I7+K7+L7+G9+H9+I9+K9+L9)</f>
        <v>8728</v>
      </c>
      <c r="AD39" s="250">
        <f>(M7+N7+P7+M9+N9+P9)</f>
        <v>4418</v>
      </c>
      <c r="AE39" s="250">
        <f>(M7+N7+P7+Q7+R7+M9+N9+P9+Q9+R9)</f>
        <v>4418</v>
      </c>
    </row>
    <row r="40" spans="2:31" ht="16" thickBot="1" x14ac:dyDescent="0.25">
      <c r="B40" s="76" t="s">
        <v>45</v>
      </c>
      <c r="C40" s="34">
        <v>0</v>
      </c>
      <c r="D40" s="34">
        <v>0</v>
      </c>
      <c r="E40" s="47">
        <v>0</v>
      </c>
      <c r="F40" s="48">
        <v>0</v>
      </c>
      <c r="G40" s="34">
        <v>19</v>
      </c>
      <c r="H40" s="33">
        <v>158</v>
      </c>
      <c r="I40" s="34">
        <v>2645</v>
      </c>
      <c r="J40" s="38">
        <f t="shared" si="1"/>
        <v>2822</v>
      </c>
      <c r="K40" s="48">
        <v>3609</v>
      </c>
      <c r="L40" s="77">
        <v>0</v>
      </c>
      <c r="M40" s="77">
        <v>19</v>
      </c>
      <c r="N40" s="77">
        <v>0</v>
      </c>
      <c r="O40" s="18">
        <f t="shared" si="0"/>
        <v>3628</v>
      </c>
      <c r="P40" s="48">
        <v>54</v>
      </c>
      <c r="Q40" s="77"/>
      <c r="R40" s="77"/>
      <c r="X40" s="423"/>
      <c r="Y40" s="377"/>
      <c r="Z40" s="220" t="s">
        <v>236</v>
      </c>
      <c r="AA40" s="250">
        <f>E6+E8</f>
        <v>43878</v>
      </c>
      <c r="AB40" s="250">
        <f>C6+D6+F6+C8+D8+F8</f>
        <v>18122</v>
      </c>
      <c r="AC40" s="250">
        <f>(G6+H6+I6+K6+L6+G8+H8+I8+K8+L8)</f>
        <v>40847</v>
      </c>
      <c r="AD40" s="250">
        <f>(M6+N6+P6+M8+N8+P8)</f>
        <v>21378</v>
      </c>
      <c r="AE40" s="250">
        <f>(M6+N6+P6+Q6+R6+M8+N8+P8+Q8+R8)</f>
        <v>21378</v>
      </c>
    </row>
    <row r="41" spans="2:31" ht="16" thickTop="1" x14ac:dyDescent="0.2">
      <c r="B41" s="164" t="s">
        <v>133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4">
        <f>11+16+8+38</f>
        <v>73</v>
      </c>
      <c r="O41" s="42">
        <f>SUM(N41)</f>
        <v>73</v>
      </c>
      <c r="P41" s="194">
        <f>25.5+28+30</f>
        <v>83.5</v>
      </c>
      <c r="Q41" s="194">
        <v>0</v>
      </c>
      <c r="R41" s="194">
        <v>0</v>
      </c>
      <c r="X41" s="485"/>
      <c r="Y41" s="209"/>
      <c r="AA41" s="202"/>
      <c r="AB41" s="202"/>
      <c r="AC41" s="202"/>
      <c r="AD41" s="202"/>
      <c r="AE41" s="202"/>
    </row>
    <row r="42" spans="2:31" x14ac:dyDescent="0.2">
      <c r="B42" s="165" t="s">
        <v>148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88">
        <v>267</v>
      </c>
      <c r="O42" s="18">
        <f t="shared" ref="O42:O56" si="4">SUM(N42)</f>
        <v>267</v>
      </c>
      <c r="P42" s="188">
        <v>190</v>
      </c>
      <c r="Q42" s="188">
        <v>0</v>
      </c>
      <c r="R42" s="188">
        <v>0</v>
      </c>
      <c r="X42" s="485"/>
      <c r="Y42" s="209"/>
      <c r="AA42" s="202"/>
      <c r="AB42" s="202"/>
      <c r="AC42" s="202"/>
      <c r="AD42" s="202"/>
      <c r="AE42" s="202"/>
    </row>
    <row r="43" spans="2:31" x14ac:dyDescent="0.2">
      <c r="B43" s="165" t="s">
        <v>134</v>
      </c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88">
        <v>11</v>
      </c>
      <c r="O43" s="18">
        <f t="shared" si="4"/>
        <v>11</v>
      </c>
      <c r="P43" s="188">
        <v>1</v>
      </c>
      <c r="Q43" s="188">
        <v>0</v>
      </c>
      <c r="R43" s="188">
        <v>0</v>
      </c>
      <c r="X43" s="485"/>
      <c r="Y43" s="209"/>
      <c r="AA43" s="202"/>
      <c r="AB43" s="202"/>
      <c r="AC43" s="202"/>
      <c r="AD43" s="202"/>
      <c r="AE43" s="202"/>
    </row>
    <row r="44" spans="2:31" x14ac:dyDescent="0.2">
      <c r="B44" s="165" t="s">
        <v>135</v>
      </c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88">
        <v>15</v>
      </c>
      <c r="O44" s="18">
        <f t="shared" si="4"/>
        <v>15</v>
      </c>
      <c r="P44" s="188">
        <v>25</v>
      </c>
      <c r="Q44" s="188">
        <v>0</v>
      </c>
      <c r="R44" s="188">
        <v>0</v>
      </c>
      <c r="X44" s="485"/>
      <c r="Y44" s="209"/>
      <c r="AA44" s="202"/>
      <c r="AB44" s="202"/>
      <c r="AC44" s="202"/>
    </row>
    <row r="45" spans="2:31" x14ac:dyDescent="0.2">
      <c r="B45" s="165" t="s">
        <v>136</v>
      </c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5">
        <v>8</v>
      </c>
      <c r="O45" s="18">
        <f t="shared" si="4"/>
        <v>8</v>
      </c>
      <c r="P45" s="195">
        <v>27</v>
      </c>
      <c r="Q45" s="195">
        <v>0</v>
      </c>
      <c r="R45" s="195">
        <v>0</v>
      </c>
      <c r="X45" s="485"/>
      <c r="Y45" s="209"/>
    </row>
    <row r="46" spans="2:31" x14ac:dyDescent="0.2">
      <c r="B46" s="165" t="s">
        <v>137</v>
      </c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88">
        <v>39</v>
      </c>
      <c r="O46" s="18">
        <f t="shared" si="4"/>
        <v>39</v>
      </c>
      <c r="P46" s="188">
        <v>30</v>
      </c>
      <c r="Q46" s="188">
        <v>0</v>
      </c>
      <c r="R46" s="188">
        <v>0</v>
      </c>
      <c r="X46" s="485"/>
      <c r="Y46" s="209"/>
      <c r="AD46" s="202"/>
      <c r="AE46" s="202"/>
    </row>
    <row r="47" spans="2:31" x14ac:dyDescent="0.2">
      <c r="B47" s="165" t="s">
        <v>138</v>
      </c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5">
        <v>6</v>
      </c>
      <c r="O47" s="18">
        <f t="shared" si="4"/>
        <v>6</v>
      </c>
      <c r="P47" s="195">
        <v>1</v>
      </c>
      <c r="Q47" s="195">
        <v>0</v>
      </c>
      <c r="R47" s="195">
        <v>0</v>
      </c>
      <c r="X47" s="485"/>
      <c r="Y47" s="209"/>
      <c r="AA47" s="202"/>
      <c r="AB47" s="202"/>
      <c r="AC47" s="202"/>
      <c r="AD47" s="202"/>
      <c r="AE47" s="202"/>
    </row>
    <row r="48" spans="2:31" x14ac:dyDescent="0.2">
      <c r="B48" s="165" t="s">
        <v>139</v>
      </c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5">
        <v>32</v>
      </c>
      <c r="O48" s="18">
        <f t="shared" si="4"/>
        <v>32</v>
      </c>
      <c r="P48" s="195">
        <v>12</v>
      </c>
      <c r="Q48" s="195">
        <v>0</v>
      </c>
      <c r="R48" s="195">
        <v>0</v>
      </c>
      <c r="AA48" s="202"/>
      <c r="AB48" s="202"/>
      <c r="AC48" s="202"/>
      <c r="AD48" s="202"/>
      <c r="AE48" s="202"/>
    </row>
    <row r="49" spans="2:31" x14ac:dyDescent="0.2">
      <c r="B49" s="165" t="s">
        <v>140</v>
      </c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5">
        <v>0</v>
      </c>
      <c r="O49" s="18">
        <f t="shared" si="4"/>
        <v>0</v>
      </c>
      <c r="P49" s="195">
        <v>0</v>
      </c>
      <c r="Q49" s="195">
        <v>0</v>
      </c>
      <c r="R49" s="195">
        <v>0</v>
      </c>
      <c r="AA49" s="202"/>
      <c r="AB49" s="202"/>
      <c r="AC49" s="202"/>
      <c r="AD49" s="202"/>
      <c r="AE49" s="202"/>
    </row>
    <row r="50" spans="2:31" x14ac:dyDescent="0.2">
      <c r="B50" s="165" t="s">
        <v>141</v>
      </c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5">
        <v>38</v>
      </c>
      <c r="O50" s="18">
        <f t="shared" si="4"/>
        <v>38</v>
      </c>
      <c r="P50" s="195">
        <v>13</v>
      </c>
      <c r="Q50" s="195">
        <v>0</v>
      </c>
      <c r="R50" s="195">
        <v>0</v>
      </c>
      <c r="AA50" s="202"/>
      <c r="AB50" s="202"/>
      <c r="AC50" s="202"/>
      <c r="AD50" s="202"/>
      <c r="AE50" s="202"/>
    </row>
    <row r="51" spans="2:31" x14ac:dyDescent="0.2">
      <c r="B51" s="165" t="s">
        <v>142</v>
      </c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5">
        <v>0</v>
      </c>
      <c r="O51" s="18">
        <f t="shared" si="4"/>
        <v>0</v>
      </c>
      <c r="P51" s="195">
        <v>0</v>
      </c>
      <c r="Q51" s="195">
        <v>0</v>
      </c>
      <c r="R51" s="195">
        <v>0</v>
      </c>
      <c r="AA51" s="202"/>
      <c r="AB51" s="202"/>
      <c r="AC51" s="202"/>
      <c r="AD51" s="202"/>
      <c r="AE51" s="202"/>
    </row>
    <row r="52" spans="2:31" x14ac:dyDescent="0.2">
      <c r="B52" s="165" t="s">
        <v>147</v>
      </c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5">
        <v>52</v>
      </c>
      <c r="O52" s="18">
        <f t="shared" si="4"/>
        <v>52</v>
      </c>
      <c r="P52" s="195">
        <v>70</v>
      </c>
      <c r="Q52" s="195">
        <v>0</v>
      </c>
      <c r="R52" s="195">
        <v>0</v>
      </c>
      <c r="AA52" s="202"/>
      <c r="AB52" s="202"/>
      <c r="AC52" s="202"/>
      <c r="AD52" s="80"/>
      <c r="AE52" s="80"/>
    </row>
    <row r="53" spans="2:31" x14ac:dyDescent="0.2">
      <c r="B53" s="165" t="s">
        <v>143</v>
      </c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5">
        <v>175</v>
      </c>
      <c r="O53" s="18">
        <f t="shared" si="4"/>
        <v>175</v>
      </c>
      <c r="P53" s="195">
        <v>86</v>
      </c>
      <c r="Q53" s="195">
        <v>0</v>
      </c>
      <c r="R53" s="195">
        <v>0</v>
      </c>
      <c r="AA53" s="80"/>
      <c r="AB53" s="80"/>
      <c r="AC53" s="80"/>
      <c r="AD53" s="80"/>
      <c r="AE53" s="80"/>
    </row>
    <row r="54" spans="2:31" x14ac:dyDescent="0.2">
      <c r="B54" s="165" t="s">
        <v>144</v>
      </c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5">
        <v>0</v>
      </c>
      <c r="O54" s="18">
        <f t="shared" si="4"/>
        <v>0</v>
      </c>
      <c r="P54" s="195">
        <v>0</v>
      </c>
      <c r="Q54" s="195">
        <v>0</v>
      </c>
      <c r="R54" s="195">
        <v>0</v>
      </c>
      <c r="AA54" s="80"/>
      <c r="AB54" s="80"/>
      <c r="AC54" s="80"/>
      <c r="AD54" s="80"/>
      <c r="AE54" s="80"/>
    </row>
    <row r="55" spans="2:31" x14ac:dyDescent="0.2">
      <c r="B55" s="165" t="s">
        <v>145</v>
      </c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5">
        <v>227</v>
      </c>
      <c r="O55" s="18">
        <f t="shared" si="4"/>
        <v>227</v>
      </c>
      <c r="P55" s="195">
        <v>162</v>
      </c>
      <c r="Q55" s="195">
        <v>0</v>
      </c>
      <c r="R55" s="195">
        <v>0</v>
      </c>
      <c r="AA55" s="80"/>
      <c r="AB55" s="80"/>
      <c r="AC55" s="80"/>
      <c r="AD55" s="80"/>
      <c r="AE55" s="80"/>
    </row>
    <row r="56" spans="2:31" ht="16" thickBot="1" x14ac:dyDescent="0.25">
      <c r="B56" s="166" t="s">
        <v>146</v>
      </c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6">
        <v>2</v>
      </c>
      <c r="O56" s="38">
        <f t="shared" si="4"/>
        <v>2</v>
      </c>
      <c r="P56" s="196">
        <v>7</v>
      </c>
      <c r="Q56" s="196">
        <v>0</v>
      </c>
      <c r="R56" s="196">
        <v>0</v>
      </c>
      <c r="AA56" s="80"/>
      <c r="AB56" s="80"/>
      <c r="AC56" s="80"/>
      <c r="AD56" s="202"/>
      <c r="AE56" s="202"/>
    </row>
    <row r="57" spans="2:31" ht="16" thickTop="1" x14ac:dyDescent="0.2">
      <c r="AA57" s="202"/>
      <c r="AB57" s="202"/>
      <c r="AC57" s="202"/>
      <c r="AD57" s="202"/>
      <c r="AE57" s="202"/>
    </row>
    <row r="58" spans="2:31" x14ac:dyDescent="0.2">
      <c r="AA58" s="202"/>
      <c r="AB58" s="202"/>
      <c r="AC58" s="202"/>
    </row>
    <row r="59" spans="2:31" ht="29" thickBot="1" x14ac:dyDescent="0.25">
      <c r="B59" s="1" t="s">
        <v>167</v>
      </c>
      <c r="C59" s="2">
        <v>44866</v>
      </c>
      <c r="D59" s="2">
        <v>44896</v>
      </c>
      <c r="E59" s="3">
        <v>2022</v>
      </c>
      <c r="F59" s="4" t="s">
        <v>0</v>
      </c>
      <c r="G59" s="5" t="s">
        <v>1</v>
      </c>
      <c r="H59" s="6" t="s">
        <v>153</v>
      </c>
      <c r="I59" s="6" t="s">
        <v>154</v>
      </c>
      <c r="J59" s="7" t="s">
        <v>4</v>
      </c>
      <c r="K59" s="8" t="s">
        <v>5</v>
      </c>
      <c r="L59" s="185" t="s">
        <v>150</v>
      </c>
      <c r="M59" s="186" t="s">
        <v>151</v>
      </c>
      <c r="N59" s="186" t="s">
        <v>152</v>
      </c>
      <c r="O59" s="10" t="s">
        <v>6</v>
      </c>
      <c r="P59" s="8" t="s">
        <v>181</v>
      </c>
      <c r="Q59" s="2">
        <v>45748</v>
      </c>
      <c r="R59" s="186">
        <v>45778</v>
      </c>
    </row>
    <row r="60" spans="2:31" ht="16" thickTop="1" x14ac:dyDescent="0.2">
      <c r="B60" s="29" t="s">
        <v>14</v>
      </c>
      <c r="C60" s="12">
        <v>5</v>
      </c>
      <c r="D60" s="12">
        <v>11</v>
      </c>
      <c r="E60" s="14">
        <v>866</v>
      </c>
      <c r="F60" s="15">
        <v>25</v>
      </c>
      <c r="G60" s="13">
        <v>33</v>
      </c>
      <c r="H60" s="16">
        <v>452</v>
      </c>
      <c r="I60" s="17">
        <v>166</v>
      </c>
      <c r="J60" s="18">
        <f>F60+G60+H60+I60</f>
        <v>676</v>
      </c>
      <c r="K60" s="19">
        <v>103</v>
      </c>
      <c r="L60" s="20">
        <v>3</v>
      </c>
      <c r="M60" s="21">
        <v>140</v>
      </c>
      <c r="N60" s="20">
        <v>111</v>
      </c>
      <c r="O60" s="18">
        <f t="shared" ref="O60:O98" si="5">SUM(K60:N60)</f>
        <v>357</v>
      </c>
      <c r="P60" s="19">
        <v>52</v>
      </c>
      <c r="Q60" s="20"/>
      <c r="R60" s="21"/>
    </row>
    <row r="61" spans="2:31" x14ac:dyDescent="0.2">
      <c r="B61" s="22" t="s">
        <v>10</v>
      </c>
      <c r="C61" s="12">
        <v>0</v>
      </c>
      <c r="D61" s="12">
        <v>2</v>
      </c>
      <c r="E61" s="23">
        <v>9</v>
      </c>
      <c r="F61" s="24">
        <v>1</v>
      </c>
      <c r="G61" s="12">
        <v>2</v>
      </c>
      <c r="H61" s="25">
        <v>12</v>
      </c>
      <c r="I61" s="26">
        <v>16</v>
      </c>
      <c r="J61" s="18">
        <f t="shared" ref="J61:J80" si="6">F61+G61+H61+I61</f>
        <v>31</v>
      </c>
      <c r="K61" s="27">
        <v>12</v>
      </c>
      <c r="L61" s="26">
        <v>0</v>
      </c>
      <c r="M61" s="28">
        <v>12</v>
      </c>
      <c r="N61" s="26">
        <v>3</v>
      </c>
      <c r="O61" s="18">
        <f t="shared" si="5"/>
        <v>27</v>
      </c>
      <c r="P61" s="27">
        <v>2</v>
      </c>
      <c r="Q61" s="26"/>
      <c r="R61" s="28"/>
    </row>
    <row r="62" spans="2:31" x14ac:dyDescent="0.2">
      <c r="B62" s="22" t="s">
        <v>13</v>
      </c>
      <c r="C62" s="12">
        <v>12</v>
      </c>
      <c r="D62" s="12">
        <v>9</v>
      </c>
      <c r="E62" s="23">
        <v>1132</v>
      </c>
      <c r="F62" s="24">
        <v>56</v>
      </c>
      <c r="G62" s="12">
        <v>26</v>
      </c>
      <c r="H62" s="25">
        <v>826</v>
      </c>
      <c r="I62" s="26">
        <v>678</v>
      </c>
      <c r="J62" s="18">
        <f t="shared" si="6"/>
        <v>1586</v>
      </c>
      <c r="K62" s="27">
        <v>1060</v>
      </c>
      <c r="L62" s="26">
        <v>8</v>
      </c>
      <c r="M62" s="28">
        <v>279</v>
      </c>
      <c r="N62" s="26">
        <v>460</v>
      </c>
      <c r="O62" s="18">
        <f t="shared" si="5"/>
        <v>1807</v>
      </c>
      <c r="P62" s="27">
        <v>194</v>
      </c>
      <c r="Q62" s="26"/>
      <c r="R62" s="28"/>
    </row>
    <row r="63" spans="2:31" x14ac:dyDescent="0.2">
      <c r="B63" s="22" t="s">
        <v>9</v>
      </c>
      <c r="C63" s="12">
        <v>0</v>
      </c>
      <c r="D63" s="12">
        <v>1</v>
      </c>
      <c r="E63" s="23">
        <v>28</v>
      </c>
      <c r="F63" s="24">
        <v>5</v>
      </c>
      <c r="G63" s="12">
        <v>2</v>
      </c>
      <c r="H63" s="25">
        <v>21</v>
      </c>
      <c r="I63" s="26">
        <v>147</v>
      </c>
      <c r="J63" s="18">
        <f t="shared" si="6"/>
        <v>175</v>
      </c>
      <c r="K63" s="27">
        <v>144</v>
      </c>
      <c r="L63" s="26">
        <v>0</v>
      </c>
      <c r="M63" s="28">
        <v>9</v>
      </c>
      <c r="N63" s="26">
        <v>16</v>
      </c>
      <c r="O63" s="18">
        <f t="shared" si="5"/>
        <v>169</v>
      </c>
      <c r="P63" s="27">
        <v>25</v>
      </c>
      <c r="Q63" s="26"/>
      <c r="R63" s="28"/>
    </row>
    <row r="64" spans="2:31" x14ac:dyDescent="0.2">
      <c r="B64" s="22" t="s">
        <v>11</v>
      </c>
      <c r="C64" s="12">
        <v>285</v>
      </c>
      <c r="D64" s="12">
        <v>83</v>
      </c>
      <c r="E64" s="23">
        <v>1238</v>
      </c>
      <c r="F64" s="24">
        <v>210</v>
      </c>
      <c r="G64" s="12">
        <v>612</v>
      </c>
      <c r="H64" s="25">
        <v>113</v>
      </c>
      <c r="I64" s="26">
        <v>11</v>
      </c>
      <c r="J64" s="18">
        <f t="shared" si="6"/>
        <v>946</v>
      </c>
      <c r="K64" s="27">
        <v>17</v>
      </c>
      <c r="L64" s="26">
        <v>26</v>
      </c>
      <c r="M64" s="28">
        <v>43</v>
      </c>
      <c r="N64" s="26">
        <v>36</v>
      </c>
      <c r="O64" s="18">
        <f t="shared" si="5"/>
        <v>122</v>
      </c>
      <c r="P64" s="27">
        <v>8</v>
      </c>
      <c r="Q64" s="26"/>
      <c r="R64" s="28"/>
    </row>
    <row r="65" spans="2:18" x14ac:dyDescent="0.2">
      <c r="B65" s="11" t="s">
        <v>7</v>
      </c>
      <c r="C65" s="12">
        <v>8</v>
      </c>
      <c r="D65" s="12">
        <v>1</v>
      </c>
      <c r="E65" s="23">
        <v>16</v>
      </c>
      <c r="F65" s="24">
        <v>8</v>
      </c>
      <c r="G65" s="12">
        <v>10</v>
      </c>
      <c r="H65" s="25">
        <v>1</v>
      </c>
      <c r="I65" s="26">
        <v>1</v>
      </c>
      <c r="J65" s="18">
        <f t="shared" si="6"/>
        <v>20</v>
      </c>
      <c r="K65" s="27">
        <v>1</v>
      </c>
      <c r="L65" s="26">
        <v>1</v>
      </c>
      <c r="M65" s="28">
        <v>4</v>
      </c>
      <c r="N65" s="26">
        <v>3</v>
      </c>
      <c r="O65" s="18">
        <f t="shared" si="5"/>
        <v>9</v>
      </c>
      <c r="P65" s="27">
        <v>0</v>
      </c>
      <c r="Q65" s="26"/>
      <c r="R65" s="28"/>
    </row>
    <row r="66" spans="2:18" x14ac:dyDescent="0.2">
      <c r="B66" s="22" t="s">
        <v>12</v>
      </c>
      <c r="C66" s="12">
        <v>60</v>
      </c>
      <c r="D66" s="12">
        <v>312</v>
      </c>
      <c r="E66" s="23">
        <v>3065</v>
      </c>
      <c r="F66" s="24">
        <v>1465</v>
      </c>
      <c r="G66" s="12">
        <v>1670</v>
      </c>
      <c r="H66" s="25">
        <v>383</v>
      </c>
      <c r="I66" s="26">
        <v>22</v>
      </c>
      <c r="J66" s="18">
        <f t="shared" si="6"/>
        <v>3540</v>
      </c>
      <c r="K66" s="27">
        <v>71</v>
      </c>
      <c r="L66" s="26">
        <v>42</v>
      </c>
      <c r="M66" s="28">
        <v>161</v>
      </c>
      <c r="N66" s="26">
        <v>155</v>
      </c>
      <c r="O66" s="18">
        <f t="shared" si="5"/>
        <v>429</v>
      </c>
      <c r="P66" s="27">
        <v>65</v>
      </c>
      <c r="Q66" s="49"/>
      <c r="R66" s="37"/>
    </row>
    <row r="67" spans="2:18" ht="16" thickBot="1" x14ac:dyDescent="0.25">
      <c r="B67" s="22" t="s">
        <v>8</v>
      </c>
      <c r="C67" s="30">
        <v>2</v>
      </c>
      <c r="D67" s="30">
        <v>17</v>
      </c>
      <c r="E67" s="31">
        <v>74</v>
      </c>
      <c r="F67" s="32">
        <v>25</v>
      </c>
      <c r="G67" s="30">
        <v>106</v>
      </c>
      <c r="H67" s="33">
        <v>14</v>
      </c>
      <c r="I67" s="34">
        <v>1</v>
      </c>
      <c r="J67" s="18">
        <f t="shared" si="6"/>
        <v>146</v>
      </c>
      <c r="K67" s="35">
        <v>3</v>
      </c>
      <c r="L67" s="36">
        <v>2</v>
      </c>
      <c r="M67" s="37">
        <v>2</v>
      </c>
      <c r="N67" s="36">
        <v>2</v>
      </c>
      <c r="O67" s="38">
        <f t="shared" si="5"/>
        <v>9</v>
      </c>
      <c r="P67" s="182">
        <v>8</v>
      </c>
      <c r="Q67" s="49"/>
      <c r="R67" s="37"/>
    </row>
    <row r="68" spans="2:18" ht="16" thickTop="1" x14ac:dyDescent="0.2">
      <c r="B68" s="177" t="s">
        <v>19</v>
      </c>
      <c r="C68" s="13">
        <v>53</v>
      </c>
      <c r="D68" s="13">
        <v>66</v>
      </c>
      <c r="E68" s="14">
        <v>597</v>
      </c>
      <c r="F68" s="40">
        <v>116</v>
      </c>
      <c r="G68" s="13">
        <v>121</v>
      </c>
      <c r="H68" s="41">
        <v>109</v>
      </c>
      <c r="I68" s="20">
        <v>166</v>
      </c>
      <c r="J68" s="42">
        <f t="shared" si="6"/>
        <v>512</v>
      </c>
      <c r="K68" s="43">
        <v>310</v>
      </c>
      <c r="L68" s="201">
        <v>0</v>
      </c>
      <c r="M68" s="44">
        <v>85</v>
      </c>
      <c r="N68" s="17">
        <v>89</v>
      </c>
      <c r="O68" s="18">
        <f t="shared" si="5"/>
        <v>484</v>
      </c>
      <c r="P68" s="43">
        <v>85</v>
      </c>
      <c r="Q68" s="17"/>
      <c r="R68" s="44"/>
    </row>
    <row r="69" spans="2:18" x14ac:dyDescent="0.2">
      <c r="B69" s="45" t="s">
        <v>16</v>
      </c>
      <c r="C69" s="12">
        <v>53</v>
      </c>
      <c r="D69" s="12">
        <v>66</v>
      </c>
      <c r="E69" s="23">
        <v>597</v>
      </c>
      <c r="F69" s="24">
        <v>116</v>
      </c>
      <c r="G69" s="12">
        <v>121</v>
      </c>
      <c r="H69" s="25">
        <v>109</v>
      </c>
      <c r="I69" s="26">
        <v>166</v>
      </c>
      <c r="J69" s="18">
        <f t="shared" si="6"/>
        <v>512</v>
      </c>
      <c r="K69" s="27">
        <v>310</v>
      </c>
      <c r="L69" s="189">
        <v>0</v>
      </c>
      <c r="M69" s="28">
        <v>85</v>
      </c>
      <c r="N69" s="26">
        <v>89</v>
      </c>
      <c r="O69" s="18">
        <f t="shared" si="5"/>
        <v>484</v>
      </c>
      <c r="P69" s="27">
        <v>85</v>
      </c>
      <c r="Q69" s="26"/>
      <c r="R69" s="28"/>
    </row>
    <row r="70" spans="2:18" x14ac:dyDescent="0.2">
      <c r="B70" s="177" t="s">
        <v>15</v>
      </c>
      <c r="C70" s="12">
        <v>2</v>
      </c>
      <c r="D70" s="12">
        <v>2</v>
      </c>
      <c r="E70" s="23">
        <v>28</v>
      </c>
      <c r="F70" s="24">
        <v>13</v>
      </c>
      <c r="G70" s="12">
        <v>9</v>
      </c>
      <c r="H70" s="25">
        <v>10</v>
      </c>
      <c r="I70" s="26">
        <v>27</v>
      </c>
      <c r="J70" s="18">
        <f t="shared" si="6"/>
        <v>59</v>
      </c>
      <c r="K70" s="27">
        <v>20</v>
      </c>
      <c r="L70" s="189">
        <v>0</v>
      </c>
      <c r="M70" s="28">
        <v>4</v>
      </c>
      <c r="N70" s="26">
        <v>13</v>
      </c>
      <c r="O70" s="18">
        <f t="shared" si="5"/>
        <v>37</v>
      </c>
      <c r="P70" s="27">
        <v>5</v>
      </c>
      <c r="Q70" s="26"/>
      <c r="R70" s="28"/>
    </row>
    <row r="71" spans="2:18" x14ac:dyDescent="0.2">
      <c r="B71" s="45" t="s">
        <v>20</v>
      </c>
      <c r="C71" s="12">
        <v>166</v>
      </c>
      <c r="D71" s="12">
        <v>157</v>
      </c>
      <c r="E71" s="23">
        <v>2550</v>
      </c>
      <c r="F71" s="24">
        <v>472</v>
      </c>
      <c r="G71" s="12">
        <v>708</v>
      </c>
      <c r="H71" s="25">
        <v>675</v>
      </c>
      <c r="I71" s="26">
        <v>741</v>
      </c>
      <c r="J71" s="18">
        <f t="shared" si="6"/>
        <v>2596</v>
      </c>
      <c r="K71" s="27">
        <v>1188</v>
      </c>
      <c r="L71" s="26">
        <v>6</v>
      </c>
      <c r="M71" s="28">
        <v>333</v>
      </c>
      <c r="N71" s="26">
        <v>414</v>
      </c>
      <c r="O71" s="18">
        <f t="shared" si="5"/>
        <v>1941</v>
      </c>
      <c r="P71" s="27">
        <v>298</v>
      </c>
      <c r="Q71" s="26"/>
      <c r="R71" s="28"/>
    </row>
    <row r="72" spans="2:18" x14ac:dyDescent="0.2">
      <c r="B72" s="45" t="s">
        <v>18</v>
      </c>
      <c r="C72" s="12">
        <v>166</v>
      </c>
      <c r="D72" s="12">
        <v>157</v>
      </c>
      <c r="E72" s="23">
        <v>1902</v>
      </c>
      <c r="F72" s="24">
        <v>379</v>
      </c>
      <c r="G72" s="12"/>
      <c r="H72" s="25">
        <v>675</v>
      </c>
      <c r="I72" s="26">
        <v>741</v>
      </c>
      <c r="J72" s="18">
        <f t="shared" si="6"/>
        <v>1795</v>
      </c>
      <c r="K72" s="27">
        <v>1188</v>
      </c>
      <c r="L72" s="26">
        <v>5</v>
      </c>
      <c r="M72" s="28">
        <v>333</v>
      </c>
      <c r="N72" s="26">
        <v>414</v>
      </c>
      <c r="O72" s="18">
        <f t="shared" si="5"/>
        <v>1940</v>
      </c>
      <c r="P72" s="27">
        <v>298</v>
      </c>
      <c r="Q72" s="26"/>
      <c r="R72" s="28"/>
    </row>
    <row r="73" spans="2:18" x14ac:dyDescent="0.2">
      <c r="B73" s="45" t="s">
        <v>17</v>
      </c>
      <c r="C73" s="12">
        <v>21</v>
      </c>
      <c r="D73" s="12">
        <v>42</v>
      </c>
      <c r="E73" s="23">
        <v>240</v>
      </c>
      <c r="F73" s="24">
        <v>65</v>
      </c>
      <c r="G73" s="12">
        <v>131</v>
      </c>
      <c r="H73" s="25">
        <v>57</v>
      </c>
      <c r="I73" s="26">
        <v>250</v>
      </c>
      <c r="J73" s="18">
        <f t="shared" si="6"/>
        <v>503</v>
      </c>
      <c r="K73" s="27">
        <v>254</v>
      </c>
      <c r="L73" s="26">
        <v>5</v>
      </c>
      <c r="M73" s="28">
        <v>30</v>
      </c>
      <c r="N73" s="26">
        <v>28</v>
      </c>
      <c r="O73" s="18">
        <f t="shared" si="5"/>
        <v>317</v>
      </c>
      <c r="P73" s="27">
        <v>62</v>
      </c>
      <c r="Q73" s="26"/>
      <c r="R73" s="28"/>
    </row>
    <row r="74" spans="2:18" ht="16" thickBot="1" x14ac:dyDescent="0.25">
      <c r="B74" s="179" t="s">
        <v>21</v>
      </c>
      <c r="C74" s="34">
        <v>0</v>
      </c>
      <c r="D74" s="34">
        <v>0</v>
      </c>
      <c r="E74" s="47">
        <v>1</v>
      </c>
      <c r="F74" s="48">
        <v>1</v>
      </c>
      <c r="G74" s="34">
        <v>0</v>
      </c>
      <c r="H74" s="33">
        <v>1</v>
      </c>
      <c r="I74" s="34">
        <v>0</v>
      </c>
      <c r="J74" s="38">
        <f t="shared" si="6"/>
        <v>2</v>
      </c>
      <c r="K74" s="48">
        <v>0</v>
      </c>
      <c r="L74" s="49">
        <v>0</v>
      </c>
      <c r="M74" s="37">
        <v>0</v>
      </c>
      <c r="N74" s="49">
        <v>0</v>
      </c>
      <c r="O74" s="18">
        <f t="shared" si="5"/>
        <v>0</v>
      </c>
      <c r="P74" s="48">
        <v>0</v>
      </c>
      <c r="Q74" s="49"/>
      <c r="R74" s="37"/>
    </row>
    <row r="75" spans="2:18" ht="16" thickTop="1" x14ac:dyDescent="0.2">
      <c r="B75" s="55" t="s">
        <v>25</v>
      </c>
      <c r="C75" s="13">
        <v>46</v>
      </c>
      <c r="D75" s="13">
        <v>40</v>
      </c>
      <c r="E75" s="14">
        <v>482</v>
      </c>
      <c r="F75" s="40">
        <v>130</v>
      </c>
      <c r="G75" s="13">
        <v>97</v>
      </c>
      <c r="H75" s="41">
        <v>108</v>
      </c>
      <c r="I75" s="20">
        <v>112</v>
      </c>
      <c r="J75" s="18">
        <f t="shared" si="6"/>
        <v>447</v>
      </c>
      <c r="K75" s="19">
        <v>136</v>
      </c>
      <c r="L75" s="51">
        <v>99</v>
      </c>
      <c r="M75" s="44">
        <v>124</v>
      </c>
      <c r="N75" s="51">
        <v>134</v>
      </c>
      <c r="O75" s="42">
        <f t="shared" si="5"/>
        <v>493</v>
      </c>
      <c r="P75" s="19">
        <v>50</v>
      </c>
      <c r="Q75" s="51"/>
      <c r="R75" s="44"/>
    </row>
    <row r="76" spans="2:18" x14ac:dyDescent="0.2">
      <c r="B76" s="52" t="s">
        <v>26</v>
      </c>
      <c r="C76" s="12">
        <v>105</v>
      </c>
      <c r="D76" s="12">
        <v>114</v>
      </c>
      <c r="E76" s="23">
        <v>1395</v>
      </c>
      <c r="F76" s="24">
        <v>409</v>
      </c>
      <c r="G76" s="12">
        <v>363</v>
      </c>
      <c r="H76" s="25">
        <v>379</v>
      </c>
      <c r="I76" s="26">
        <v>321</v>
      </c>
      <c r="J76" s="18">
        <f t="shared" si="6"/>
        <v>1472</v>
      </c>
      <c r="K76" s="27">
        <v>393</v>
      </c>
      <c r="L76" s="53">
        <v>351</v>
      </c>
      <c r="M76" s="28">
        <v>369</v>
      </c>
      <c r="N76" s="53">
        <v>416</v>
      </c>
      <c r="O76" s="18">
        <f t="shared" si="5"/>
        <v>1529</v>
      </c>
      <c r="P76" s="27">
        <v>164</v>
      </c>
      <c r="Q76" s="53"/>
      <c r="R76" s="28"/>
    </row>
    <row r="77" spans="2:18" x14ac:dyDescent="0.2">
      <c r="B77" s="52" t="s">
        <v>27</v>
      </c>
      <c r="C77" s="26">
        <v>16</v>
      </c>
      <c r="D77" s="26">
        <v>27</v>
      </c>
      <c r="E77" s="54">
        <v>283</v>
      </c>
      <c r="F77" s="27">
        <v>81</v>
      </c>
      <c r="G77" s="26">
        <v>63</v>
      </c>
      <c r="H77" s="25">
        <v>82</v>
      </c>
      <c r="I77" s="26">
        <v>63</v>
      </c>
      <c r="J77" s="18">
        <f t="shared" si="6"/>
        <v>289</v>
      </c>
      <c r="K77" s="27">
        <v>74</v>
      </c>
      <c r="L77" s="53">
        <v>91</v>
      </c>
      <c r="M77" s="28">
        <v>63</v>
      </c>
      <c r="N77" s="53">
        <v>77</v>
      </c>
      <c r="O77" s="18">
        <f t="shared" si="5"/>
        <v>305</v>
      </c>
      <c r="P77" s="27">
        <v>58</v>
      </c>
      <c r="Q77" s="53"/>
      <c r="R77" s="28"/>
    </row>
    <row r="78" spans="2:18" x14ac:dyDescent="0.2">
      <c r="B78" s="52" t="s">
        <v>28</v>
      </c>
      <c r="C78" s="56">
        <v>0</v>
      </c>
      <c r="D78" s="56">
        <v>2</v>
      </c>
      <c r="E78" s="57">
        <v>8</v>
      </c>
      <c r="F78" s="58">
        <v>0</v>
      </c>
      <c r="G78" s="59">
        <v>8</v>
      </c>
      <c r="H78" s="60">
        <v>32</v>
      </c>
      <c r="I78" s="61">
        <v>3</v>
      </c>
      <c r="J78" s="18">
        <f t="shared" si="6"/>
        <v>43</v>
      </c>
      <c r="K78" s="27">
        <v>1</v>
      </c>
      <c r="L78" s="53">
        <v>1</v>
      </c>
      <c r="M78" s="28">
        <v>5</v>
      </c>
      <c r="N78" s="53">
        <v>9</v>
      </c>
      <c r="O78" s="18">
        <f t="shared" si="5"/>
        <v>16</v>
      </c>
      <c r="P78" s="27">
        <v>2</v>
      </c>
      <c r="Q78" s="53"/>
      <c r="R78" s="28"/>
    </row>
    <row r="79" spans="2:18" x14ac:dyDescent="0.2">
      <c r="B79" s="55" t="s">
        <v>22</v>
      </c>
      <c r="C79" s="56">
        <v>28</v>
      </c>
      <c r="D79" s="56">
        <v>34</v>
      </c>
      <c r="E79" s="57">
        <v>511</v>
      </c>
      <c r="F79" s="58">
        <v>104</v>
      </c>
      <c r="G79" s="59">
        <v>121</v>
      </c>
      <c r="H79" s="60">
        <v>101</v>
      </c>
      <c r="I79" s="61">
        <v>94</v>
      </c>
      <c r="J79" s="18">
        <f t="shared" si="6"/>
        <v>420</v>
      </c>
      <c r="K79" s="27">
        <v>134</v>
      </c>
      <c r="L79" s="53">
        <v>56</v>
      </c>
      <c r="M79" s="28">
        <v>109</v>
      </c>
      <c r="N79" s="53">
        <v>88</v>
      </c>
      <c r="O79" s="18">
        <f t="shared" si="5"/>
        <v>387</v>
      </c>
      <c r="P79" s="27">
        <v>55</v>
      </c>
      <c r="Q79" s="53"/>
      <c r="R79" s="28"/>
    </row>
    <row r="80" spans="2:18" x14ac:dyDescent="0.2">
      <c r="B80" s="52" t="s">
        <v>23</v>
      </c>
      <c r="C80" s="56">
        <v>37</v>
      </c>
      <c r="D80" s="56">
        <v>42</v>
      </c>
      <c r="E80" s="57">
        <v>366</v>
      </c>
      <c r="F80" s="58">
        <v>122</v>
      </c>
      <c r="G80" s="59">
        <v>97</v>
      </c>
      <c r="H80" s="60">
        <v>117</v>
      </c>
      <c r="I80" s="61">
        <v>96</v>
      </c>
      <c r="J80" s="18">
        <f t="shared" si="6"/>
        <v>432</v>
      </c>
      <c r="K80" s="27">
        <v>120</v>
      </c>
      <c r="L80" s="53">
        <v>65</v>
      </c>
      <c r="M80" s="28">
        <v>11</v>
      </c>
      <c r="N80" s="53">
        <v>79</v>
      </c>
      <c r="O80" s="18">
        <f t="shared" si="5"/>
        <v>275</v>
      </c>
      <c r="P80" s="27">
        <v>48</v>
      </c>
      <c r="Q80" s="53"/>
      <c r="R80" s="28"/>
    </row>
    <row r="81" spans="2:31" ht="17" thickBot="1" x14ac:dyDescent="0.25">
      <c r="B81" s="52" t="s">
        <v>24</v>
      </c>
      <c r="C81" s="63">
        <v>27</v>
      </c>
      <c r="D81" s="63">
        <v>35</v>
      </c>
      <c r="E81" s="64">
        <v>290</v>
      </c>
      <c r="F81" s="65">
        <v>111</v>
      </c>
      <c r="G81" s="66">
        <v>103</v>
      </c>
      <c r="H81" s="67">
        <v>97</v>
      </c>
      <c r="I81" s="68">
        <v>68</v>
      </c>
      <c r="J81" s="38">
        <f>SUM(F81:I81)</f>
        <v>379</v>
      </c>
      <c r="K81" s="35">
        <v>99</v>
      </c>
      <c r="L81" s="49">
        <v>59</v>
      </c>
      <c r="M81" s="37">
        <v>0</v>
      </c>
      <c r="N81" s="49">
        <v>125</v>
      </c>
      <c r="O81" s="18">
        <f t="shared" si="5"/>
        <v>283</v>
      </c>
      <c r="P81" s="35">
        <v>41</v>
      </c>
      <c r="Q81" s="49"/>
      <c r="R81" s="37"/>
      <c r="X81" s="482" t="s">
        <v>167</v>
      </c>
      <c r="Y81" s="483"/>
      <c r="Z81" s="484"/>
      <c r="AA81" s="98" t="s">
        <v>185</v>
      </c>
      <c r="AB81" s="98" t="s">
        <v>202</v>
      </c>
      <c r="AC81" s="98" t="s">
        <v>203</v>
      </c>
      <c r="AD81" s="98" t="s">
        <v>187</v>
      </c>
      <c r="AE81" s="98" t="s">
        <v>186</v>
      </c>
    </row>
    <row r="82" spans="2:31" ht="16" thickTop="1" x14ac:dyDescent="0.2">
      <c r="B82" s="69" t="s">
        <v>29</v>
      </c>
      <c r="C82" s="13">
        <v>2</v>
      </c>
      <c r="D82" s="13">
        <v>3</v>
      </c>
      <c r="E82" s="14">
        <v>39</v>
      </c>
      <c r="F82" s="40">
        <v>11</v>
      </c>
      <c r="G82" s="13">
        <v>8</v>
      </c>
      <c r="H82" s="41">
        <v>12</v>
      </c>
      <c r="I82" s="20">
        <v>17</v>
      </c>
      <c r="J82" s="18">
        <f>F82+G82+H82+I82</f>
        <v>48</v>
      </c>
      <c r="K82" s="70">
        <v>20</v>
      </c>
      <c r="L82" s="16">
        <v>0</v>
      </c>
      <c r="M82" s="16">
        <v>1</v>
      </c>
      <c r="N82" s="16">
        <v>7</v>
      </c>
      <c r="O82" s="42">
        <f t="shared" si="5"/>
        <v>28</v>
      </c>
      <c r="P82" s="70">
        <v>5</v>
      </c>
      <c r="Q82" s="16"/>
      <c r="R82" s="16"/>
      <c r="X82" s="439" t="s">
        <v>59</v>
      </c>
      <c r="Y82" s="238"/>
      <c r="Z82" s="226" t="s">
        <v>204</v>
      </c>
      <c r="AA82" s="252">
        <f>E81</f>
        <v>290</v>
      </c>
      <c r="AB82" s="252">
        <f>C81+D81+F81</f>
        <v>173</v>
      </c>
      <c r="AC82" s="252">
        <f>G81+H81+I81+K81+L81</f>
        <v>426</v>
      </c>
      <c r="AD82" s="252">
        <f>M81+N81+P81</f>
        <v>166</v>
      </c>
      <c r="AE82" s="252">
        <f>M81+N81+P81+Q81+R81</f>
        <v>166</v>
      </c>
    </row>
    <row r="83" spans="2:31" x14ac:dyDescent="0.2">
      <c r="B83" s="71" t="s">
        <v>30</v>
      </c>
      <c r="C83" s="12">
        <v>5</v>
      </c>
      <c r="D83" s="12">
        <v>5</v>
      </c>
      <c r="E83" s="23">
        <v>36</v>
      </c>
      <c r="F83" s="24">
        <v>17</v>
      </c>
      <c r="G83" s="12">
        <v>23</v>
      </c>
      <c r="H83" s="25">
        <v>15</v>
      </c>
      <c r="I83" s="26">
        <v>60</v>
      </c>
      <c r="J83" s="18">
        <f t="shared" ref="J83:J85" si="7">F83+G83+H83+I83</f>
        <v>115</v>
      </c>
      <c r="K83" s="27">
        <v>35</v>
      </c>
      <c r="L83" s="27">
        <v>0</v>
      </c>
      <c r="M83" s="27">
        <v>9</v>
      </c>
      <c r="N83" s="27">
        <v>6</v>
      </c>
      <c r="O83" s="18">
        <f t="shared" si="5"/>
        <v>50</v>
      </c>
      <c r="P83" s="27">
        <v>12</v>
      </c>
      <c r="Q83" s="27"/>
      <c r="R83" s="27"/>
      <c r="X83" s="439"/>
      <c r="Y83" s="238"/>
      <c r="Z83" s="226" t="s">
        <v>211</v>
      </c>
      <c r="AA83" s="253">
        <f>AA82/12</f>
        <v>24.166666666666668</v>
      </c>
      <c r="AB83" s="253">
        <f>AB82/5</f>
        <v>34.6</v>
      </c>
      <c r="AC83" s="253">
        <f>AC82/15</f>
        <v>28.4</v>
      </c>
      <c r="AD83" s="253">
        <f>AD82/9</f>
        <v>18.444444444444443</v>
      </c>
      <c r="AE83" s="226"/>
    </row>
    <row r="84" spans="2:31" x14ac:dyDescent="0.2">
      <c r="B84" s="71" t="s">
        <v>31</v>
      </c>
      <c r="C84" s="12">
        <v>5</v>
      </c>
      <c r="D84" s="12">
        <v>6</v>
      </c>
      <c r="E84" s="23">
        <v>42</v>
      </c>
      <c r="F84" s="24">
        <v>16</v>
      </c>
      <c r="G84" s="12">
        <v>23</v>
      </c>
      <c r="H84" s="25">
        <v>8</v>
      </c>
      <c r="I84" s="26">
        <v>40</v>
      </c>
      <c r="J84" s="18">
        <f t="shared" si="7"/>
        <v>87</v>
      </c>
      <c r="K84" s="27">
        <v>33</v>
      </c>
      <c r="L84" s="27">
        <v>0</v>
      </c>
      <c r="M84" s="27">
        <v>5</v>
      </c>
      <c r="N84" s="27">
        <v>6</v>
      </c>
      <c r="O84" s="18">
        <f t="shared" si="5"/>
        <v>44</v>
      </c>
      <c r="P84" s="27">
        <v>6</v>
      </c>
      <c r="Q84" s="27"/>
      <c r="R84" s="27"/>
      <c r="X84" s="440" t="s">
        <v>171</v>
      </c>
      <c r="Y84" s="237"/>
      <c r="Z84" s="227" t="s">
        <v>212</v>
      </c>
      <c r="AA84" s="272">
        <f>AA85/AA86</f>
        <v>0.49346534653465346</v>
      </c>
      <c r="AB84" s="272">
        <v>0</v>
      </c>
      <c r="AC84" s="272">
        <f t="shared" ref="AC84:AD84" si="8">AC85/AC86</f>
        <v>0.50808278016399844</v>
      </c>
      <c r="AD84" s="272">
        <f t="shared" si="8"/>
        <v>0.93073144104803496</v>
      </c>
      <c r="AE84" s="227"/>
    </row>
    <row r="85" spans="2:31" x14ac:dyDescent="0.2">
      <c r="B85" s="71" t="s">
        <v>32</v>
      </c>
      <c r="C85" s="12">
        <v>14</v>
      </c>
      <c r="D85" s="12">
        <v>37</v>
      </c>
      <c r="E85" s="23">
        <v>187</v>
      </c>
      <c r="F85" s="24">
        <v>49</v>
      </c>
      <c r="G85" s="12">
        <v>125</v>
      </c>
      <c r="H85" s="25">
        <v>44</v>
      </c>
      <c r="I85" s="26">
        <v>168</v>
      </c>
      <c r="J85" s="18">
        <f t="shared" si="7"/>
        <v>386</v>
      </c>
      <c r="K85" s="27">
        <v>178</v>
      </c>
      <c r="L85" s="27">
        <v>4</v>
      </c>
      <c r="M85" s="27">
        <v>24</v>
      </c>
      <c r="N85" s="27">
        <v>29</v>
      </c>
      <c r="O85" s="18">
        <f t="shared" si="5"/>
        <v>235</v>
      </c>
      <c r="P85" s="27">
        <v>46</v>
      </c>
      <c r="Q85" s="27"/>
      <c r="R85" s="27"/>
      <c r="X85" s="440"/>
      <c r="Y85" s="237"/>
      <c r="Z85" s="227" t="s">
        <v>217</v>
      </c>
      <c r="AA85" s="227">
        <v>1246</v>
      </c>
      <c r="AB85" s="227">
        <v>0</v>
      </c>
      <c r="AC85" s="227">
        <v>13012</v>
      </c>
      <c r="AD85" s="227">
        <v>17051</v>
      </c>
      <c r="AE85" s="227"/>
    </row>
    <row r="86" spans="2:31" x14ac:dyDescent="0.2">
      <c r="B86" s="72" t="s">
        <v>33</v>
      </c>
      <c r="C86" s="73">
        <f>SUM(C82:C85)</f>
        <v>26</v>
      </c>
      <c r="D86" s="73">
        <f>SUM(D82:D85)</f>
        <v>51</v>
      </c>
      <c r="E86" s="74">
        <f>SUM(E82:E85)</f>
        <v>304</v>
      </c>
      <c r="F86" s="73">
        <f t="shared" ref="F86:H86" si="9">SUM(F82:F85)</f>
        <v>93</v>
      </c>
      <c r="G86" s="73">
        <f t="shared" si="9"/>
        <v>179</v>
      </c>
      <c r="H86" s="73">
        <f t="shared" si="9"/>
        <v>79</v>
      </c>
      <c r="I86" s="73">
        <f>SUM(I82:I85)</f>
        <v>285</v>
      </c>
      <c r="J86" s="18">
        <f>F86+G86+H86+I86</f>
        <v>636</v>
      </c>
      <c r="K86" s="73">
        <f>SUM(K82:K85)</f>
        <v>266</v>
      </c>
      <c r="L86" s="73">
        <f t="shared" ref="L86:M86" si="10">SUM(L82:L85)</f>
        <v>4</v>
      </c>
      <c r="M86" s="73">
        <f t="shared" si="10"/>
        <v>39</v>
      </c>
      <c r="N86" s="73">
        <f>SUM(N82:N85)</f>
        <v>48</v>
      </c>
      <c r="O86" s="18">
        <f t="shared" si="5"/>
        <v>357</v>
      </c>
      <c r="P86" s="75"/>
      <c r="Q86" s="75"/>
      <c r="R86" s="75"/>
      <c r="X86" s="440"/>
      <c r="Y86" s="237"/>
      <c r="Z86" s="227" t="s">
        <v>218</v>
      </c>
      <c r="AA86" s="227">
        <v>2525</v>
      </c>
      <c r="AB86" s="227">
        <v>0</v>
      </c>
      <c r="AC86" s="227">
        <v>25610</v>
      </c>
      <c r="AD86" s="227">
        <v>18320</v>
      </c>
      <c r="AE86" s="227"/>
    </row>
    <row r="87" spans="2:31" x14ac:dyDescent="0.2">
      <c r="B87" s="71" t="s">
        <v>34</v>
      </c>
      <c r="C87" s="26">
        <v>28</v>
      </c>
      <c r="D87" s="26">
        <v>34</v>
      </c>
      <c r="E87" s="54">
        <v>511</v>
      </c>
      <c r="F87" s="27">
        <v>104</v>
      </c>
      <c r="G87" s="26">
        <v>121</v>
      </c>
      <c r="H87" s="25">
        <v>101</v>
      </c>
      <c r="I87" s="26">
        <v>94</v>
      </c>
      <c r="J87" s="18">
        <f t="shared" ref="J87:J98" si="11">F87+G87+H87+I87</f>
        <v>420</v>
      </c>
      <c r="K87" s="27">
        <v>134</v>
      </c>
      <c r="L87" s="27">
        <v>56</v>
      </c>
      <c r="M87" s="27">
        <v>109</v>
      </c>
      <c r="N87" s="27">
        <v>88</v>
      </c>
      <c r="O87" s="18">
        <f t="shared" si="5"/>
        <v>387</v>
      </c>
      <c r="P87" s="27">
        <v>55</v>
      </c>
      <c r="Q87" s="27"/>
      <c r="R87" s="27"/>
      <c r="X87" s="441" t="s">
        <v>180</v>
      </c>
      <c r="Y87" s="239"/>
      <c r="Z87" s="228" t="s">
        <v>213</v>
      </c>
      <c r="AA87" s="274">
        <f>AA88/AA89</f>
        <v>8.1980198019801984E-2</v>
      </c>
      <c r="AB87" s="274">
        <v>0</v>
      </c>
      <c r="AC87" s="274">
        <f t="shared" ref="AC87:AD87" si="12">AC88/AC89</f>
        <v>0.15767278406872315</v>
      </c>
      <c r="AD87" s="274">
        <f t="shared" si="12"/>
        <v>0.5544759825327511</v>
      </c>
      <c r="AE87" s="228"/>
    </row>
    <row r="88" spans="2:31" x14ac:dyDescent="0.2">
      <c r="B88" s="71" t="s">
        <v>35</v>
      </c>
      <c r="C88" s="26">
        <v>37</v>
      </c>
      <c r="D88" s="26">
        <v>42</v>
      </c>
      <c r="E88" s="54">
        <v>366</v>
      </c>
      <c r="F88" s="27">
        <v>122</v>
      </c>
      <c r="G88" s="26">
        <v>97</v>
      </c>
      <c r="H88" s="25">
        <v>117</v>
      </c>
      <c r="I88" s="26">
        <v>96</v>
      </c>
      <c r="J88" s="18">
        <f t="shared" si="11"/>
        <v>432</v>
      </c>
      <c r="K88" s="27">
        <v>120</v>
      </c>
      <c r="L88" s="53">
        <v>65</v>
      </c>
      <c r="M88" s="53">
        <v>11</v>
      </c>
      <c r="N88" s="53">
        <v>79</v>
      </c>
      <c r="O88" s="18">
        <f t="shared" si="5"/>
        <v>275</v>
      </c>
      <c r="P88" s="27">
        <v>48</v>
      </c>
      <c r="Q88" s="53"/>
      <c r="R88" s="53"/>
      <c r="X88" s="441"/>
      <c r="Y88" s="239"/>
      <c r="Z88" s="228" t="s">
        <v>219</v>
      </c>
      <c r="AA88" s="228">
        <v>207</v>
      </c>
      <c r="AB88" s="228">
        <v>0</v>
      </c>
      <c r="AC88" s="228">
        <v>4038</v>
      </c>
      <c r="AD88" s="228">
        <v>10158</v>
      </c>
      <c r="AE88" s="228"/>
    </row>
    <row r="89" spans="2:31" x14ac:dyDescent="0.2">
      <c r="B89" s="71" t="s">
        <v>36</v>
      </c>
      <c r="C89" s="26">
        <v>27</v>
      </c>
      <c r="D89" s="26">
        <v>35</v>
      </c>
      <c r="E89" s="54">
        <v>290</v>
      </c>
      <c r="F89" s="27">
        <v>111</v>
      </c>
      <c r="G89" s="26">
        <v>103</v>
      </c>
      <c r="H89" s="25">
        <v>97</v>
      </c>
      <c r="I89" s="26">
        <v>68</v>
      </c>
      <c r="J89" s="18">
        <f t="shared" si="11"/>
        <v>379</v>
      </c>
      <c r="K89" s="27">
        <v>99</v>
      </c>
      <c r="L89" s="53">
        <v>59</v>
      </c>
      <c r="M89" s="53">
        <v>0</v>
      </c>
      <c r="N89" s="53">
        <v>125</v>
      </c>
      <c r="O89" s="18">
        <f t="shared" si="5"/>
        <v>283</v>
      </c>
      <c r="P89" s="27">
        <v>41</v>
      </c>
      <c r="Q89" s="53"/>
      <c r="R89" s="53"/>
      <c r="X89" s="441"/>
      <c r="Y89" s="239"/>
      <c r="Z89" s="228" t="s">
        <v>218</v>
      </c>
      <c r="AA89" s="228">
        <v>2525</v>
      </c>
      <c r="AB89" s="228">
        <v>0</v>
      </c>
      <c r="AC89" s="228">
        <v>25610</v>
      </c>
      <c r="AD89" s="228">
        <v>18320</v>
      </c>
      <c r="AE89" s="228"/>
    </row>
    <row r="90" spans="2:31" x14ac:dyDescent="0.2">
      <c r="B90" s="71" t="s">
        <v>38</v>
      </c>
      <c r="C90" s="26">
        <v>0</v>
      </c>
      <c r="D90" s="26">
        <v>3</v>
      </c>
      <c r="E90" s="54">
        <v>35</v>
      </c>
      <c r="F90" s="27">
        <v>6</v>
      </c>
      <c r="G90" s="26">
        <v>4</v>
      </c>
      <c r="H90" s="25">
        <v>33</v>
      </c>
      <c r="I90" s="26">
        <v>165</v>
      </c>
      <c r="J90" s="18">
        <f t="shared" si="11"/>
        <v>208</v>
      </c>
      <c r="K90" s="27">
        <v>156</v>
      </c>
      <c r="L90" s="27">
        <v>0</v>
      </c>
      <c r="M90" s="27">
        <v>21</v>
      </c>
      <c r="N90" s="27">
        <v>19</v>
      </c>
      <c r="O90" s="18">
        <f t="shared" si="5"/>
        <v>196</v>
      </c>
      <c r="P90" s="27">
        <v>40</v>
      </c>
      <c r="Q90" s="27"/>
      <c r="R90" s="27"/>
      <c r="X90" s="442" t="s">
        <v>173</v>
      </c>
      <c r="Y90" s="240"/>
      <c r="Z90" s="229" t="s">
        <v>214</v>
      </c>
      <c r="AA90" s="254">
        <f>(E69+E72)/(E68+E71)</f>
        <v>0.79408960915157289</v>
      </c>
      <c r="AB90" s="254">
        <f>(C69+D69+F69+C72+D72+F72)/(C68+D68+F68+C71+D71+F71)</f>
        <v>0.90970873786407769</v>
      </c>
      <c r="AC90" s="254">
        <f>(G69+H69+I69+K69+L69+G72+H72+I72+K72+L72)/(G68+H68+I68+K68+L68+G71+H71+I71+K71+L71)</f>
        <v>0.82380715705765406</v>
      </c>
      <c r="AD90" s="254">
        <f>(M69+N69+P69+M72+N72+P72)/(M68+N68+P68+M71+N71+P71)</f>
        <v>1</v>
      </c>
      <c r="AE90" s="254">
        <f>(M69+N69+P69+Q69+R69+M72+N72+P72+Q72+R72)/(M68+N68+P68+Q68+R68+M71+N71+P71+Q71+R71)</f>
        <v>1</v>
      </c>
    </row>
    <row r="91" spans="2:31" x14ac:dyDescent="0.2">
      <c r="B91" s="71" t="s">
        <v>37</v>
      </c>
      <c r="C91" s="26">
        <v>10</v>
      </c>
      <c r="D91" s="26">
        <v>19</v>
      </c>
      <c r="E91" s="54">
        <v>129</v>
      </c>
      <c r="F91" s="27">
        <v>43</v>
      </c>
      <c r="G91" s="26">
        <v>116</v>
      </c>
      <c r="H91" s="25">
        <v>15</v>
      </c>
      <c r="I91" s="26">
        <v>2</v>
      </c>
      <c r="J91" s="18">
        <f t="shared" si="11"/>
        <v>176</v>
      </c>
      <c r="K91" s="27">
        <v>6</v>
      </c>
      <c r="L91" s="27">
        <v>3</v>
      </c>
      <c r="M91" s="27">
        <v>16</v>
      </c>
      <c r="N91" s="27">
        <v>5</v>
      </c>
      <c r="O91" s="18">
        <f t="shared" si="5"/>
        <v>30</v>
      </c>
      <c r="P91" s="27">
        <v>18</v>
      </c>
      <c r="Q91" s="27"/>
      <c r="R91" s="27"/>
      <c r="X91" s="442"/>
      <c r="Y91" s="240"/>
      <c r="Z91" s="229" t="s">
        <v>215</v>
      </c>
      <c r="AA91" s="255">
        <f>(E69+E72)</f>
        <v>2499</v>
      </c>
      <c r="AB91" s="255">
        <f>(C69+D69+F69+C72+D72+F72)</f>
        <v>937</v>
      </c>
      <c r="AC91" s="255">
        <f>G69+H69+I69+K69+L69+G72+H72+I72+K72+L72</f>
        <v>3315</v>
      </c>
      <c r="AD91" s="255">
        <f>M69+N69+P69+M72+N72+P72</f>
        <v>1304</v>
      </c>
      <c r="AE91" s="255">
        <f>(M69+N69+P69+Q69+R69+M72+N72+P72+Q72+R72)</f>
        <v>1304</v>
      </c>
    </row>
    <row r="92" spans="2:31" x14ac:dyDescent="0.2">
      <c r="B92" s="71" t="s">
        <v>40</v>
      </c>
      <c r="C92" s="26">
        <v>17</v>
      </c>
      <c r="D92" s="26">
        <v>17</v>
      </c>
      <c r="E92" s="54">
        <v>1559</v>
      </c>
      <c r="F92" s="27">
        <v>75</v>
      </c>
      <c r="G92" s="26">
        <v>55</v>
      </c>
      <c r="H92" s="25">
        <v>1255</v>
      </c>
      <c r="I92" s="26">
        <v>679</v>
      </c>
      <c r="J92" s="18">
        <f t="shared" si="11"/>
        <v>2064</v>
      </c>
      <c r="K92" s="27">
        <v>1337</v>
      </c>
      <c r="L92" s="27">
        <v>11</v>
      </c>
      <c r="M92" s="27">
        <v>400</v>
      </c>
      <c r="N92" s="27">
        <v>547</v>
      </c>
      <c r="O92" s="18">
        <f t="shared" si="5"/>
        <v>2295</v>
      </c>
      <c r="P92" s="27">
        <v>383</v>
      </c>
      <c r="Q92" s="27"/>
      <c r="R92" s="27"/>
      <c r="X92" s="442"/>
      <c r="Y92" s="240"/>
      <c r="Z92" s="229" t="s">
        <v>216</v>
      </c>
      <c r="AA92" s="255">
        <f>E68+E71</f>
        <v>3147</v>
      </c>
      <c r="AB92" s="255">
        <f>(C68+D68+F68+C71+D71+F71)</f>
        <v>1030</v>
      </c>
      <c r="AC92" s="255">
        <f>G68+H68+I68+K68+L68+G71+H71+I71+K71+L71</f>
        <v>4024</v>
      </c>
      <c r="AD92" s="255">
        <f>(M68+N68+P68+M71+N71+P71)</f>
        <v>1304</v>
      </c>
      <c r="AE92" s="255">
        <f>(M68+N68+P68+Q68+R68+M71+N71+P71+Q71+R71)</f>
        <v>1304</v>
      </c>
    </row>
    <row r="93" spans="2:31" x14ac:dyDescent="0.2">
      <c r="B93" s="71" t="s">
        <v>39</v>
      </c>
      <c r="C93" s="26">
        <v>345</v>
      </c>
      <c r="D93" s="26">
        <v>379</v>
      </c>
      <c r="E93" s="54">
        <v>3687</v>
      </c>
      <c r="F93" s="27">
        <v>1692</v>
      </c>
      <c r="G93" s="26">
        <v>1696</v>
      </c>
      <c r="H93" s="25">
        <v>481</v>
      </c>
      <c r="I93" s="26">
        <v>31</v>
      </c>
      <c r="J93" s="18">
        <f t="shared" si="11"/>
        <v>3900</v>
      </c>
      <c r="K93" s="27">
        <v>120</v>
      </c>
      <c r="L93" s="27">
        <v>44</v>
      </c>
      <c r="M93" s="27">
        <v>215</v>
      </c>
      <c r="N93" s="27">
        <v>186</v>
      </c>
      <c r="O93" s="18">
        <f t="shared" si="5"/>
        <v>565</v>
      </c>
      <c r="P93" s="27">
        <v>188</v>
      </c>
      <c r="Q93" s="27"/>
      <c r="R93" s="27"/>
      <c r="X93" s="423" t="s">
        <v>174</v>
      </c>
      <c r="Y93" s="241"/>
      <c r="Z93" s="230" t="s">
        <v>220</v>
      </c>
      <c r="AA93" s="256">
        <f>E86</f>
        <v>304</v>
      </c>
      <c r="AB93" s="256">
        <f>C86+D86+F86</f>
        <v>170</v>
      </c>
      <c r="AC93" s="256">
        <f>G86+H86+I86+K86+L86</f>
        <v>813</v>
      </c>
      <c r="AD93" s="256">
        <f>M86+N86+P86</f>
        <v>87</v>
      </c>
      <c r="AE93" s="256">
        <f>M86+N86+P86+Q86+R86</f>
        <v>87</v>
      </c>
    </row>
    <row r="94" spans="2:31" x14ac:dyDescent="0.2">
      <c r="B94" s="71" t="s">
        <v>42</v>
      </c>
      <c r="C94" s="26">
        <v>0</v>
      </c>
      <c r="D94" s="26">
        <v>0</v>
      </c>
      <c r="E94" s="54">
        <v>0</v>
      </c>
      <c r="F94" s="27">
        <v>0</v>
      </c>
      <c r="G94" s="26">
        <v>0</v>
      </c>
      <c r="H94" s="25">
        <v>0</v>
      </c>
      <c r="I94" s="26">
        <v>0</v>
      </c>
      <c r="J94" s="18">
        <f t="shared" si="11"/>
        <v>0</v>
      </c>
      <c r="K94" s="27">
        <v>0</v>
      </c>
      <c r="L94" s="27">
        <v>0</v>
      </c>
      <c r="M94" s="27">
        <v>0</v>
      </c>
      <c r="N94" s="27">
        <v>0</v>
      </c>
      <c r="O94" s="18">
        <f t="shared" si="5"/>
        <v>0</v>
      </c>
      <c r="P94" s="27">
        <v>0</v>
      </c>
      <c r="Q94" s="27"/>
      <c r="R94" s="27"/>
      <c r="X94" s="423"/>
      <c r="Y94" s="241"/>
      <c r="Z94" s="230" t="s">
        <v>221</v>
      </c>
      <c r="AA94" s="260">
        <f>AA93/12</f>
        <v>25.333333333333332</v>
      </c>
      <c r="AB94" s="260">
        <f>AB93/5</f>
        <v>34</v>
      </c>
      <c r="AC94" s="260">
        <f>AC93/15</f>
        <v>54.2</v>
      </c>
      <c r="AD94" s="260">
        <f>AD93/9</f>
        <v>9.6666666666666661</v>
      </c>
      <c r="AE94" s="230"/>
    </row>
    <row r="95" spans="2:31" x14ac:dyDescent="0.2">
      <c r="B95" s="71" t="s">
        <v>41</v>
      </c>
      <c r="C95" s="26">
        <v>0</v>
      </c>
      <c r="D95" s="189">
        <v>0</v>
      </c>
      <c r="E95" s="54">
        <v>0</v>
      </c>
      <c r="F95" s="27">
        <v>0</v>
      </c>
      <c r="G95" s="26">
        <v>0</v>
      </c>
      <c r="H95" s="25">
        <v>0</v>
      </c>
      <c r="I95" s="26">
        <v>0</v>
      </c>
      <c r="J95" s="18">
        <f t="shared" si="11"/>
        <v>0</v>
      </c>
      <c r="K95" s="27">
        <v>0</v>
      </c>
      <c r="L95" s="53">
        <v>0</v>
      </c>
      <c r="M95" s="53">
        <v>0</v>
      </c>
      <c r="N95" s="53">
        <v>0</v>
      </c>
      <c r="O95" s="18">
        <f t="shared" si="5"/>
        <v>0</v>
      </c>
      <c r="P95" s="27">
        <v>0</v>
      </c>
      <c r="Q95" s="53"/>
      <c r="R95" s="53"/>
      <c r="X95" s="446" t="s">
        <v>175</v>
      </c>
      <c r="Y95" s="242"/>
      <c r="Z95" s="231" t="s">
        <v>178</v>
      </c>
      <c r="AA95" s="261">
        <f>E70+E73</f>
        <v>268</v>
      </c>
      <c r="AB95" s="261">
        <f>C70+D70+F70+C73+D73+F73</f>
        <v>145</v>
      </c>
      <c r="AC95" s="261">
        <f>G70+H70+I70+K70+L70+G73+H73+I73+K73+L73</f>
        <v>763</v>
      </c>
      <c r="AD95" s="261">
        <f>M70+N70+P70+M73+N73+P73</f>
        <v>142</v>
      </c>
      <c r="AE95" s="257">
        <f>M70+N70+P70+Q70+R70+M73+N73+P73+Q73+R73</f>
        <v>142</v>
      </c>
    </row>
    <row r="96" spans="2:31" x14ac:dyDescent="0.2">
      <c r="B96" s="71" t="s">
        <v>44</v>
      </c>
      <c r="C96" s="26">
        <v>17</v>
      </c>
      <c r="D96" s="26">
        <v>20</v>
      </c>
      <c r="E96" s="54">
        <v>1594</v>
      </c>
      <c r="F96" s="27">
        <v>81</v>
      </c>
      <c r="G96" s="26">
        <v>59</v>
      </c>
      <c r="H96" s="25">
        <v>1288</v>
      </c>
      <c r="I96" s="26">
        <v>844</v>
      </c>
      <c r="J96" s="18">
        <f t="shared" si="11"/>
        <v>2272</v>
      </c>
      <c r="K96" s="27">
        <v>1493</v>
      </c>
      <c r="L96" s="26">
        <v>11</v>
      </c>
      <c r="M96" s="26">
        <v>421</v>
      </c>
      <c r="N96" s="26">
        <v>566</v>
      </c>
      <c r="O96" s="18">
        <f t="shared" si="5"/>
        <v>2491</v>
      </c>
      <c r="P96" s="27">
        <v>423</v>
      </c>
      <c r="Q96" s="26"/>
      <c r="R96" s="26"/>
      <c r="X96" s="446"/>
      <c r="Y96" s="242"/>
      <c r="Z96" s="231" t="s">
        <v>222</v>
      </c>
      <c r="AA96" s="262">
        <f>AA95/12</f>
        <v>22.333333333333332</v>
      </c>
      <c r="AB96" s="262">
        <f>AB95/5</f>
        <v>29</v>
      </c>
      <c r="AC96" s="262">
        <f>AC95/15</f>
        <v>50.866666666666667</v>
      </c>
      <c r="AD96" s="262">
        <f>AD95/9</f>
        <v>15.777777777777779</v>
      </c>
      <c r="AE96" s="231"/>
    </row>
    <row r="97" spans="2:31" x14ac:dyDescent="0.2">
      <c r="B97" s="71" t="s">
        <v>43</v>
      </c>
      <c r="C97" s="26">
        <v>355</v>
      </c>
      <c r="D97" s="26">
        <v>398</v>
      </c>
      <c r="E97" s="54">
        <v>3816</v>
      </c>
      <c r="F97" s="27">
        <v>1735</v>
      </c>
      <c r="G97" s="26">
        <v>1812</v>
      </c>
      <c r="H97" s="25">
        <v>496</v>
      </c>
      <c r="I97" s="26">
        <v>33</v>
      </c>
      <c r="J97" s="18">
        <f t="shared" si="11"/>
        <v>4076</v>
      </c>
      <c r="K97" s="27">
        <v>126</v>
      </c>
      <c r="L97" s="26">
        <v>47</v>
      </c>
      <c r="M97" s="26">
        <v>231</v>
      </c>
      <c r="N97" s="26">
        <v>191</v>
      </c>
      <c r="O97" s="18">
        <f t="shared" si="5"/>
        <v>595</v>
      </c>
      <c r="P97" s="27">
        <v>206</v>
      </c>
      <c r="Q97" s="26"/>
      <c r="R97" s="26"/>
      <c r="X97" s="446"/>
      <c r="Y97" s="242"/>
      <c r="Z97" s="231" t="s">
        <v>179</v>
      </c>
      <c r="AA97" s="261">
        <f>E90+E91</f>
        <v>164</v>
      </c>
      <c r="AB97" s="261">
        <f>C90+D90+F90+C91+D91+F91</f>
        <v>81</v>
      </c>
      <c r="AC97" s="261">
        <f>G90+H90+I90+K90+L90+G91+H91+I91+K91+L91</f>
        <v>500</v>
      </c>
      <c r="AD97" s="261">
        <f>M90+N90+P90+M91+N91+P91</f>
        <v>119</v>
      </c>
      <c r="AE97" s="257">
        <f>M90+N90+P90+Q90+R90+M91+N91+P91+Q91+R91</f>
        <v>119</v>
      </c>
    </row>
    <row r="98" spans="2:31" ht="16" thickBot="1" x14ac:dyDescent="0.25">
      <c r="B98" s="76" t="s">
        <v>45</v>
      </c>
      <c r="C98" s="34">
        <v>0</v>
      </c>
      <c r="D98" s="34">
        <v>0</v>
      </c>
      <c r="E98" s="47">
        <v>0</v>
      </c>
      <c r="F98" s="48">
        <v>0</v>
      </c>
      <c r="G98" s="34">
        <v>0</v>
      </c>
      <c r="H98" s="33">
        <v>0</v>
      </c>
      <c r="I98" s="34">
        <v>0</v>
      </c>
      <c r="J98" s="38">
        <f t="shared" si="11"/>
        <v>0</v>
      </c>
      <c r="K98" s="48">
        <v>0</v>
      </c>
      <c r="L98" s="77">
        <v>0</v>
      </c>
      <c r="M98" s="77">
        <v>0</v>
      </c>
      <c r="N98" s="77">
        <v>0</v>
      </c>
      <c r="O98" s="18">
        <f t="shared" si="5"/>
        <v>0</v>
      </c>
      <c r="P98" s="48">
        <v>0</v>
      </c>
      <c r="Q98" s="77"/>
      <c r="R98" s="77"/>
      <c r="X98" s="446"/>
      <c r="Y98" s="242"/>
      <c r="Z98" s="231" t="s">
        <v>223</v>
      </c>
      <c r="AA98" s="261">
        <f>AA97/12</f>
        <v>13.666666666666666</v>
      </c>
      <c r="AB98" s="261">
        <f>AB97/5</f>
        <v>16.2</v>
      </c>
      <c r="AC98" s="261">
        <f>AC97/15</f>
        <v>33.333333333333336</v>
      </c>
      <c r="AD98" s="261">
        <f>AD97/9</f>
        <v>13.222222222222221</v>
      </c>
      <c r="AE98" s="257"/>
    </row>
    <row r="99" spans="2:31" ht="16" thickTop="1" x14ac:dyDescent="0.2">
      <c r="B99" s="164" t="s">
        <v>133</v>
      </c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4">
        <f>4+3</f>
        <v>7</v>
      </c>
      <c r="O99" s="42">
        <f>SUM(N99)</f>
        <v>7</v>
      </c>
      <c r="P99" s="194">
        <f>1+3</f>
        <v>4</v>
      </c>
      <c r="Q99" s="194">
        <v>0</v>
      </c>
      <c r="R99" s="194">
        <v>0</v>
      </c>
      <c r="X99" s="232" t="s">
        <v>176</v>
      </c>
      <c r="Y99" s="232"/>
      <c r="Z99" s="233" t="s">
        <v>224</v>
      </c>
      <c r="AA99" s="263" t="s">
        <v>281</v>
      </c>
      <c r="AB99" s="263" t="s">
        <v>277</v>
      </c>
      <c r="AC99" s="264" t="s">
        <v>239</v>
      </c>
      <c r="AD99" s="263" t="s">
        <v>272</v>
      </c>
      <c r="AE99" s="258"/>
    </row>
    <row r="100" spans="2:31" x14ac:dyDescent="0.2">
      <c r="B100" s="165" t="s">
        <v>148</v>
      </c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88">
        <v>67</v>
      </c>
      <c r="O100" s="18">
        <f t="shared" ref="O100:O114" si="13">SUM(N100)</f>
        <v>67</v>
      </c>
      <c r="P100" s="188">
        <v>24</v>
      </c>
      <c r="Q100" s="188">
        <v>0</v>
      </c>
      <c r="R100" s="188">
        <v>0</v>
      </c>
      <c r="X100" s="234" t="s">
        <v>177</v>
      </c>
      <c r="Y100" s="234"/>
      <c r="Z100" s="235" t="s">
        <v>225</v>
      </c>
      <c r="AA100" s="265" t="s">
        <v>286</v>
      </c>
      <c r="AB100" s="265" t="s">
        <v>283</v>
      </c>
      <c r="AC100" s="265" t="s">
        <v>285</v>
      </c>
      <c r="AD100" s="265" t="s">
        <v>276</v>
      </c>
      <c r="AE100" s="259"/>
    </row>
    <row r="101" spans="2:31" x14ac:dyDescent="0.2">
      <c r="B101" s="165" t="s">
        <v>134</v>
      </c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88">
        <v>0</v>
      </c>
      <c r="O101" s="18">
        <f t="shared" si="13"/>
        <v>0</v>
      </c>
      <c r="P101" s="188">
        <v>1</v>
      </c>
      <c r="Q101" s="188">
        <v>0</v>
      </c>
      <c r="R101" s="188">
        <v>0</v>
      </c>
      <c r="X101" s="216"/>
      <c r="Y101" s="216"/>
      <c r="AA101" s="79"/>
      <c r="AB101" s="79"/>
      <c r="AC101" s="79"/>
      <c r="AD101" s="79"/>
      <c r="AE101" s="79"/>
    </row>
    <row r="102" spans="2:31" x14ac:dyDescent="0.2">
      <c r="B102" s="165" t="s">
        <v>135</v>
      </c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88">
        <v>2</v>
      </c>
      <c r="O102" s="18">
        <f t="shared" si="13"/>
        <v>2</v>
      </c>
      <c r="P102" s="188">
        <v>0</v>
      </c>
      <c r="Q102" s="188">
        <v>0</v>
      </c>
      <c r="R102" s="188">
        <v>0</v>
      </c>
      <c r="X102" s="216"/>
      <c r="Y102" s="216"/>
      <c r="AA102" s="202"/>
      <c r="AB102" s="202"/>
      <c r="AC102" s="79"/>
      <c r="AD102" s="202"/>
      <c r="AE102" s="202"/>
    </row>
    <row r="103" spans="2:31" x14ac:dyDescent="0.2">
      <c r="B103" s="165" t="s">
        <v>136</v>
      </c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5">
        <v>0</v>
      </c>
      <c r="O103" s="18">
        <f t="shared" si="13"/>
        <v>0</v>
      </c>
      <c r="P103" s="195">
        <v>0</v>
      </c>
      <c r="Q103" s="195">
        <v>0</v>
      </c>
      <c r="R103" s="195">
        <v>0</v>
      </c>
      <c r="X103" s="216"/>
      <c r="Y103" s="216"/>
      <c r="AA103" s="202"/>
      <c r="AB103" s="202"/>
      <c r="AC103" s="202"/>
      <c r="AD103" s="202"/>
      <c r="AE103" s="202"/>
    </row>
    <row r="104" spans="2:31" x14ac:dyDescent="0.2">
      <c r="B104" s="165" t="s">
        <v>137</v>
      </c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88">
        <v>4</v>
      </c>
      <c r="O104" s="18">
        <f t="shared" si="13"/>
        <v>4</v>
      </c>
      <c r="P104" s="188">
        <v>3</v>
      </c>
      <c r="Q104" s="188">
        <v>0</v>
      </c>
      <c r="R104" s="188">
        <v>0</v>
      </c>
      <c r="X104" s="216"/>
      <c r="Y104" s="216"/>
      <c r="AA104" s="202"/>
      <c r="AB104" s="202"/>
      <c r="AC104" s="202"/>
      <c r="AD104" s="202"/>
      <c r="AE104" s="202"/>
    </row>
    <row r="105" spans="2:31" x14ac:dyDescent="0.2">
      <c r="B105" s="165" t="s">
        <v>138</v>
      </c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5">
        <v>0</v>
      </c>
      <c r="O105" s="18">
        <f t="shared" si="13"/>
        <v>0</v>
      </c>
      <c r="P105" s="195">
        <v>0</v>
      </c>
      <c r="Q105" s="195">
        <v>0</v>
      </c>
      <c r="R105" s="195">
        <v>0</v>
      </c>
      <c r="AA105" s="202"/>
      <c r="AB105" s="202"/>
      <c r="AC105" s="202"/>
      <c r="AD105" s="202"/>
      <c r="AE105" s="202"/>
    </row>
    <row r="106" spans="2:31" x14ac:dyDescent="0.2">
      <c r="B106" s="165" t="s">
        <v>139</v>
      </c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5">
        <v>11</v>
      </c>
      <c r="O106" s="18">
        <f t="shared" si="13"/>
        <v>11</v>
      </c>
      <c r="P106" s="195">
        <v>4</v>
      </c>
      <c r="Q106" s="195">
        <v>0</v>
      </c>
      <c r="R106" s="195">
        <v>0</v>
      </c>
      <c r="AC106" s="202"/>
    </row>
    <row r="107" spans="2:31" x14ac:dyDescent="0.2">
      <c r="B107" s="165" t="s">
        <v>140</v>
      </c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5">
        <v>0</v>
      </c>
      <c r="O107" s="18">
        <f t="shared" si="13"/>
        <v>0</v>
      </c>
      <c r="P107" s="195">
        <v>0</v>
      </c>
      <c r="Q107" s="195">
        <v>0</v>
      </c>
      <c r="R107" s="195">
        <v>0</v>
      </c>
    </row>
    <row r="108" spans="2:31" x14ac:dyDescent="0.2">
      <c r="B108" s="165" t="s">
        <v>141</v>
      </c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5">
        <v>11</v>
      </c>
      <c r="O108" s="18">
        <f t="shared" si="13"/>
        <v>11</v>
      </c>
      <c r="P108" s="195">
        <v>4</v>
      </c>
      <c r="Q108" s="195">
        <v>0</v>
      </c>
      <c r="R108" s="195">
        <v>0</v>
      </c>
      <c r="AA108" s="202"/>
      <c r="AB108" s="202"/>
      <c r="AD108" s="202"/>
      <c r="AE108" s="202"/>
    </row>
    <row r="109" spans="2:31" x14ac:dyDescent="0.2">
      <c r="B109" s="165" t="s">
        <v>142</v>
      </c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5">
        <v>0</v>
      </c>
      <c r="O109" s="18">
        <f t="shared" si="13"/>
        <v>0</v>
      </c>
      <c r="P109" s="195">
        <v>0</v>
      </c>
      <c r="Q109" s="195">
        <v>0</v>
      </c>
      <c r="R109" s="195">
        <v>0</v>
      </c>
      <c r="X109" s="485"/>
      <c r="Y109" s="209"/>
      <c r="AA109" s="202"/>
      <c r="AB109" s="202"/>
      <c r="AC109" s="202"/>
      <c r="AD109" s="202"/>
      <c r="AE109" s="202"/>
    </row>
    <row r="110" spans="2:31" x14ac:dyDescent="0.2">
      <c r="B110" s="165" t="s">
        <v>147</v>
      </c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5">
        <v>4</v>
      </c>
      <c r="O110" s="18">
        <f t="shared" si="13"/>
        <v>4</v>
      </c>
      <c r="P110" s="195">
        <v>4</v>
      </c>
      <c r="Q110" s="195">
        <v>0</v>
      </c>
      <c r="R110" s="195">
        <v>0</v>
      </c>
      <c r="X110" s="485"/>
      <c r="Y110" s="209"/>
      <c r="AA110" s="202"/>
      <c r="AB110" s="202"/>
      <c r="AC110" s="202"/>
      <c r="AD110" s="202"/>
      <c r="AE110" s="202"/>
    </row>
    <row r="111" spans="2:31" x14ac:dyDescent="0.2">
      <c r="B111" s="165" t="s">
        <v>143</v>
      </c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5">
        <v>49</v>
      </c>
      <c r="O111" s="18">
        <f t="shared" si="13"/>
        <v>49</v>
      </c>
      <c r="P111" s="195">
        <v>16</v>
      </c>
      <c r="Q111" s="195">
        <v>0</v>
      </c>
      <c r="R111" s="195">
        <v>0</v>
      </c>
      <c r="X111" s="485"/>
      <c r="Y111" s="209"/>
      <c r="AA111" s="202"/>
      <c r="AB111" s="202"/>
      <c r="AC111" s="202"/>
      <c r="AD111" s="202"/>
      <c r="AE111" s="202"/>
    </row>
    <row r="112" spans="2:31" x14ac:dyDescent="0.2">
      <c r="B112" s="165" t="s">
        <v>144</v>
      </c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5">
        <v>0</v>
      </c>
      <c r="O112" s="18">
        <f t="shared" si="13"/>
        <v>0</v>
      </c>
      <c r="P112" s="195">
        <v>0</v>
      </c>
      <c r="Q112" s="195">
        <v>0</v>
      </c>
      <c r="R112" s="195">
        <v>0</v>
      </c>
      <c r="X112" s="485"/>
      <c r="Y112" s="209"/>
      <c r="AA112" s="202"/>
      <c r="AB112" s="202"/>
      <c r="AC112" s="202"/>
      <c r="AD112" s="202"/>
      <c r="AE112" s="202"/>
    </row>
    <row r="113" spans="2:31" x14ac:dyDescent="0.2">
      <c r="B113" s="165" t="s">
        <v>145</v>
      </c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5">
        <v>53</v>
      </c>
      <c r="O113" s="18">
        <f t="shared" si="13"/>
        <v>53</v>
      </c>
      <c r="P113" s="195">
        <v>20</v>
      </c>
      <c r="Q113" s="195">
        <v>0</v>
      </c>
      <c r="R113" s="195">
        <v>0</v>
      </c>
      <c r="AA113" s="202"/>
      <c r="AB113" s="202"/>
      <c r="AC113" s="202"/>
      <c r="AD113" s="202"/>
      <c r="AE113" s="202"/>
    </row>
    <row r="114" spans="2:31" ht="16" thickBot="1" x14ac:dyDescent="0.25">
      <c r="B114" s="166" t="s">
        <v>146</v>
      </c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6">
        <v>1</v>
      </c>
      <c r="O114" s="38">
        <f t="shared" si="13"/>
        <v>1</v>
      </c>
      <c r="P114" s="196">
        <v>0</v>
      </c>
      <c r="Q114" s="196">
        <v>0</v>
      </c>
      <c r="R114" s="196">
        <v>0</v>
      </c>
      <c r="AA114" s="80"/>
      <c r="AB114" s="80"/>
      <c r="AC114" s="202"/>
      <c r="AD114" s="80"/>
      <c r="AE114" s="80"/>
    </row>
    <row r="115" spans="2:31" ht="16" thickTop="1" x14ac:dyDescent="0.2">
      <c r="X115" s="485"/>
      <c r="Y115" s="209"/>
      <c r="AA115" s="80"/>
      <c r="AB115" s="80"/>
      <c r="AC115" s="80"/>
      <c r="AD115" s="80"/>
      <c r="AE115" s="80"/>
    </row>
    <row r="116" spans="2:31" x14ac:dyDescent="0.2">
      <c r="X116" s="485"/>
      <c r="Y116" s="209"/>
      <c r="AA116" s="80"/>
      <c r="AB116" s="80"/>
      <c r="AC116" s="80"/>
      <c r="AD116" s="80"/>
      <c r="AE116" s="80"/>
    </row>
    <row r="117" spans="2:31" ht="29" thickBot="1" x14ac:dyDescent="0.25">
      <c r="B117" s="1" t="s">
        <v>168</v>
      </c>
      <c r="C117" s="2">
        <v>44866</v>
      </c>
      <c r="D117" s="2">
        <v>44896</v>
      </c>
      <c r="E117" s="3">
        <v>2022</v>
      </c>
      <c r="F117" s="4" t="s">
        <v>0</v>
      </c>
      <c r="G117" s="5" t="s">
        <v>1</v>
      </c>
      <c r="H117" s="6" t="s">
        <v>153</v>
      </c>
      <c r="I117" s="6" t="s">
        <v>154</v>
      </c>
      <c r="J117" s="7" t="s">
        <v>4</v>
      </c>
      <c r="K117" s="8" t="s">
        <v>5</v>
      </c>
      <c r="L117" s="185" t="s">
        <v>150</v>
      </c>
      <c r="M117" s="186" t="s">
        <v>151</v>
      </c>
      <c r="N117" s="186" t="s">
        <v>152</v>
      </c>
      <c r="O117" s="10" t="s">
        <v>6</v>
      </c>
      <c r="P117" s="8" t="s">
        <v>181</v>
      </c>
      <c r="Q117" s="2">
        <v>45748</v>
      </c>
      <c r="R117" s="186">
        <v>45778</v>
      </c>
      <c r="X117" s="485"/>
      <c r="Y117" s="209"/>
      <c r="AA117" s="80"/>
      <c r="AB117" s="80"/>
      <c r="AC117" s="80"/>
      <c r="AD117" s="80"/>
      <c r="AE117" s="80"/>
    </row>
    <row r="118" spans="2:31" ht="16" thickTop="1" x14ac:dyDescent="0.2">
      <c r="B118" s="29" t="s">
        <v>14</v>
      </c>
      <c r="C118" s="12">
        <v>292</v>
      </c>
      <c r="D118" s="12">
        <v>202</v>
      </c>
      <c r="E118" s="14">
        <v>494</v>
      </c>
      <c r="F118" s="15">
        <v>213</v>
      </c>
      <c r="G118" s="13">
        <v>0</v>
      </c>
      <c r="H118" s="16">
        <v>41</v>
      </c>
      <c r="I118" s="17">
        <v>146</v>
      </c>
      <c r="J118" s="18">
        <f>F118+G118+H118+I118</f>
        <v>400</v>
      </c>
      <c r="K118" s="19">
        <v>0</v>
      </c>
      <c r="L118" s="20">
        <v>0</v>
      </c>
      <c r="M118" s="20">
        <v>0</v>
      </c>
      <c r="N118" s="20">
        <v>0</v>
      </c>
      <c r="O118" s="18">
        <f t="shared" ref="O118:O156" si="14">SUM(K118:N118)</f>
        <v>0</v>
      </c>
      <c r="P118" s="19">
        <v>2</v>
      </c>
      <c r="Q118" s="20"/>
      <c r="R118" s="21"/>
      <c r="X118" s="485"/>
      <c r="Y118" s="209"/>
      <c r="AA118" s="202"/>
      <c r="AB118" s="202"/>
      <c r="AC118" s="80"/>
      <c r="AD118" s="202"/>
      <c r="AE118" s="202"/>
    </row>
    <row r="119" spans="2:31" x14ac:dyDescent="0.2">
      <c r="B119" s="22" t="s">
        <v>10</v>
      </c>
      <c r="C119" s="12">
        <v>67</v>
      </c>
      <c r="D119" s="12">
        <v>71</v>
      </c>
      <c r="E119" s="23">
        <v>138</v>
      </c>
      <c r="F119" s="24">
        <v>76</v>
      </c>
      <c r="G119" s="12">
        <v>0</v>
      </c>
      <c r="H119" s="25">
        <v>12</v>
      </c>
      <c r="I119" s="26">
        <v>58</v>
      </c>
      <c r="J119" s="18">
        <f t="shared" ref="J119:J138" si="15">F119+G119+H119+I119</f>
        <v>146</v>
      </c>
      <c r="K119" s="27">
        <v>0</v>
      </c>
      <c r="L119" s="26">
        <v>0</v>
      </c>
      <c r="M119" s="26">
        <v>0</v>
      </c>
      <c r="N119" s="26">
        <v>0</v>
      </c>
      <c r="O119" s="18">
        <f t="shared" si="14"/>
        <v>0</v>
      </c>
      <c r="P119" s="27">
        <v>0</v>
      </c>
      <c r="Q119" s="26"/>
      <c r="R119" s="28"/>
      <c r="AA119" s="202"/>
      <c r="AB119" s="202"/>
      <c r="AC119" s="202"/>
      <c r="AD119" s="202"/>
      <c r="AE119" s="202"/>
    </row>
    <row r="120" spans="2:31" x14ac:dyDescent="0.2">
      <c r="B120" s="22" t="s">
        <v>13</v>
      </c>
      <c r="C120" s="12">
        <v>442</v>
      </c>
      <c r="D120" s="12">
        <v>746</v>
      </c>
      <c r="E120" s="23">
        <v>1188</v>
      </c>
      <c r="F120" s="24">
        <v>875</v>
      </c>
      <c r="G120" s="12">
        <v>0</v>
      </c>
      <c r="H120" s="25">
        <v>195</v>
      </c>
      <c r="I120" s="26">
        <v>522</v>
      </c>
      <c r="J120" s="18">
        <f t="shared" si="15"/>
        <v>1592</v>
      </c>
      <c r="K120" s="27">
        <v>0</v>
      </c>
      <c r="L120" s="26">
        <v>13</v>
      </c>
      <c r="M120" s="27">
        <v>0</v>
      </c>
      <c r="N120" s="27">
        <v>0</v>
      </c>
      <c r="O120" s="18">
        <f t="shared" si="14"/>
        <v>13</v>
      </c>
      <c r="P120" s="27">
        <v>5</v>
      </c>
      <c r="Q120" s="26"/>
      <c r="R120" s="28"/>
      <c r="AC120" s="202"/>
    </row>
    <row r="121" spans="2:31" x14ac:dyDescent="0.2">
      <c r="B121" s="22" t="s">
        <v>9</v>
      </c>
      <c r="C121" s="12">
        <v>210</v>
      </c>
      <c r="D121" s="12">
        <v>354</v>
      </c>
      <c r="E121" s="23">
        <v>564</v>
      </c>
      <c r="F121" s="24">
        <v>365</v>
      </c>
      <c r="G121" s="12">
        <v>0</v>
      </c>
      <c r="H121" s="25">
        <v>91</v>
      </c>
      <c r="I121" s="26">
        <v>250</v>
      </c>
      <c r="J121" s="18">
        <f t="shared" si="15"/>
        <v>706</v>
      </c>
      <c r="K121" s="27">
        <v>0</v>
      </c>
      <c r="L121" s="26">
        <v>3</v>
      </c>
      <c r="M121" s="27">
        <v>0</v>
      </c>
      <c r="N121" s="27">
        <v>0</v>
      </c>
      <c r="O121" s="18">
        <f t="shared" si="14"/>
        <v>3</v>
      </c>
      <c r="P121" s="27">
        <v>0</v>
      </c>
      <c r="Q121" s="26"/>
      <c r="R121" s="28"/>
      <c r="AA121" s="79"/>
      <c r="AB121" s="79"/>
    </row>
    <row r="122" spans="2:31" x14ac:dyDescent="0.2">
      <c r="B122" s="22" t="s">
        <v>11</v>
      </c>
      <c r="C122" s="12">
        <v>0</v>
      </c>
      <c r="D122" s="12">
        <v>0</v>
      </c>
      <c r="E122" s="23">
        <v>645</v>
      </c>
      <c r="F122" s="24">
        <v>0</v>
      </c>
      <c r="G122" s="12">
        <v>545</v>
      </c>
      <c r="H122" s="25">
        <v>1337</v>
      </c>
      <c r="I122" s="26">
        <v>0</v>
      </c>
      <c r="J122" s="18">
        <f t="shared" si="15"/>
        <v>1882</v>
      </c>
      <c r="K122" s="27">
        <v>122</v>
      </c>
      <c r="L122" s="26">
        <v>643</v>
      </c>
      <c r="M122" s="28">
        <v>438</v>
      </c>
      <c r="N122" s="26">
        <v>473</v>
      </c>
      <c r="O122" s="18">
        <f t="shared" si="14"/>
        <v>1676</v>
      </c>
      <c r="P122" s="27">
        <v>754</v>
      </c>
      <c r="Q122" s="26"/>
      <c r="R122" s="28"/>
      <c r="AC122" s="79"/>
    </row>
    <row r="123" spans="2:31" x14ac:dyDescent="0.2">
      <c r="B123" s="11" t="s">
        <v>7</v>
      </c>
      <c r="C123" s="12">
        <v>0</v>
      </c>
      <c r="D123" s="12">
        <v>0</v>
      </c>
      <c r="E123" s="23">
        <v>215</v>
      </c>
      <c r="F123" s="24">
        <v>0</v>
      </c>
      <c r="G123" s="12">
        <v>64</v>
      </c>
      <c r="H123" s="25">
        <v>506</v>
      </c>
      <c r="I123" s="26">
        <v>0</v>
      </c>
      <c r="J123" s="18">
        <f t="shared" si="15"/>
        <v>570</v>
      </c>
      <c r="K123" s="27">
        <v>16</v>
      </c>
      <c r="L123" s="26">
        <v>121</v>
      </c>
      <c r="M123" s="28">
        <v>86</v>
      </c>
      <c r="N123" s="26">
        <v>125</v>
      </c>
      <c r="O123" s="18">
        <f t="shared" si="14"/>
        <v>348</v>
      </c>
      <c r="P123" s="27">
        <v>111</v>
      </c>
      <c r="Q123" s="26"/>
      <c r="R123" s="28"/>
    </row>
    <row r="124" spans="2:31" x14ac:dyDescent="0.2">
      <c r="B124" s="22" t="s">
        <v>12</v>
      </c>
      <c r="C124" s="12">
        <v>0</v>
      </c>
      <c r="D124" s="189">
        <v>948</v>
      </c>
      <c r="E124" s="23">
        <v>9619</v>
      </c>
      <c r="F124" s="188">
        <v>3095</v>
      </c>
      <c r="G124" s="12">
        <v>2994</v>
      </c>
      <c r="H124" s="25">
        <v>2079</v>
      </c>
      <c r="I124" s="26">
        <v>300</v>
      </c>
      <c r="J124" s="18">
        <f t="shared" si="15"/>
        <v>8468</v>
      </c>
      <c r="K124" s="27">
        <v>593</v>
      </c>
      <c r="L124" s="26">
        <v>675</v>
      </c>
      <c r="M124" s="28">
        <v>2088</v>
      </c>
      <c r="N124" s="26">
        <v>2211</v>
      </c>
      <c r="O124" s="18">
        <f t="shared" si="14"/>
        <v>5567</v>
      </c>
      <c r="P124" s="27">
        <v>1104</v>
      </c>
      <c r="Q124" s="49"/>
      <c r="R124" s="37"/>
      <c r="S124" s="190" t="s">
        <v>169</v>
      </c>
    </row>
    <row r="125" spans="2:31" ht="16" thickBot="1" x14ac:dyDescent="0.25">
      <c r="B125" s="22" t="s">
        <v>8</v>
      </c>
      <c r="C125" s="30">
        <v>0</v>
      </c>
      <c r="D125" s="198">
        <v>425</v>
      </c>
      <c r="E125" s="31">
        <v>3213</v>
      </c>
      <c r="F125" s="200">
        <v>977</v>
      </c>
      <c r="G125" s="30">
        <v>980</v>
      </c>
      <c r="H125" s="33">
        <v>771</v>
      </c>
      <c r="I125" s="34">
        <v>109</v>
      </c>
      <c r="J125" s="18">
        <f t="shared" si="15"/>
        <v>2837</v>
      </c>
      <c r="K125" s="35">
        <v>147</v>
      </c>
      <c r="L125" s="36">
        <v>125</v>
      </c>
      <c r="M125" s="37">
        <v>613</v>
      </c>
      <c r="N125" s="36">
        <v>813</v>
      </c>
      <c r="O125" s="38">
        <f t="shared" si="14"/>
        <v>1698</v>
      </c>
      <c r="P125" s="182">
        <v>407</v>
      </c>
      <c r="Q125" s="49"/>
      <c r="R125" s="37"/>
      <c r="S125" s="190"/>
    </row>
    <row r="126" spans="2:31" ht="16" thickTop="1" x14ac:dyDescent="0.2">
      <c r="B126" s="177" t="s">
        <v>19</v>
      </c>
      <c r="C126" s="13">
        <v>292</v>
      </c>
      <c r="D126" s="13">
        <v>202</v>
      </c>
      <c r="E126" s="14">
        <v>2474</v>
      </c>
      <c r="F126" s="40">
        <v>649</v>
      </c>
      <c r="G126" s="13">
        <v>464</v>
      </c>
      <c r="H126" s="41">
        <v>453</v>
      </c>
      <c r="I126" s="20">
        <v>324</v>
      </c>
      <c r="J126" s="42">
        <f t="shared" si="15"/>
        <v>1890</v>
      </c>
      <c r="K126" s="43">
        <v>391</v>
      </c>
      <c r="L126" s="17">
        <v>150</v>
      </c>
      <c r="M126" s="44">
        <v>443</v>
      </c>
      <c r="N126" s="17">
        <v>473</v>
      </c>
      <c r="O126" s="18">
        <f t="shared" si="14"/>
        <v>1457</v>
      </c>
      <c r="P126" s="43">
        <v>321</v>
      </c>
      <c r="Q126" s="17"/>
      <c r="R126" s="44"/>
    </row>
    <row r="127" spans="2:31" x14ac:dyDescent="0.2">
      <c r="B127" s="45" t="s">
        <v>16</v>
      </c>
      <c r="C127" s="12">
        <v>292</v>
      </c>
      <c r="D127" s="12">
        <v>202</v>
      </c>
      <c r="E127" s="23">
        <v>2257</v>
      </c>
      <c r="F127" s="24">
        <v>649</v>
      </c>
      <c r="G127" s="12">
        <v>564</v>
      </c>
      <c r="H127" s="25">
        <v>448</v>
      </c>
      <c r="I127" s="26">
        <v>154</v>
      </c>
      <c r="J127" s="18">
        <f t="shared" si="15"/>
        <v>1815</v>
      </c>
      <c r="K127" s="27">
        <v>25</v>
      </c>
      <c r="L127" s="26">
        <v>150</v>
      </c>
      <c r="M127" s="28">
        <v>443</v>
      </c>
      <c r="N127" s="26">
        <v>473</v>
      </c>
      <c r="O127" s="18">
        <f t="shared" si="14"/>
        <v>1091</v>
      </c>
      <c r="P127" s="27">
        <v>312</v>
      </c>
      <c r="Q127" s="26"/>
      <c r="R127" s="28"/>
    </row>
    <row r="128" spans="2:31" x14ac:dyDescent="0.2">
      <c r="B128" s="177" t="s">
        <v>15</v>
      </c>
      <c r="C128" s="12">
        <v>67</v>
      </c>
      <c r="D128" s="12">
        <v>71</v>
      </c>
      <c r="E128" s="23">
        <v>658</v>
      </c>
      <c r="F128" s="24">
        <v>173</v>
      </c>
      <c r="G128" s="12">
        <v>125</v>
      </c>
      <c r="H128" s="25">
        <v>193</v>
      </c>
      <c r="I128" s="26">
        <v>140</v>
      </c>
      <c r="J128" s="18">
        <f t="shared" si="15"/>
        <v>631</v>
      </c>
      <c r="K128" s="27">
        <v>17</v>
      </c>
      <c r="L128" s="26">
        <v>21</v>
      </c>
      <c r="M128" s="28">
        <v>86</v>
      </c>
      <c r="N128" s="26">
        <v>125</v>
      </c>
      <c r="O128" s="18">
        <f t="shared" si="14"/>
        <v>249</v>
      </c>
      <c r="P128" s="27">
        <v>79</v>
      </c>
      <c r="Q128" s="26"/>
      <c r="R128" s="28"/>
    </row>
    <row r="129" spans="2:31" x14ac:dyDescent="0.2">
      <c r="B129" s="45" t="s">
        <v>20</v>
      </c>
      <c r="C129" s="12">
        <v>701</v>
      </c>
      <c r="D129" s="12">
        <v>705</v>
      </c>
      <c r="E129" s="23">
        <v>8291</v>
      </c>
      <c r="F129" s="24">
        <v>2336</v>
      </c>
      <c r="G129" s="12">
        <v>1836</v>
      </c>
      <c r="H129" s="25">
        <v>2911</v>
      </c>
      <c r="I129" s="26">
        <v>1111</v>
      </c>
      <c r="J129" s="18">
        <f t="shared" si="15"/>
        <v>8194</v>
      </c>
      <c r="K129" s="27">
        <v>1907</v>
      </c>
      <c r="L129" s="26">
        <v>1108</v>
      </c>
      <c r="M129" s="28">
        <v>1388</v>
      </c>
      <c r="N129" s="26">
        <v>2152</v>
      </c>
      <c r="O129" s="18">
        <f t="shared" si="14"/>
        <v>6555</v>
      </c>
      <c r="P129" s="27">
        <v>1648</v>
      </c>
      <c r="Q129" s="26"/>
      <c r="R129" s="28"/>
    </row>
    <row r="130" spans="2:31" x14ac:dyDescent="0.2">
      <c r="B130" s="45" t="s">
        <v>18</v>
      </c>
      <c r="C130" s="12">
        <v>0</v>
      </c>
      <c r="D130" s="12">
        <v>0</v>
      </c>
      <c r="E130" s="23">
        <v>0</v>
      </c>
      <c r="F130" s="24">
        <v>0</v>
      </c>
      <c r="G130" s="12">
        <v>0</v>
      </c>
      <c r="H130" s="25">
        <v>2899</v>
      </c>
      <c r="I130" s="26">
        <v>767</v>
      </c>
      <c r="J130" s="18">
        <f t="shared" si="15"/>
        <v>3666</v>
      </c>
      <c r="K130" s="27">
        <v>1907</v>
      </c>
      <c r="L130" s="26">
        <v>1070</v>
      </c>
      <c r="M130" s="28">
        <v>246</v>
      </c>
      <c r="N130" s="26">
        <v>2152</v>
      </c>
      <c r="O130" s="18">
        <f t="shared" si="14"/>
        <v>5375</v>
      </c>
      <c r="P130" s="27">
        <v>1074</v>
      </c>
      <c r="Q130" s="26"/>
      <c r="R130" s="28"/>
    </row>
    <row r="131" spans="2:31" x14ac:dyDescent="0.2">
      <c r="B131" s="45" t="s">
        <v>17</v>
      </c>
      <c r="C131" s="12">
        <v>209</v>
      </c>
      <c r="D131" s="12">
        <v>328</v>
      </c>
      <c r="E131" s="23">
        <v>2873</v>
      </c>
      <c r="F131" s="24">
        <v>781</v>
      </c>
      <c r="G131" s="12">
        <v>562</v>
      </c>
      <c r="H131" s="25">
        <v>1166</v>
      </c>
      <c r="I131" s="26">
        <v>394</v>
      </c>
      <c r="J131" s="18">
        <f t="shared" si="15"/>
        <v>2903</v>
      </c>
      <c r="K131" s="27">
        <v>142</v>
      </c>
      <c r="L131" s="26">
        <v>157</v>
      </c>
      <c r="M131" s="28">
        <v>571</v>
      </c>
      <c r="N131" s="26">
        <v>813</v>
      </c>
      <c r="O131" s="18">
        <f t="shared" si="14"/>
        <v>1683</v>
      </c>
      <c r="P131" s="27">
        <v>541</v>
      </c>
      <c r="Q131" s="26"/>
      <c r="R131" s="28"/>
    </row>
    <row r="132" spans="2:31" ht="16" thickBot="1" x14ac:dyDescent="0.25">
      <c r="B132" s="179" t="s">
        <v>21</v>
      </c>
      <c r="C132" s="34">
        <v>1</v>
      </c>
      <c r="D132" s="34">
        <v>2</v>
      </c>
      <c r="E132" s="47">
        <v>9</v>
      </c>
      <c r="F132" s="48">
        <v>0</v>
      </c>
      <c r="G132" s="34">
        <v>0</v>
      </c>
      <c r="H132" s="33">
        <v>4</v>
      </c>
      <c r="I132" s="34">
        <v>2</v>
      </c>
      <c r="J132" s="38">
        <f t="shared" si="15"/>
        <v>6</v>
      </c>
      <c r="K132" s="48">
        <v>1</v>
      </c>
      <c r="L132" s="49">
        <v>1</v>
      </c>
      <c r="M132" s="37">
        <v>0</v>
      </c>
      <c r="N132" s="49">
        <v>6</v>
      </c>
      <c r="O132" s="18">
        <f t="shared" si="14"/>
        <v>8</v>
      </c>
      <c r="P132" s="48">
        <v>7</v>
      </c>
      <c r="Q132" s="49"/>
      <c r="R132" s="37"/>
    </row>
    <row r="133" spans="2:31" ht="16" thickTop="1" x14ac:dyDescent="0.2">
      <c r="B133" s="55" t="s">
        <v>25</v>
      </c>
      <c r="C133" s="13">
        <v>17</v>
      </c>
      <c r="D133" s="13">
        <v>16</v>
      </c>
      <c r="E133" s="14">
        <v>209</v>
      </c>
      <c r="F133" s="40">
        <v>54</v>
      </c>
      <c r="G133" s="13">
        <v>41</v>
      </c>
      <c r="H133" s="41">
        <v>56</v>
      </c>
      <c r="I133" s="20">
        <v>53</v>
      </c>
      <c r="J133" s="18">
        <f t="shared" si="15"/>
        <v>204</v>
      </c>
      <c r="K133" s="19">
        <v>52</v>
      </c>
      <c r="L133" s="51">
        <v>39</v>
      </c>
      <c r="M133" s="44">
        <v>60</v>
      </c>
      <c r="N133" s="51">
        <v>57</v>
      </c>
      <c r="O133" s="42">
        <f t="shared" si="14"/>
        <v>208</v>
      </c>
      <c r="P133" s="19">
        <v>19</v>
      </c>
      <c r="Q133" s="51"/>
      <c r="R133" s="44"/>
    </row>
    <row r="134" spans="2:31" x14ac:dyDescent="0.2">
      <c r="B134" s="52" t="s">
        <v>26</v>
      </c>
      <c r="C134" s="12">
        <v>75</v>
      </c>
      <c r="D134" s="12">
        <v>70</v>
      </c>
      <c r="E134" s="23">
        <v>728</v>
      </c>
      <c r="F134" s="24">
        <v>220</v>
      </c>
      <c r="G134" s="12">
        <v>184</v>
      </c>
      <c r="H134" s="25">
        <v>169</v>
      </c>
      <c r="I134" s="26">
        <v>174</v>
      </c>
      <c r="J134" s="18">
        <f t="shared" si="15"/>
        <v>747</v>
      </c>
      <c r="K134" s="27">
        <v>197</v>
      </c>
      <c r="L134" s="53">
        <v>165</v>
      </c>
      <c r="M134" s="28">
        <v>155</v>
      </c>
      <c r="N134" s="53">
        <v>217</v>
      </c>
      <c r="O134" s="18">
        <f t="shared" si="14"/>
        <v>734</v>
      </c>
      <c r="P134" s="27">
        <v>86</v>
      </c>
      <c r="Q134" s="53"/>
      <c r="R134" s="28"/>
    </row>
    <row r="135" spans="2:31" x14ac:dyDescent="0.2">
      <c r="B135" s="52" t="s">
        <v>27</v>
      </c>
      <c r="C135" s="26">
        <v>18</v>
      </c>
      <c r="D135" s="26">
        <v>11</v>
      </c>
      <c r="E135" s="54">
        <v>152</v>
      </c>
      <c r="F135" s="27">
        <v>48</v>
      </c>
      <c r="G135" s="26">
        <v>39</v>
      </c>
      <c r="H135" s="25">
        <v>29</v>
      </c>
      <c r="I135" s="26">
        <v>31</v>
      </c>
      <c r="J135" s="18">
        <f t="shared" si="15"/>
        <v>147</v>
      </c>
      <c r="K135" s="27">
        <v>42</v>
      </c>
      <c r="L135" s="53">
        <v>36</v>
      </c>
      <c r="M135" s="28">
        <v>26</v>
      </c>
      <c r="N135" s="53">
        <v>47</v>
      </c>
      <c r="O135" s="18">
        <f t="shared" si="14"/>
        <v>151</v>
      </c>
      <c r="P135" s="27">
        <v>32</v>
      </c>
      <c r="Q135" s="53"/>
      <c r="R135" s="28"/>
    </row>
    <row r="136" spans="2:31" x14ac:dyDescent="0.2">
      <c r="B136" s="52" t="s">
        <v>28</v>
      </c>
      <c r="C136" s="56">
        <v>1</v>
      </c>
      <c r="D136" s="56">
        <v>0</v>
      </c>
      <c r="E136" s="57">
        <v>11</v>
      </c>
      <c r="F136" s="58">
        <v>1</v>
      </c>
      <c r="G136" s="59">
        <v>5</v>
      </c>
      <c r="H136" s="60">
        <v>6</v>
      </c>
      <c r="I136" s="61">
        <v>2</v>
      </c>
      <c r="J136" s="18">
        <f t="shared" si="15"/>
        <v>14</v>
      </c>
      <c r="K136" s="27">
        <v>2</v>
      </c>
      <c r="L136" s="53">
        <v>5</v>
      </c>
      <c r="M136" s="28">
        <v>4</v>
      </c>
      <c r="N136" s="53">
        <v>2</v>
      </c>
      <c r="O136" s="18">
        <f t="shared" si="14"/>
        <v>13</v>
      </c>
      <c r="P136" s="27">
        <v>0</v>
      </c>
      <c r="Q136" s="53"/>
      <c r="R136" s="28"/>
    </row>
    <row r="137" spans="2:31" x14ac:dyDescent="0.2">
      <c r="B137" s="55" t="s">
        <v>22</v>
      </c>
      <c r="C137" s="56">
        <v>23</v>
      </c>
      <c r="D137" s="56">
        <v>21</v>
      </c>
      <c r="E137" s="57">
        <v>249</v>
      </c>
      <c r="F137" s="58">
        <v>61</v>
      </c>
      <c r="G137" s="59">
        <v>42</v>
      </c>
      <c r="H137" s="60">
        <v>45</v>
      </c>
      <c r="I137" s="61">
        <v>53</v>
      </c>
      <c r="J137" s="18">
        <f t="shared" si="15"/>
        <v>201</v>
      </c>
      <c r="K137" s="27">
        <v>50</v>
      </c>
      <c r="L137" s="53">
        <v>37</v>
      </c>
      <c r="M137" s="28">
        <v>48</v>
      </c>
      <c r="N137" s="53">
        <v>63</v>
      </c>
      <c r="O137" s="18">
        <f t="shared" si="14"/>
        <v>198</v>
      </c>
      <c r="P137" s="27">
        <v>19</v>
      </c>
      <c r="Q137" s="53"/>
      <c r="R137" s="28"/>
    </row>
    <row r="138" spans="2:31" x14ac:dyDescent="0.2">
      <c r="B138" s="52" t="s">
        <v>23</v>
      </c>
      <c r="C138" s="56">
        <v>20</v>
      </c>
      <c r="D138" s="56">
        <v>22</v>
      </c>
      <c r="E138" s="57">
        <v>195</v>
      </c>
      <c r="F138" s="58">
        <v>49</v>
      </c>
      <c r="G138" s="59">
        <v>34</v>
      </c>
      <c r="H138" s="60">
        <v>45</v>
      </c>
      <c r="I138" s="61">
        <v>44</v>
      </c>
      <c r="J138" s="18">
        <f t="shared" si="15"/>
        <v>172</v>
      </c>
      <c r="K138" s="27">
        <v>48</v>
      </c>
      <c r="L138" s="53">
        <v>37</v>
      </c>
      <c r="M138" s="28">
        <v>37</v>
      </c>
      <c r="N138" s="53">
        <v>65</v>
      </c>
      <c r="O138" s="18">
        <f t="shared" si="14"/>
        <v>187</v>
      </c>
      <c r="P138" s="27">
        <v>14</v>
      </c>
      <c r="Q138" s="53"/>
      <c r="R138" s="28"/>
    </row>
    <row r="139" spans="2:31" ht="17" thickBot="1" x14ac:dyDescent="0.25">
      <c r="B139" s="52" t="s">
        <v>24</v>
      </c>
      <c r="C139" s="63">
        <v>14</v>
      </c>
      <c r="D139" s="63">
        <v>15</v>
      </c>
      <c r="E139" s="64">
        <v>145</v>
      </c>
      <c r="F139" s="65">
        <v>42</v>
      </c>
      <c r="G139" s="66">
        <v>42</v>
      </c>
      <c r="H139" s="67">
        <v>42</v>
      </c>
      <c r="I139" s="68">
        <v>32</v>
      </c>
      <c r="J139" s="38">
        <f>SUM(F139:I139)</f>
        <v>158</v>
      </c>
      <c r="K139" s="35">
        <v>50</v>
      </c>
      <c r="L139" s="49">
        <v>31</v>
      </c>
      <c r="M139" s="37">
        <v>33</v>
      </c>
      <c r="N139" s="49">
        <v>59</v>
      </c>
      <c r="O139" s="18">
        <f t="shared" si="14"/>
        <v>173</v>
      </c>
      <c r="P139" s="35">
        <v>29</v>
      </c>
      <c r="Q139" s="49"/>
      <c r="R139" s="37"/>
      <c r="X139" s="482" t="s">
        <v>253</v>
      </c>
      <c r="Y139" s="483"/>
      <c r="Z139" s="484"/>
      <c r="AA139" s="98" t="s">
        <v>185</v>
      </c>
      <c r="AB139" s="98" t="s">
        <v>202</v>
      </c>
      <c r="AC139" s="98" t="s">
        <v>203</v>
      </c>
      <c r="AD139" s="98" t="s">
        <v>187</v>
      </c>
      <c r="AE139" s="98" t="s">
        <v>186</v>
      </c>
    </row>
    <row r="140" spans="2:31" ht="16" thickTop="1" x14ac:dyDescent="0.2">
      <c r="B140" s="69" t="s">
        <v>29</v>
      </c>
      <c r="C140" s="13">
        <v>54</v>
      </c>
      <c r="D140" s="13">
        <v>69</v>
      </c>
      <c r="E140" s="14">
        <v>700</v>
      </c>
      <c r="F140" s="40">
        <v>147</v>
      </c>
      <c r="G140" s="13">
        <v>158</v>
      </c>
      <c r="H140" s="41">
        <v>171</v>
      </c>
      <c r="I140" s="20">
        <v>215</v>
      </c>
      <c r="J140" s="18">
        <f>F140+G140+H140+I140</f>
        <v>691</v>
      </c>
      <c r="K140" s="70">
        <v>268</v>
      </c>
      <c r="L140" s="16">
        <v>21</v>
      </c>
      <c r="M140" s="16">
        <v>90</v>
      </c>
      <c r="N140" s="16">
        <v>112</v>
      </c>
      <c r="O140" s="42">
        <f t="shared" si="14"/>
        <v>491</v>
      </c>
      <c r="P140" s="70">
        <v>90</v>
      </c>
      <c r="Q140" s="16"/>
      <c r="R140" s="16"/>
      <c r="X140" s="439" t="s">
        <v>59</v>
      </c>
      <c r="Y140" s="238"/>
      <c r="Z140" s="226" t="s">
        <v>204</v>
      </c>
      <c r="AA140" s="252">
        <f>E139</f>
        <v>145</v>
      </c>
      <c r="AB140" s="252">
        <f>C139+D139+F139</f>
        <v>71</v>
      </c>
      <c r="AC140" s="252">
        <f>G139+H139+I139+K139+L139</f>
        <v>197</v>
      </c>
      <c r="AD140" s="252">
        <f>M139+N139+P139</f>
        <v>121</v>
      </c>
      <c r="AE140" s="252">
        <f>M139+N139+P139+Q139+R139</f>
        <v>121</v>
      </c>
    </row>
    <row r="141" spans="2:31" x14ac:dyDescent="0.2">
      <c r="B141" s="71" t="s">
        <v>30</v>
      </c>
      <c r="C141" s="12">
        <v>56</v>
      </c>
      <c r="D141" s="12">
        <v>85</v>
      </c>
      <c r="E141" s="23">
        <v>687</v>
      </c>
      <c r="F141" s="24">
        <v>188</v>
      </c>
      <c r="G141" s="12">
        <v>216</v>
      </c>
      <c r="H141" s="25">
        <v>280</v>
      </c>
      <c r="I141" s="26">
        <v>306</v>
      </c>
      <c r="J141" s="18">
        <f t="shared" ref="J141:J143" si="16">F141+G141+H141+I141</f>
        <v>990</v>
      </c>
      <c r="K141" s="27">
        <v>319</v>
      </c>
      <c r="L141" s="27">
        <v>49</v>
      </c>
      <c r="M141" s="27">
        <v>159</v>
      </c>
      <c r="N141" s="27">
        <v>189</v>
      </c>
      <c r="O141" s="18">
        <f t="shared" si="14"/>
        <v>716</v>
      </c>
      <c r="P141" s="27">
        <v>139</v>
      </c>
      <c r="Q141" s="27"/>
      <c r="R141" s="27"/>
      <c r="X141" s="439"/>
      <c r="Y141" s="238"/>
      <c r="Z141" s="226" t="s">
        <v>211</v>
      </c>
      <c r="AA141" s="253">
        <f>AA140/12</f>
        <v>12.083333333333334</v>
      </c>
      <c r="AB141" s="253">
        <f>AB140/5</f>
        <v>14.2</v>
      </c>
      <c r="AC141" s="253">
        <f>AC140/15</f>
        <v>13.133333333333333</v>
      </c>
      <c r="AD141" s="253">
        <f>AD140/9</f>
        <v>13.444444444444445</v>
      </c>
      <c r="AE141" s="226"/>
    </row>
    <row r="142" spans="2:31" x14ac:dyDescent="0.2">
      <c r="B142" s="71" t="s">
        <v>31</v>
      </c>
      <c r="C142" s="12">
        <v>44</v>
      </c>
      <c r="D142" s="12">
        <v>68</v>
      </c>
      <c r="E142" s="23">
        <v>573</v>
      </c>
      <c r="F142" s="24">
        <v>153</v>
      </c>
      <c r="G142" s="12">
        <v>143</v>
      </c>
      <c r="H142" s="25">
        <v>214</v>
      </c>
      <c r="I142" s="26">
        <v>209</v>
      </c>
      <c r="J142" s="18">
        <f t="shared" si="16"/>
        <v>719</v>
      </c>
      <c r="K142" s="27">
        <v>226</v>
      </c>
      <c r="L142" s="27">
        <v>46</v>
      </c>
      <c r="M142" s="27">
        <v>95</v>
      </c>
      <c r="N142" s="27">
        <v>122</v>
      </c>
      <c r="O142" s="18">
        <f t="shared" si="14"/>
        <v>489</v>
      </c>
      <c r="P142" s="27">
        <v>110</v>
      </c>
      <c r="Q142" s="27"/>
      <c r="R142" s="27"/>
      <c r="X142" s="440" t="s">
        <v>171</v>
      </c>
      <c r="Y142" s="237"/>
      <c r="Z142" s="227" t="s">
        <v>212</v>
      </c>
      <c r="AA142" s="272">
        <f>AA143/AA144</f>
        <v>0.48103792415169661</v>
      </c>
      <c r="AB142" s="272">
        <v>0</v>
      </c>
      <c r="AC142" s="272">
        <f>AC143/AC144</f>
        <v>0.60444704505558811</v>
      </c>
      <c r="AD142" s="272">
        <f>AD143/AD144</f>
        <v>0.8947128532360985</v>
      </c>
      <c r="AE142" s="227"/>
    </row>
    <row r="143" spans="2:31" x14ac:dyDescent="0.2">
      <c r="B143" s="71" t="s">
        <v>32</v>
      </c>
      <c r="C143" s="12">
        <v>123</v>
      </c>
      <c r="D143" s="12">
        <v>203</v>
      </c>
      <c r="E143" s="23">
        <v>1755</v>
      </c>
      <c r="F143" s="24">
        <v>489</v>
      </c>
      <c r="G143" s="12">
        <v>527</v>
      </c>
      <c r="H143" s="25">
        <v>725</v>
      </c>
      <c r="I143" s="26">
        <v>854</v>
      </c>
      <c r="J143" s="18">
        <f t="shared" si="16"/>
        <v>2595</v>
      </c>
      <c r="K143" s="27">
        <v>1001</v>
      </c>
      <c r="L143" s="27">
        <v>133</v>
      </c>
      <c r="M143" s="27">
        <v>334</v>
      </c>
      <c r="N143" s="27">
        <v>519</v>
      </c>
      <c r="O143" s="18">
        <f t="shared" si="14"/>
        <v>1987</v>
      </c>
      <c r="P143" s="27">
        <v>374</v>
      </c>
      <c r="Q143" s="27"/>
      <c r="R143" s="27"/>
      <c r="X143" s="440"/>
      <c r="Y143" s="237"/>
      <c r="Z143" s="227" t="s">
        <v>217</v>
      </c>
      <c r="AA143" s="227">
        <v>241</v>
      </c>
      <c r="AB143" s="227">
        <v>0</v>
      </c>
      <c r="AC143" s="227">
        <v>2066</v>
      </c>
      <c r="AD143" s="227">
        <v>1963</v>
      </c>
      <c r="AE143" s="227"/>
    </row>
    <row r="144" spans="2:31" x14ac:dyDescent="0.2">
      <c r="B144" s="72" t="s">
        <v>33</v>
      </c>
      <c r="C144" s="73">
        <f>SUM(C140:C143)</f>
        <v>277</v>
      </c>
      <c r="D144" s="73">
        <f>SUM(D140:D143)</f>
        <v>425</v>
      </c>
      <c r="E144" s="74">
        <f>SUM(E140:E143)</f>
        <v>3715</v>
      </c>
      <c r="F144" s="73">
        <f t="shared" ref="F144:H144" si="17">SUM(F140:F143)</f>
        <v>977</v>
      </c>
      <c r="G144" s="73">
        <f t="shared" si="17"/>
        <v>1044</v>
      </c>
      <c r="H144" s="73">
        <f t="shared" si="17"/>
        <v>1390</v>
      </c>
      <c r="I144" s="73">
        <f>SUM(I140:I143)</f>
        <v>1584</v>
      </c>
      <c r="J144" s="18">
        <f>F144+G144+H144+I144</f>
        <v>4995</v>
      </c>
      <c r="K144" s="73">
        <f>SUM(K140:K143)</f>
        <v>1814</v>
      </c>
      <c r="L144" s="73">
        <f t="shared" ref="L144:M144" si="18">SUM(L140:L143)</f>
        <v>249</v>
      </c>
      <c r="M144" s="73">
        <f t="shared" si="18"/>
        <v>678</v>
      </c>
      <c r="N144" s="73">
        <f>SUM(N140:N143)</f>
        <v>942</v>
      </c>
      <c r="O144" s="18">
        <f t="shared" si="14"/>
        <v>3683</v>
      </c>
      <c r="P144" s="75"/>
      <c r="Q144" s="75"/>
      <c r="R144" s="75"/>
      <c r="X144" s="440"/>
      <c r="Y144" s="237"/>
      <c r="Z144" s="227" t="s">
        <v>218</v>
      </c>
      <c r="AA144" s="227">
        <v>501</v>
      </c>
      <c r="AB144" s="227">
        <v>0</v>
      </c>
      <c r="AC144" s="227">
        <v>3418</v>
      </c>
      <c r="AD144" s="227">
        <v>2194</v>
      </c>
      <c r="AE144" s="227"/>
    </row>
    <row r="145" spans="2:31" x14ac:dyDescent="0.2">
      <c r="B145" s="71" t="s">
        <v>34</v>
      </c>
      <c r="C145" s="26">
        <v>23</v>
      </c>
      <c r="D145" s="26">
        <v>21</v>
      </c>
      <c r="E145" s="54">
        <v>249</v>
      </c>
      <c r="F145" s="27">
        <v>61</v>
      </c>
      <c r="G145" s="26">
        <v>42</v>
      </c>
      <c r="H145" s="25">
        <v>45</v>
      </c>
      <c r="I145" s="26">
        <v>53</v>
      </c>
      <c r="J145" s="18">
        <f t="shared" ref="J145:J156" si="19">F145+G145+H145+I145</f>
        <v>201</v>
      </c>
      <c r="K145" s="27">
        <v>50</v>
      </c>
      <c r="L145" s="27">
        <v>37</v>
      </c>
      <c r="M145" s="27">
        <v>48</v>
      </c>
      <c r="N145" s="27">
        <v>63</v>
      </c>
      <c r="O145" s="18">
        <f t="shared" si="14"/>
        <v>198</v>
      </c>
      <c r="P145" s="27">
        <v>19</v>
      </c>
      <c r="Q145" s="27"/>
      <c r="R145" s="27"/>
      <c r="X145" s="441" t="s">
        <v>180</v>
      </c>
      <c r="Y145" s="239"/>
      <c r="Z145" s="228" t="s">
        <v>213</v>
      </c>
      <c r="AA145" s="274">
        <f>AA146/AA147</f>
        <v>0.40119760479041916</v>
      </c>
      <c r="AB145" s="274">
        <v>0</v>
      </c>
      <c r="AC145" s="274">
        <f>AC146/AC147</f>
        <v>0.45348156816851959</v>
      </c>
      <c r="AD145" s="274">
        <f>AD146/AD147</f>
        <v>0.77894257064721972</v>
      </c>
      <c r="AE145" s="228"/>
    </row>
    <row r="146" spans="2:31" x14ac:dyDescent="0.2">
      <c r="B146" s="71" t="s">
        <v>35</v>
      </c>
      <c r="C146" s="26">
        <v>20</v>
      </c>
      <c r="D146" s="26">
        <v>22</v>
      </c>
      <c r="E146" s="54">
        <v>195</v>
      </c>
      <c r="F146" s="27">
        <v>49</v>
      </c>
      <c r="G146" s="26">
        <v>34</v>
      </c>
      <c r="H146" s="25">
        <v>45</v>
      </c>
      <c r="I146" s="26">
        <v>44</v>
      </c>
      <c r="J146" s="18">
        <f t="shared" si="19"/>
        <v>172</v>
      </c>
      <c r="K146" s="27">
        <v>48</v>
      </c>
      <c r="L146" s="53">
        <v>37</v>
      </c>
      <c r="M146" s="53">
        <v>37</v>
      </c>
      <c r="N146" s="53">
        <v>65</v>
      </c>
      <c r="O146" s="18">
        <f t="shared" si="14"/>
        <v>187</v>
      </c>
      <c r="P146" s="27">
        <v>14</v>
      </c>
      <c r="Q146" s="53"/>
      <c r="R146" s="53"/>
      <c r="X146" s="441"/>
      <c r="Y146" s="239"/>
      <c r="Z146" s="228" t="s">
        <v>219</v>
      </c>
      <c r="AA146" s="228">
        <v>201</v>
      </c>
      <c r="AB146" s="228">
        <v>0</v>
      </c>
      <c r="AC146" s="228">
        <v>1550</v>
      </c>
      <c r="AD146" s="228">
        <v>1709</v>
      </c>
      <c r="AE146" s="228"/>
    </row>
    <row r="147" spans="2:31" x14ac:dyDescent="0.2">
      <c r="B147" s="71" t="s">
        <v>36</v>
      </c>
      <c r="C147" s="26">
        <v>14</v>
      </c>
      <c r="D147" s="26">
        <v>15</v>
      </c>
      <c r="E147" s="54">
        <v>145</v>
      </c>
      <c r="F147" s="27">
        <v>42</v>
      </c>
      <c r="G147" s="26">
        <v>42</v>
      </c>
      <c r="H147" s="25">
        <v>42</v>
      </c>
      <c r="I147" s="26">
        <v>32</v>
      </c>
      <c r="J147" s="18">
        <f t="shared" si="19"/>
        <v>158</v>
      </c>
      <c r="K147" s="27">
        <v>50</v>
      </c>
      <c r="L147" s="53">
        <v>31</v>
      </c>
      <c r="M147" s="53">
        <v>33</v>
      </c>
      <c r="N147" s="53">
        <v>59</v>
      </c>
      <c r="O147" s="18">
        <f t="shared" si="14"/>
        <v>173</v>
      </c>
      <c r="P147" s="27">
        <v>29</v>
      </c>
      <c r="Q147" s="53"/>
      <c r="R147" s="53"/>
      <c r="X147" s="441"/>
      <c r="Y147" s="239"/>
      <c r="Z147" s="228" t="s">
        <v>218</v>
      </c>
      <c r="AA147" s="228">
        <v>501</v>
      </c>
      <c r="AB147" s="228">
        <v>0</v>
      </c>
      <c r="AC147" s="228">
        <v>3418</v>
      </c>
      <c r="AD147" s="228">
        <v>2194</v>
      </c>
      <c r="AE147" s="228"/>
    </row>
    <row r="148" spans="2:31" x14ac:dyDescent="0.2">
      <c r="B148" s="71" t="s">
        <v>38</v>
      </c>
      <c r="C148" s="26">
        <v>0</v>
      </c>
      <c r="D148" s="26">
        <v>0</v>
      </c>
      <c r="E148" s="54">
        <v>0</v>
      </c>
      <c r="F148" s="27">
        <v>0</v>
      </c>
      <c r="G148" s="26">
        <v>0</v>
      </c>
      <c r="H148" s="25">
        <v>103</v>
      </c>
      <c r="I148" s="26">
        <v>344</v>
      </c>
      <c r="J148" s="18">
        <f t="shared" si="19"/>
        <v>447</v>
      </c>
      <c r="K148" s="27">
        <v>0</v>
      </c>
      <c r="L148" s="27">
        <v>0</v>
      </c>
      <c r="M148" s="27">
        <v>0</v>
      </c>
      <c r="N148" s="27">
        <v>0</v>
      </c>
      <c r="O148" s="18">
        <f t="shared" si="14"/>
        <v>0</v>
      </c>
      <c r="P148" s="27">
        <v>0</v>
      </c>
      <c r="Q148" s="27"/>
      <c r="R148" s="27"/>
      <c r="X148" s="442" t="s">
        <v>173</v>
      </c>
      <c r="Y148" s="240"/>
      <c r="Z148" s="229" t="s">
        <v>214</v>
      </c>
      <c r="AA148" s="254">
        <f>(E127+E130)/(E126+E129)</f>
        <v>0.20966093822573154</v>
      </c>
      <c r="AB148" s="254">
        <f>(C127+D127+F127+C130+D130+F130)/(C126+D126+F126+C129+D129+F129)</f>
        <v>0.23398157625383828</v>
      </c>
      <c r="AC148" s="254">
        <f>(G127+H127+I127+K127+L127+G130+H130+I130+K130+L130)/(G126+H126+I126+K126+L126+G129+H129+I129+K129+L129)</f>
        <v>0.74931956827780388</v>
      </c>
      <c r="AD148" s="254">
        <f>(M127+N127+P127+M130+N130+P130)/(M126+N126+P126+M129+N129+P129)</f>
        <v>0.73151750972762641</v>
      </c>
      <c r="AE148" s="254">
        <f>(M127+N127+P127+Q127+R127+M130+N130+P130+Q130+R130)/(M126+N126+P126+Q126+R126+M129+N129+P129+Q129+R129)</f>
        <v>0.73151750972762641</v>
      </c>
    </row>
    <row r="149" spans="2:31" x14ac:dyDescent="0.2">
      <c r="B149" s="71" t="s">
        <v>37</v>
      </c>
      <c r="C149" s="26">
        <v>277</v>
      </c>
      <c r="D149" s="26">
        <v>425</v>
      </c>
      <c r="E149" s="54">
        <v>4422</v>
      </c>
      <c r="F149" s="27">
        <v>977</v>
      </c>
      <c r="G149" s="26">
        <v>1044</v>
      </c>
      <c r="H149" s="25">
        <v>1276</v>
      </c>
      <c r="I149" s="26">
        <v>109</v>
      </c>
      <c r="J149" s="18">
        <f t="shared" si="19"/>
        <v>3406</v>
      </c>
      <c r="K149" s="27">
        <v>163</v>
      </c>
      <c r="L149" s="27">
        <v>249</v>
      </c>
      <c r="M149" s="27">
        <v>678</v>
      </c>
      <c r="N149" s="27">
        <v>942</v>
      </c>
      <c r="O149" s="18">
        <f t="shared" si="14"/>
        <v>2032</v>
      </c>
      <c r="P149" s="27">
        <v>672</v>
      </c>
      <c r="Q149" s="27"/>
      <c r="R149" s="27"/>
      <c r="X149" s="442"/>
      <c r="Y149" s="240"/>
      <c r="Z149" s="229" t="s">
        <v>215</v>
      </c>
      <c r="AA149" s="255">
        <f>(E127+E130)</f>
        <v>2257</v>
      </c>
      <c r="AB149" s="255">
        <f>(C127+D127+F127+C130+D130+F130)</f>
        <v>1143</v>
      </c>
      <c r="AC149" s="255">
        <f>G127+H127+I127+K127+L127+G130+H130+I130+K130+L130</f>
        <v>7984</v>
      </c>
      <c r="AD149" s="255">
        <f>M127+N127+P127+M130+N130+P130</f>
        <v>4700</v>
      </c>
      <c r="AE149" s="255">
        <f>(M127+N127+P127+Q127+R127+M130+N130+P130+Q130+R130)</f>
        <v>4700</v>
      </c>
    </row>
    <row r="150" spans="2:31" x14ac:dyDescent="0.2">
      <c r="B150" s="71" t="s">
        <v>40</v>
      </c>
      <c r="C150" s="26">
        <v>0</v>
      </c>
      <c r="D150" s="26">
        <v>0</v>
      </c>
      <c r="E150" s="54">
        <v>0</v>
      </c>
      <c r="F150" s="27">
        <v>0</v>
      </c>
      <c r="G150" s="26">
        <v>0</v>
      </c>
      <c r="H150" s="25">
        <v>133</v>
      </c>
      <c r="I150" s="26">
        <v>324</v>
      </c>
      <c r="J150" s="18">
        <f t="shared" si="19"/>
        <v>457</v>
      </c>
      <c r="K150" s="27">
        <v>22</v>
      </c>
      <c r="L150" s="27">
        <v>0</v>
      </c>
      <c r="M150" s="27">
        <v>0</v>
      </c>
      <c r="N150" s="27">
        <v>0</v>
      </c>
      <c r="O150" s="18">
        <f t="shared" si="14"/>
        <v>22</v>
      </c>
      <c r="P150" s="27">
        <v>7</v>
      </c>
      <c r="Q150" s="27"/>
      <c r="R150" s="27"/>
      <c r="X150" s="442"/>
      <c r="Y150" s="240"/>
      <c r="Z150" s="229" t="s">
        <v>216</v>
      </c>
      <c r="AA150" s="255">
        <f>E126+E129</f>
        <v>10765</v>
      </c>
      <c r="AB150" s="255">
        <f>(C126+D126+F126+C129+D129+F129)</f>
        <v>4885</v>
      </c>
      <c r="AC150" s="255">
        <f>G126+H126+I126+K126+L126+G129+H129+I129+K129+L129</f>
        <v>10655</v>
      </c>
      <c r="AD150" s="255">
        <f>(M126+N126+P126+M129+N129+P129)</f>
        <v>6425</v>
      </c>
      <c r="AE150" s="255">
        <f>(M126+N126+P126+Q126+R126+M129+N129+P129+Q129+R129)</f>
        <v>6425</v>
      </c>
    </row>
    <row r="151" spans="2:31" x14ac:dyDescent="0.2">
      <c r="B151" s="71" t="s">
        <v>39</v>
      </c>
      <c r="C151" s="26">
        <v>734</v>
      </c>
      <c r="D151" s="26">
        <v>523</v>
      </c>
      <c r="E151" s="54">
        <v>7502</v>
      </c>
      <c r="F151" s="27">
        <v>2122</v>
      </c>
      <c r="G151" s="26">
        <v>2376</v>
      </c>
      <c r="H151" s="25">
        <v>2115</v>
      </c>
      <c r="I151" s="26">
        <v>189</v>
      </c>
      <c r="J151" s="18">
        <f t="shared" si="19"/>
        <v>6802</v>
      </c>
      <c r="K151" s="27">
        <v>521</v>
      </c>
      <c r="L151" s="27">
        <v>1074</v>
      </c>
      <c r="M151" s="27">
        <v>1820</v>
      </c>
      <c r="N151" s="27">
        <v>1776</v>
      </c>
      <c r="O151" s="18">
        <f t="shared" si="14"/>
        <v>5191</v>
      </c>
      <c r="P151" s="27">
        <v>1788</v>
      </c>
      <c r="Q151" s="27"/>
      <c r="R151" s="27"/>
      <c r="X151" s="423" t="s">
        <v>174</v>
      </c>
      <c r="Y151" s="241"/>
      <c r="Z151" s="230" t="s">
        <v>220</v>
      </c>
      <c r="AA151" s="256">
        <f>E144</f>
        <v>3715</v>
      </c>
      <c r="AB151" s="256">
        <f>C144+D144+F144</f>
        <v>1679</v>
      </c>
      <c r="AC151" s="256">
        <f>G144+H144+I144+K144+L144</f>
        <v>6081</v>
      </c>
      <c r="AD151" s="256">
        <f>M144+N144+P144</f>
        <v>1620</v>
      </c>
      <c r="AE151" s="256">
        <f>M144+N144+P144+Q144+R144</f>
        <v>1620</v>
      </c>
    </row>
    <row r="152" spans="2:31" x14ac:dyDescent="0.2">
      <c r="B152" s="71" t="s">
        <v>42</v>
      </c>
      <c r="C152" s="26">
        <v>0</v>
      </c>
      <c r="D152" s="26">
        <v>0</v>
      </c>
      <c r="E152" s="54">
        <v>0</v>
      </c>
      <c r="F152" s="27">
        <v>0</v>
      </c>
      <c r="G152" s="26">
        <v>0</v>
      </c>
      <c r="H152" s="25">
        <v>0</v>
      </c>
      <c r="I152" s="26">
        <v>0</v>
      </c>
      <c r="J152" s="18">
        <f t="shared" si="19"/>
        <v>0</v>
      </c>
      <c r="K152" s="27">
        <v>0</v>
      </c>
      <c r="L152" s="27">
        <v>0</v>
      </c>
      <c r="M152" s="27">
        <v>0</v>
      </c>
      <c r="N152" s="27">
        <v>0</v>
      </c>
      <c r="O152" s="18">
        <f t="shared" si="14"/>
        <v>0</v>
      </c>
      <c r="P152" s="27">
        <v>0</v>
      </c>
      <c r="Q152" s="27"/>
      <c r="R152" s="27"/>
      <c r="X152" s="423"/>
      <c r="Y152" s="241"/>
      <c r="Z152" s="230" t="s">
        <v>221</v>
      </c>
      <c r="AA152" s="260">
        <f>AA151/12</f>
        <v>309.58333333333331</v>
      </c>
      <c r="AB152" s="260">
        <f>AB151/5</f>
        <v>335.8</v>
      </c>
      <c r="AC152" s="260">
        <f>AC151/15</f>
        <v>405.4</v>
      </c>
      <c r="AD152" s="260">
        <f>AD151/9</f>
        <v>180</v>
      </c>
      <c r="AE152" s="230"/>
    </row>
    <row r="153" spans="2:31" x14ac:dyDescent="0.2">
      <c r="B153" s="71" t="s">
        <v>41</v>
      </c>
      <c r="C153" s="26">
        <v>0</v>
      </c>
      <c r="D153" s="189">
        <v>11</v>
      </c>
      <c r="E153" s="54">
        <v>34</v>
      </c>
      <c r="F153" s="27">
        <v>6</v>
      </c>
      <c r="G153" s="26">
        <v>11</v>
      </c>
      <c r="H153" s="25">
        <v>13</v>
      </c>
      <c r="I153" s="26">
        <v>0</v>
      </c>
      <c r="J153" s="18">
        <f t="shared" si="19"/>
        <v>30</v>
      </c>
      <c r="K153" s="27">
        <v>9</v>
      </c>
      <c r="L153" s="53">
        <v>9</v>
      </c>
      <c r="M153" s="53">
        <v>29</v>
      </c>
      <c r="N153" s="53">
        <v>14</v>
      </c>
      <c r="O153" s="18">
        <f t="shared" si="14"/>
        <v>61</v>
      </c>
      <c r="P153" s="27">
        <v>23</v>
      </c>
      <c r="Q153" s="53"/>
      <c r="R153" s="53"/>
      <c r="X153" s="446" t="s">
        <v>175</v>
      </c>
      <c r="Y153" s="242"/>
      <c r="Z153" s="231" t="s">
        <v>178</v>
      </c>
      <c r="AA153" s="261">
        <f>E128+E131</f>
        <v>3531</v>
      </c>
      <c r="AB153" s="261">
        <f>C128+D128+F128+C131+D131+F131</f>
        <v>1629</v>
      </c>
      <c r="AC153" s="261">
        <f>G128+H128+I128+K128+L128+G131+H131+I131+K131+L131</f>
        <v>2917</v>
      </c>
      <c r="AD153" s="261">
        <f>M128+N128+P128+M131+N131+P131</f>
        <v>2215</v>
      </c>
      <c r="AE153" s="261">
        <f>M128+N128+P128+Q128+R128+M131+N131+P131+Q131+R131</f>
        <v>2215</v>
      </c>
    </row>
    <row r="154" spans="2:31" x14ac:dyDescent="0.2">
      <c r="B154" s="71" t="s">
        <v>44</v>
      </c>
      <c r="C154" s="26">
        <v>0</v>
      </c>
      <c r="D154" s="26">
        <v>0</v>
      </c>
      <c r="E154" s="54">
        <v>0</v>
      </c>
      <c r="F154" s="27">
        <v>0</v>
      </c>
      <c r="G154" s="26">
        <v>0</v>
      </c>
      <c r="H154" s="25">
        <v>236</v>
      </c>
      <c r="I154" s="26">
        <v>668</v>
      </c>
      <c r="J154" s="18">
        <f t="shared" si="19"/>
        <v>904</v>
      </c>
      <c r="K154" s="27">
        <v>22</v>
      </c>
      <c r="L154" s="26">
        <v>0</v>
      </c>
      <c r="M154" s="26">
        <v>0</v>
      </c>
      <c r="N154" s="26">
        <v>0</v>
      </c>
      <c r="O154" s="18">
        <f t="shared" si="14"/>
        <v>22</v>
      </c>
      <c r="P154" s="27">
        <v>7</v>
      </c>
      <c r="Q154" s="26"/>
      <c r="R154" s="26"/>
      <c r="X154" s="446"/>
      <c r="Y154" s="242"/>
      <c r="Z154" s="231" t="s">
        <v>222</v>
      </c>
      <c r="AA154" s="262">
        <f>AA153/12</f>
        <v>294.25</v>
      </c>
      <c r="AB154" s="262">
        <f>AB153/5</f>
        <v>325.8</v>
      </c>
      <c r="AC154" s="262">
        <f>AC153/15</f>
        <v>194.46666666666667</v>
      </c>
      <c r="AD154" s="262">
        <f>AD153/9</f>
        <v>246.11111111111111</v>
      </c>
      <c r="AE154" s="242"/>
    </row>
    <row r="155" spans="2:31" x14ac:dyDescent="0.2">
      <c r="B155" s="71" t="s">
        <v>43</v>
      </c>
      <c r="C155" s="26">
        <v>1011</v>
      </c>
      <c r="D155" s="26">
        <v>948</v>
      </c>
      <c r="E155" s="54">
        <v>11924</v>
      </c>
      <c r="F155" s="27">
        <v>3089</v>
      </c>
      <c r="G155" s="26">
        <v>3420</v>
      </c>
      <c r="H155" s="25">
        <v>3391</v>
      </c>
      <c r="I155" s="26">
        <v>298</v>
      </c>
      <c r="J155" s="18">
        <f t="shared" si="19"/>
        <v>10198</v>
      </c>
      <c r="K155" s="27">
        <v>684</v>
      </c>
      <c r="L155" s="26">
        <v>1323</v>
      </c>
      <c r="M155" s="26">
        <v>2498</v>
      </c>
      <c r="N155" s="26">
        <v>2718</v>
      </c>
      <c r="O155" s="18">
        <f t="shared" si="14"/>
        <v>7223</v>
      </c>
      <c r="P155" s="27">
        <v>2460</v>
      </c>
      <c r="Q155" s="26"/>
      <c r="R155" s="26"/>
      <c r="X155" s="446"/>
      <c r="Y155" s="242"/>
      <c r="Z155" s="231" t="s">
        <v>179</v>
      </c>
      <c r="AA155" s="261">
        <f>E148+E149</f>
        <v>4422</v>
      </c>
      <c r="AB155" s="261">
        <f>C148+D148+F148+C149+D149+F149</f>
        <v>1679</v>
      </c>
      <c r="AC155" s="261">
        <f>G148+H148+I148+K148+L148+G149+H149+I149+K149+L149</f>
        <v>3288</v>
      </c>
      <c r="AD155" s="261">
        <f>M148+N148+P148+M149+N149+P149</f>
        <v>2292</v>
      </c>
      <c r="AE155" s="261">
        <f>M148+N148+P148+Q148+R148+M149+N149+P149+Q149+R149</f>
        <v>2292</v>
      </c>
    </row>
    <row r="156" spans="2:31" ht="16" thickBot="1" x14ac:dyDescent="0.25">
      <c r="B156" s="76" t="s">
        <v>45</v>
      </c>
      <c r="C156" s="34">
        <v>0</v>
      </c>
      <c r="D156" s="34">
        <v>0</v>
      </c>
      <c r="E156" s="47">
        <v>0</v>
      </c>
      <c r="F156" s="48">
        <v>0</v>
      </c>
      <c r="G156" s="34">
        <v>0</v>
      </c>
      <c r="H156" s="33">
        <v>11</v>
      </c>
      <c r="I156" s="34">
        <v>1131</v>
      </c>
      <c r="J156" s="38">
        <f t="shared" si="19"/>
        <v>1142</v>
      </c>
      <c r="K156" s="48">
        <v>1033</v>
      </c>
      <c r="L156" s="77">
        <v>0</v>
      </c>
      <c r="M156" s="77">
        <v>0</v>
      </c>
      <c r="N156" s="77">
        <v>0</v>
      </c>
      <c r="O156" s="18">
        <f t="shared" si="14"/>
        <v>1033</v>
      </c>
      <c r="P156" s="48">
        <v>41</v>
      </c>
      <c r="Q156" s="77"/>
      <c r="R156" s="77"/>
      <c r="X156" s="446"/>
      <c r="Y156" s="242"/>
      <c r="Z156" s="231" t="s">
        <v>223</v>
      </c>
      <c r="AA156" s="261">
        <f>AA155/12</f>
        <v>368.5</v>
      </c>
      <c r="AB156" s="261">
        <f>AB155/5</f>
        <v>335.8</v>
      </c>
      <c r="AC156" s="261">
        <f>AC155/15</f>
        <v>219.2</v>
      </c>
      <c r="AD156" s="261">
        <f>AD155/9</f>
        <v>254.66666666666666</v>
      </c>
      <c r="AE156" s="261"/>
    </row>
    <row r="157" spans="2:31" ht="16" thickTop="1" x14ac:dyDescent="0.2">
      <c r="B157" s="164" t="s">
        <v>133</v>
      </c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4">
        <f>11+12+8+35</f>
        <v>66</v>
      </c>
      <c r="O157" s="42">
        <f>SUM(N157)</f>
        <v>66</v>
      </c>
      <c r="P157" s="194">
        <f>25.5+27+27</f>
        <v>79.5</v>
      </c>
      <c r="Q157" s="194">
        <v>0</v>
      </c>
      <c r="R157" s="194">
        <v>0</v>
      </c>
      <c r="X157" s="232" t="s">
        <v>176</v>
      </c>
      <c r="Y157" s="232"/>
      <c r="Z157" s="233" t="s">
        <v>224</v>
      </c>
      <c r="AA157" s="263" t="s">
        <v>237</v>
      </c>
      <c r="AB157" s="263" t="s">
        <v>277</v>
      </c>
      <c r="AC157" s="264" t="s">
        <v>278</v>
      </c>
      <c r="AD157" s="263" t="s">
        <v>272</v>
      </c>
      <c r="AE157" s="258"/>
    </row>
    <row r="158" spans="2:31" x14ac:dyDescent="0.2">
      <c r="B158" s="165" t="s">
        <v>148</v>
      </c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88">
        <v>200</v>
      </c>
      <c r="O158" s="18">
        <f t="shared" ref="O158:O172" si="20">SUM(N158)</f>
        <v>200</v>
      </c>
      <c r="P158" s="188">
        <v>166</v>
      </c>
      <c r="Q158" s="188">
        <v>0</v>
      </c>
      <c r="R158" s="188">
        <v>0</v>
      </c>
      <c r="X158" s="234" t="s">
        <v>177</v>
      </c>
      <c r="Y158" s="234"/>
      <c r="Z158" s="235" t="s">
        <v>225</v>
      </c>
      <c r="AA158" s="265" t="s">
        <v>241</v>
      </c>
      <c r="AB158" s="265" t="s">
        <v>242</v>
      </c>
      <c r="AC158" s="265" t="s">
        <v>290</v>
      </c>
      <c r="AD158" s="265" t="s">
        <v>276</v>
      </c>
      <c r="AE158" s="259"/>
    </row>
    <row r="159" spans="2:31" x14ac:dyDescent="0.2">
      <c r="B159" s="165" t="s">
        <v>134</v>
      </c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88">
        <v>11</v>
      </c>
      <c r="O159" s="18">
        <f t="shared" si="20"/>
        <v>11</v>
      </c>
      <c r="P159" s="188">
        <v>0</v>
      </c>
      <c r="Q159" s="188">
        <v>0</v>
      </c>
      <c r="R159" s="188">
        <v>0</v>
      </c>
    </row>
    <row r="160" spans="2:31" x14ac:dyDescent="0.2">
      <c r="B160" s="165" t="s">
        <v>183</v>
      </c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5">
        <v>13</v>
      </c>
      <c r="O160" s="18">
        <f t="shared" si="20"/>
        <v>13</v>
      </c>
      <c r="P160" s="188">
        <v>25</v>
      </c>
      <c r="Q160" s="188">
        <v>0</v>
      </c>
      <c r="R160" s="188">
        <v>0</v>
      </c>
    </row>
    <row r="161" spans="2:18" x14ac:dyDescent="0.2">
      <c r="B161" s="165" t="s">
        <v>136</v>
      </c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5">
        <v>8</v>
      </c>
      <c r="O161" s="18"/>
      <c r="P161" s="195">
        <v>27</v>
      </c>
      <c r="Q161" s="188"/>
      <c r="R161" s="188"/>
    </row>
    <row r="162" spans="2:18" x14ac:dyDescent="0.2">
      <c r="B162" s="165" t="s">
        <v>184</v>
      </c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5">
        <v>35</v>
      </c>
      <c r="O162" s="18"/>
      <c r="P162" s="188">
        <v>27</v>
      </c>
      <c r="Q162" s="188"/>
      <c r="R162" s="188"/>
    </row>
    <row r="163" spans="2:18" x14ac:dyDescent="0.2">
      <c r="B163" s="165" t="s">
        <v>138</v>
      </c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5">
        <v>6</v>
      </c>
      <c r="O163" s="18">
        <f t="shared" si="20"/>
        <v>6</v>
      </c>
      <c r="P163" s="195">
        <v>1</v>
      </c>
      <c r="Q163" s="195">
        <v>0</v>
      </c>
      <c r="R163" s="195">
        <v>0</v>
      </c>
    </row>
    <row r="164" spans="2:18" x14ac:dyDescent="0.2">
      <c r="B164" s="165" t="s">
        <v>143</v>
      </c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5">
        <v>21</v>
      </c>
      <c r="O164" s="18"/>
      <c r="P164" s="195">
        <v>8</v>
      </c>
      <c r="Q164" s="195"/>
      <c r="R164" s="195"/>
    </row>
    <row r="165" spans="2:18" x14ac:dyDescent="0.2">
      <c r="B165" s="165" t="s">
        <v>140</v>
      </c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5">
        <v>0</v>
      </c>
      <c r="O165" s="18">
        <f t="shared" si="20"/>
        <v>0</v>
      </c>
      <c r="P165" s="195">
        <v>0</v>
      </c>
      <c r="Q165" s="188">
        <v>0</v>
      </c>
      <c r="R165" s="188">
        <v>0</v>
      </c>
    </row>
    <row r="166" spans="2:18" x14ac:dyDescent="0.2">
      <c r="B166" s="165" t="s">
        <v>141</v>
      </c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5">
        <v>27</v>
      </c>
      <c r="O166" s="18">
        <f t="shared" si="20"/>
        <v>27</v>
      </c>
      <c r="P166" s="195">
        <v>9</v>
      </c>
      <c r="Q166" s="195">
        <v>0</v>
      </c>
      <c r="R166" s="195">
        <v>0</v>
      </c>
    </row>
    <row r="167" spans="2:18" x14ac:dyDescent="0.2">
      <c r="B167" s="165" t="s">
        <v>146</v>
      </c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5">
        <v>0</v>
      </c>
      <c r="O167" s="18">
        <f t="shared" si="20"/>
        <v>0</v>
      </c>
      <c r="P167" s="195">
        <v>0</v>
      </c>
      <c r="Q167" s="195">
        <v>0</v>
      </c>
      <c r="R167" s="195">
        <v>0</v>
      </c>
    </row>
    <row r="168" spans="2:18" x14ac:dyDescent="0.2">
      <c r="B168" s="165" t="s">
        <v>147</v>
      </c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5">
        <v>48</v>
      </c>
      <c r="O168" s="18">
        <f t="shared" si="20"/>
        <v>48</v>
      </c>
      <c r="P168" s="195">
        <v>66</v>
      </c>
      <c r="Q168" s="195">
        <v>0</v>
      </c>
      <c r="R168" s="195">
        <v>0</v>
      </c>
    </row>
    <row r="169" spans="2:18" x14ac:dyDescent="0.2">
      <c r="B169" s="165" t="s">
        <v>143</v>
      </c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5">
        <v>126</v>
      </c>
      <c r="O169" s="18">
        <f t="shared" si="20"/>
        <v>126</v>
      </c>
      <c r="P169" s="195">
        <v>70</v>
      </c>
      <c r="Q169" s="195">
        <v>0</v>
      </c>
      <c r="R169" s="195">
        <v>0</v>
      </c>
    </row>
    <row r="170" spans="2:18" ht="16" thickBot="1" x14ac:dyDescent="0.25">
      <c r="B170" s="166" t="s">
        <v>144</v>
      </c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6">
        <v>0</v>
      </c>
      <c r="O170" s="38">
        <f t="shared" si="20"/>
        <v>0</v>
      </c>
      <c r="P170" s="195">
        <v>0</v>
      </c>
      <c r="Q170" s="195">
        <v>0</v>
      </c>
      <c r="R170" s="195">
        <v>0</v>
      </c>
    </row>
    <row r="171" spans="2:18" ht="16" thickTop="1" x14ac:dyDescent="0.2">
      <c r="B171" s="165" t="s">
        <v>145</v>
      </c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215">
        <v>174</v>
      </c>
      <c r="O171" s="18">
        <f t="shared" si="20"/>
        <v>174</v>
      </c>
      <c r="P171" s="195">
        <v>142</v>
      </c>
      <c r="Q171" s="195">
        <v>0</v>
      </c>
      <c r="R171" s="195">
        <v>0</v>
      </c>
    </row>
    <row r="172" spans="2:18" ht="16" thickBot="1" x14ac:dyDescent="0.25">
      <c r="B172" s="165" t="s">
        <v>146</v>
      </c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215">
        <v>1</v>
      </c>
      <c r="O172" s="18">
        <f t="shared" si="20"/>
        <v>1</v>
      </c>
      <c r="P172" s="196">
        <v>7</v>
      </c>
      <c r="Q172" s="195">
        <v>0</v>
      </c>
      <c r="R172" s="195">
        <v>0</v>
      </c>
    </row>
    <row r="173" spans="2:18" ht="16" thickTop="1" x14ac:dyDescent="0.2"/>
  </sheetData>
  <mergeCells count="35">
    <mergeCell ref="X148:X150"/>
    <mergeCell ref="X151:X152"/>
    <mergeCell ref="X153:X156"/>
    <mergeCell ref="Y14:Y16"/>
    <mergeCell ref="Y17:Y19"/>
    <mergeCell ref="X20:X31"/>
    <mergeCell ref="Y20:Y23"/>
    <mergeCell ref="Y24:Y27"/>
    <mergeCell ref="Y28:Y31"/>
    <mergeCell ref="X11:X19"/>
    <mergeCell ref="Y11:Y13"/>
    <mergeCell ref="X32:X40"/>
    <mergeCell ref="Y32:Y34"/>
    <mergeCell ref="Y35:Y37"/>
    <mergeCell ref="Y38:Y40"/>
    <mergeCell ref="X41:X43"/>
    <mergeCell ref="X1:Z1"/>
    <mergeCell ref="X2:X10"/>
    <mergeCell ref="Y2:Y4"/>
    <mergeCell ref="Y5:Y7"/>
    <mergeCell ref="Y8:Y10"/>
    <mergeCell ref="X44:X47"/>
    <mergeCell ref="X81:Z81"/>
    <mergeCell ref="X82:X83"/>
    <mergeCell ref="X84:X86"/>
    <mergeCell ref="X87:X89"/>
    <mergeCell ref="X139:Z139"/>
    <mergeCell ref="X140:X141"/>
    <mergeCell ref="X142:X144"/>
    <mergeCell ref="X145:X147"/>
    <mergeCell ref="X90:X92"/>
    <mergeCell ref="X93:X94"/>
    <mergeCell ref="X95:X98"/>
    <mergeCell ref="X109:X112"/>
    <mergeCell ref="X115:X1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396-8F2E-4813-873D-D5A9F71F49B5}">
  <dimension ref="A1:AV76"/>
  <sheetViews>
    <sheetView zoomScale="68" workbookViewId="0">
      <pane xSplit="3" ySplit="1" topLeftCell="AE41" activePane="bottomRight" state="frozen"/>
      <selection pane="topRight" activeCell="D1" sqref="D1"/>
      <selection pane="bottomLeft" activeCell="A2" sqref="A2"/>
      <selection pane="bottomRight" activeCell="BS80" sqref="BS80"/>
    </sheetView>
  </sheetViews>
  <sheetFormatPr baseColWidth="10" defaultColWidth="8.83203125" defaultRowHeight="15" x14ac:dyDescent="0.2"/>
  <cols>
    <col min="2" max="2" width="11" customWidth="1"/>
    <col min="3" max="3" width="12.1640625" customWidth="1"/>
    <col min="4" max="30" width="8.83203125" hidden="1" customWidth="1"/>
    <col min="31" max="32" width="8.83203125" customWidth="1"/>
    <col min="33" max="33" width="8.83203125" hidden="1" customWidth="1"/>
    <col min="34" max="35" width="8.83203125" customWidth="1"/>
    <col min="36" max="36" width="8.83203125" hidden="1" customWidth="1"/>
    <col min="37" max="39" width="0" hidden="1" customWidth="1"/>
    <col min="40" max="40" width="12.1640625" bestFit="1" customWidth="1"/>
    <col min="41" max="41" width="12.1640625" customWidth="1"/>
    <col min="42" max="42" width="12.1640625" hidden="1" customWidth="1"/>
    <col min="43" max="48" width="0" hidden="1" customWidth="1"/>
  </cols>
  <sheetData>
    <row r="1" spans="1:48" x14ac:dyDescent="0.2">
      <c r="D1" s="491" t="s">
        <v>95</v>
      </c>
      <c r="E1" s="491"/>
      <c r="F1" s="491"/>
      <c r="G1" s="436" t="s">
        <v>115</v>
      </c>
      <c r="H1" s="437"/>
      <c r="I1" s="494"/>
      <c r="J1" s="438" t="s">
        <v>96</v>
      </c>
      <c r="K1" s="491"/>
      <c r="L1" s="491"/>
      <c r="M1" s="491" t="s">
        <v>97</v>
      </c>
      <c r="N1" s="491"/>
      <c r="O1" s="491"/>
      <c r="P1" s="491" t="s">
        <v>98</v>
      </c>
      <c r="Q1" s="491"/>
      <c r="R1" s="491"/>
      <c r="S1" s="491" t="s">
        <v>99</v>
      </c>
      <c r="T1" s="491"/>
      <c r="U1" s="491"/>
      <c r="V1" s="491" t="s">
        <v>104</v>
      </c>
      <c r="W1" s="491"/>
      <c r="X1" s="495"/>
      <c r="Y1" s="438" t="s">
        <v>100</v>
      </c>
      <c r="Z1" s="491"/>
      <c r="AA1" s="491"/>
      <c r="AB1" s="491" t="s">
        <v>101</v>
      </c>
      <c r="AC1" s="491"/>
      <c r="AD1" s="491"/>
      <c r="AE1" s="491" t="s">
        <v>102</v>
      </c>
      <c r="AF1" s="491"/>
      <c r="AG1" s="491"/>
      <c r="AH1" s="491" t="s">
        <v>103</v>
      </c>
      <c r="AI1" s="491"/>
      <c r="AJ1" s="491"/>
      <c r="AK1" s="491" t="s">
        <v>105</v>
      </c>
      <c r="AL1" s="491"/>
      <c r="AM1" s="436"/>
      <c r="AN1" s="492" t="s">
        <v>106</v>
      </c>
      <c r="AO1" s="491"/>
      <c r="AP1" s="491"/>
      <c r="AQ1" s="493">
        <v>45748</v>
      </c>
      <c r="AR1" s="493"/>
      <c r="AS1" s="493"/>
      <c r="AT1" s="493">
        <v>45778</v>
      </c>
      <c r="AU1" s="493"/>
      <c r="AV1" s="493"/>
    </row>
    <row r="2" spans="1:48" ht="64" x14ac:dyDescent="0.2">
      <c r="A2" s="84" t="s">
        <v>68</v>
      </c>
      <c r="B2" s="84" t="s">
        <v>69</v>
      </c>
      <c r="C2" s="95" t="s">
        <v>70</v>
      </c>
      <c r="D2" s="88" t="s">
        <v>92</v>
      </c>
      <c r="E2" s="88" t="s">
        <v>93</v>
      </c>
      <c r="F2" s="88" t="s">
        <v>94</v>
      </c>
      <c r="G2" s="90" t="s">
        <v>92</v>
      </c>
      <c r="H2" s="88" t="s">
        <v>93</v>
      </c>
      <c r="I2" s="91" t="s">
        <v>94</v>
      </c>
      <c r="J2" s="90" t="s">
        <v>92</v>
      </c>
      <c r="K2" s="88" t="s">
        <v>93</v>
      </c>
      <c r="L2" s="88" t="s">
        <v>94</v>
      </c>
      <c r="M2" s="90" t="s">
        <v>92</v>
      </c>
      <c r="N2" s="88" t="s">
        <v>93</v>
      </c>
      <c r="O2" s="88" t="s">
        <v>94</v>
      </c>
      <c r="P2" s="90" t="s">
        <v>92</v>
      </c>
      <c r="Q2" s="88" t="s">
        <v>93</v>
      </c>
      <c r="R2" s="88" t="s">
        <v>94</v>
      </c>
      <c r="S2" s="90" t="s">
        <v>92</v>
      </c>
      <c r="T2" s="88" t="s">
        <v>93</v>
      </c>
      <c r="U2" s="88" t="s">
        <v>94</v>
      </c>
      <c r="V2" s="90" t="s">
        <v>92</v>
      </c>
      <c r="W2" s="88" t="s">
        <v>93</v>
      </c>
      <c r="X2" s="93" t="s">
        <v>94</v>
      </c>
      <c r="Y2" s="94" t="s">
        <v>92</v>
      </c>
      <c r="Z2" s="88" t="s">
        <v>93</v>
      </c>
      <c r="AA2" s="88" t="s">
        <v>94</v>
      </c>
      <c r="AB2" s="90" t="s">
        <v>92</v>
      </c>
      <c r="AC2" s="88" t="s">
        <v>93</v>
      </c>
      <c r="AD2" s="88" t="s">
        <v>94</v>
      </c>
      <c r="AE2" s="90" t="s">
        <v>92</v>
      </c>
      <c r="AF2" s="88" t="s">
        <v>93</v>
      </c>
      <c r="AG2" s="88" t="s">
        <v>94</v>
      </c>
      <c r="AH2" s="90" t="s">
        <v>92</v>
      </c>
      <c r="AI2" s="88" t="s">
        <v>93</v>
      </c>
      <c r="AJ2" s="88" t="s">
        <v>94</v>
      </c>
      <c r="AK2" s="90" t="s">
        <v>92</v>
      </c>
      <c r="AL2" s="88" t="s">
        <v>93</v>
      </c>
      <c r="AM2" s="91" t="s">
        <v>94</v>
      </c>
      <c r="AN2" s="90" t="s">
        <v>92</v>
      </c>
      <c r="AO2" s="88" t="s">
        <v>93</v>
      </c>
      <c r="AP2" s="88" t="s">
        <v>94</v>
      </c>
      <c r="AQ2" s="90" t="s">
        <v>92</v>
      </c>
      <c r="AR2" s="88" t="s">
        <v>93</v>
      </c>
      <c r="AS2" s="88" t="s">
        <v>94</v>
      </c>
      <c r="AT2" s="90" t="s">
        <v>92</v>
      </c>
      <c r="AU2" s="88" t="s">
        <v>93</v>
      </c>
      <c r="AV2" s="88" t="s">
        <v>94</v>
      </c>
    </row>
    <row r="3" spans="1:48" x14ac:dyDescent="0.2">
      <c r="A3" s="496" t="s">
        <v>107</v>
      </c>
      <c r="B3" s="497"/>
      <c r="C3" s="498"/>
      <c r="D3" s="98">
        <f>295+287</f>
        <v>582</v>
      </c>
      <c r="E3" s="98">
        <f>295+295</f>
        <v>590</v>
      </c>
      <c r="F3" s="107">
        <f>290+280</f>
        <v>570</v>
      </c>
      <c r="G3" s="101">
        <v>3579</v>
      </c>
      <c r="H3" s="114">
        <v>3420</v>
      </c>
      <c r="I3" s="99">
        <v>3498</v>
      </c>
      <c r="J3" s="101">
        <v>866</v>
      </c>
      <c r="K3" s="98">
        <v>888</v>
      </c>
      <c r="L3" s="107">
        <v>857</v>
      </c>
      <c r="M3" s="101">
        <v>858</v>
      </c>
      <c r="N3" s="98">
        <v>888</v>
      </c>
      <c r="O3" s="107">
        <v>843</v>
      </c>
      <c r="P3" s="101">
        <v>883</v>
      </c>
      <c r="Q3" s="98">
        <v>891</v>
      </c>
      <c r="R3" s="107">
        <v>863</v>
      </c>
      <c r="S3" s="101">
        <v>872</v>
      </c>
      <c r="T3" s="98">
        <v>894</v>
      </c>
      <c r="U3" s="107">
        <v>841</v>
      </c>
      <c r="V3" s="101">
        <v>3479</v>
      </c>
      <c r="W3" s="98">
        <v>3552</v>
      </c>
      <c r="X3" s="99">
        <v>3404</v>
      </c>
      <c r="Y3" s="103">
        <v>881</v>
      </c>
      <c r="Z3" s="104">
        <v>897</v>
      </c>
      <c r="AA3" s="112">
        <v>856</v>
      </c>
      <c r="AB3" s="103">
        <v>884</v>
      </c>
      <c r="AC3" s="104">
        <v>897</v>
      </c>
      <c r="AD3" s="112">
        <v>866</v>
      </c>
      <c r="AE3" s="103">
        <v>892</v>
      </c>
      <c r="AF3" s="104">
        <v>897</v>
      </c>
      <c r="AG3" s="112">
        <v>878</v>
      </c>
      <c r="AH3" s="101">
        <v>637</v>
      </c>
      <c r="AI3" s="98">
        <v>897</v>
      </c>
      <c r="AJ3" s="107">
        <v>634</v>
      </c>
      <c r="AK3" s="103">
        <v>3294</v>
      </c>
      <c r="AL3" s="104">
        <v>3588</v>
      </c>
      <c r="AM3" s="106">
        <v>3234</v>
      </c>
      <c r="AN3" s="103">
        <v>503</v>
      </c>
      <c r="AO3" s="104">
        <v>918</v>
      </c>
      <c r="AP3" s="112">
        <v>311</v>
      </c>
      <c r="AQ3" s="90"/>
      <c r="AR3" s="88"/>
      <c r="AS3" s="88"/>
      <c r="AT3" s="90"/>
      <c r="AU3" s="88"/>
      <c r="AV3" s="88"/>
    </row>
    <row r="4" spans="1:48" x14ac:dyDescent="0.2">
      <c r="A4" s="496" t="s">
        <v>108</v>
      </c>
      <c r="B4" s="497"/>
      <c r="C4" s="498"/>
      <c r="D4" s="98">
        <f>33+33</f>
        <v>66</v>
      </c>
      <c r="E4" s="98">
        <f>33+33</f>
        <v>66</v>
      </c>
      <c r="F4" s="107">
        <f>32+33</f>
        <v>65</v>
      </c>
      <c r="G4" s="101">
        <v>404</v>
      </c>
      <c r="H4" s="114">
        <v>396</v>
      </c>
      <c r="I4" s="99">
        <v>401</v>
      </c>
      <c r="J4" s="101">
        <v>97</v>
      </c>
      <c r="K4" s="98">
        <v>99</v>
      </c>
      <c r="L4" s="107">
        <v>95</v>
      </c>
      <c r="M4" s="101">
        <v>85</v>
      </c>
      <c r="N4" s="98">
        <v>99</v>
      </c>
      <c r="O4" s="107">
        <v>82</v>
      </c>
      <c r="P4" s="101">
        <v>98</v>
      </c>
      <c r="Q4" s="98">
        <v>99</v>
      </c>
      <c r="R4" s="107">
        <v>97</v>
      </c>
      <c r="S4" s="101">
        <v>96</v>
      </c>
      <c r="T4" s="98">
        <v>99</v>
      </c>
      <c r="U4" s="107">
        <v>96</v>
      </c>
      <c r="V4" s="101">
        <v>376</v>
      </c>
      <c r="W4" s="98">
        <v>396</v>
      </c>
      <c r="X4" s="99">
        <v>370</v>
      </c>
      <c r="Y4" s="103">
        <v>98</v>
      </c>
      <c r="Z4" s="104">
        <v>102</v>
      </c>
      <c r="AA4" s="112">
        <v>95</v>
      </c>
      <c r="AB4" s="103">
        <v>99</v>
      </c>
      <c r="AC4" s="104">
        <v>102</v>
      </c>
      <c r="AD4" s="112">
        <v>99</v>
      </c>
      <c r="AE4" s="103">
        <v>102</v>
      </c>
      <c r="AF4" s="104">
        <v>102</v>
      </c>
      <c r="AG4" s="112">
        <v>102</v>
      </c>
      <c r="AH4" s="101">
        <v>68</v>
      </c>
      <c r="AI4" s="98">
        <v>102</v>
      </c>
      <c r="AJ4" s="107">
        <v>68</v>
      </c>
      <c r="AK4" s="103">
        <v>367</v>
      </c>
      <c r="AL4" s="104">
        <v>408</v>
      </c>
      <c r="AM4" s="106">
        <v>364</v>
      </c>
      <c r="AN4" s="103">
        <v>67</v>
      </c>
      <c r="AO4" s="104">
        <v>105</v>
      </c>
      <c r="AP4" s="112">
        <v>36</v>
      </c>
      <c r="AQ4" s="90"/>
      <c r="AR4" s="88"/>
      <c r="AS4" s="88"/>
      <c r="AT4" s="90"/>
      <c r="AU4" s="88"/>
      <c r="AV4" s="88"/>
    </row>
    <row r="5" spans="1:48" ht="30" x14ac:dyDescent="0.2">
      <c r="A5" s="84">
        <v>1</v>
      </c>
      <c r="B5" s="85" t="s">
        <v>71</v>
      </c>
      <c r="C5" s="87" t="s">
        <v>72</v>
      </c>
      <c r="D5" s="96">
        <v>2</v>
      </c>
      <c r="E5" s="96">
        <v>2</v>
      </c>
      <c r="F5" s="108">
        <v>2</v>
      </c>
      <c r="G5" s="102">
        <v>12</v>
      </c>
      <c r="H5" s="115">
        <v>12</v>
      </c>
      <c r="I5" s="97">
        <v>12</v>
      </c>
      <c r="J5" s="102">
        <v>3</v>
      </c>
      <c r="K5" s="96">
        <v>3</v>
      </c>
      <c r="L5" s="108">
        <v>3</v>
      </c>
      <c r="M5" s="102">
        <v>3</v>
      </c>
      <c r="N5" s="96">
        <v>3</v>
      </c>
      <c r="O5" s="108">
        <v>3</v>
      </c>
      <c r="P5" s="102">
        <v>3</v>
      </c>
      <c r="Q5" s="96">
        <v>3</v>
      </c>
      <c r="R5" s="108">
        <v>3</v>
      </c>
      <c r="S5" s="102">
        <v>3</v>
      </c>
      <c r="T5" s="96">
        <v>3</v>
      </c>
      <c r="U5" s="108">
        <v>3</v>
      </c>
      <c r="V5" s="102">
        <v>12</v>
      </c>
      <c r="W5" s="115">
        <v>12</v>
      </c>
      <c r="X5" s="97">
        <v>12</v>
      </c>
      <c r="Y5" s="102">
        <v>3</v>
      </c>
      <c r="Z5" s="96">
        <v>3</v>
      </c>
      <c r="AA5" s="108">
        <v>3</v>
      </c>
      <c r="AB5" s="102">
        <v>3</v>
      </c>
      <c r="AC5" s="96">
        <v>3</v>
      </c>
      <c r="AD5" s="108">
        <v>3</v>
      </c>
      <c r="AE5" s="102">
        <v>3</v>
      </c>
      <c r="AF5" s="96">
        <v>3</v>
      </c>
      <c r="AG5" s="108">
        <v>3</v>
      </c>
      <c r="AH5" s="102">
        <v>3</v>
      </c>
      <c r="AI5" s="96">
        <v>3</v>
      </c>
      <c r="AJ5" s="108">
        <v>3</v>
      </c>
      <c r="AK5" s="102">
        <v>12</v>
      </c>
      <c r="AL5" s="115">
        <v>12</v>
      </c>
      <c r="AM5" s="97">
        <v>12</v>
      </c>
      <c r="AN5" s="102">
        <v>2</v>
      </c>
      <c r="AO5" s="96">
        <v>3</v>
      </c>
      <c r="AP5" s="108">
        <v>1</v>
      </c>
      <c r="AQ5" s="89"/>
      <c r="AR5" s="89"/>
      <c r="AS5" s="89"/>
      <c r="AT5" s="89"/>
      <c r="AU5" s="89"/>
      <c r="AV5" s="89"/>
    </row>
    <row r="6" spans="1:48" ht="30" x14ac:dyDescent="0.2">
      <c r="A6" s="84">
        <v>2</v>
      </c>
      <c r="B6" s="86" t="s">
        <v>73</v>
      </c>
      <c r="C6" s="87" t="s">
        <v>74</v>
      </c>
      <c r="D6" s="96">
        <v>2</v>
      </c>
      <c r="E6" s="96">
        <v>2</v>
      </c>
      <c r="F6" s="108">
        <v>2</v>
      </c>
      <c r="G6" s="102">
        <v>12</v>
      </c>
      <c r="H6" s="115">
        <v>12</v>
      </c>
      <c r="I6" s="97">
        <v>12</v>
      </c>
      <c r="J6" s="102">
        <v>3</v>
      </c>
      <c r="K6" s="96">
        <v>3</v>
      </c>
      <c r="L6" s="108">
        <v>3</v>
      </c>
      <c r="M6" s="102">
        <v>2</v>
      </c>
      <c r="N6" s="96">
        <v>3</v>
      </c>
      <c r="O6" s="108">
        <v>2</v>
      </c>
      <c r="P6" s="102">
        <v>3</v>
      </c>
      <c r="Q6" s="96">
        <v>3</v>
      </c>
      <c r="R6" s="108">
        <v>3</v>
      </c>
      <c r="S6" s="102">
        <v>3</v>
      </c>
      <c r="T6" s="96">
        <v>3</v>
      </c>
      <c r="U6" s="108">
        <v>3</v>
      </c>
      <c r="V6" s="102">
        <v>11</v>
      </c>
      <c r="W6" s="115">
        <v>12</v>
      </c>
      <c r="X6" s="97">
        <v>11</v>
      </c>
      <c r="Y6" s="102">
        <v>3</v>
      </c>
      <c r="Z6" s="96">
        <v>3</v>
      </c>
      <c r="AA6" s="108">
        <v>3</v>
      </c>
      <c r="AB6" s="102">
        <v>3</v>
      </c>
      <c r="AC6" s="96">
        <v>3</v>
      </c>
      <c r="AD6" s="108">
        <v>3</v>
      </c>
      <c r="AE6" s="102">
        <v>3</v>
      </c>
      <c r="AF6" s="96">
        <v>3</v>
      </c>
      <c r="AG6" s="108">
        <v>3</v>
      </c>
      <c r="AH6" s="102">
        <v>3</v>
      </c>
      <c r="AI6" s="96">
        <v>3</v>
      </c>
      <c r="AJ6" s="108">
        <v>3</v>
      </c>
      <c r="AK6" s="102">
        <v>12</v>
      </c>
      <c r="AL6" s="115">
        <v>12</v>
      </c>
      <c r="AM6" s="97">
        <v>12</v>
      </c>
      <c r="AN6" s="102">
        <v>2</v>
      </c>
      <c r="AO6" s="96">
        <v>3</v>
      </c>
      <c r="AP6" s="108">
        <v>1</v>
      </c>
      <c r="AQ6" s="89"/>
      <c r="AR6" s="89"/>
      <c r="AS6" s="89"/>
      <c r="AT6" s="89"/>
      <c r="AU6" s="89"/>
      <c r="AV6" s="89"/>
    </row>
    <row r="7" spans="1:48" ht="15.5" customHeight="1" x14ac:dyDescent="0.2">
      <c r="A7" s="496" t="s">
        <v>109</v>
      </c>
      <c r="B7" s="497"/>
      <c r="C7" s="498"/>
      <c r="D7" s="96">
        <f>34+32</f>
        <v>66</v>
      </c>
      <c r="E7" s="96">
        <f>35+35</f>
        <v>70</v>
      </c>
      <c r="F7" s="108">
        <f>34+31</f>
        <v>65</v>
      </c>
      <c r="G7" s="102">
        <v>393</v>
      </c>
      <c r="H7" s="115">
        <v>408</v>
      </c>
      <c r="I7" s="97">
        <v>389</v>
      </c>
      <c r="J7" s="102">
        <v>102</v>
      </c>
      <c r="K7" s="96">
        <v>105</v>
      </c>
      <c r="L7" s="108">
        <v>102</v>
      </c>
      <c r="M7" s="102">
        <v>101</v>
      </c>
      <c r="N7" s="96">
        <v>105</v>
      </c>
      <c r="O7" s="108">
        <v>101</v>
      </c>
      <c r="P7" s="102">
        <v>108</v>
      </c>
      <c r="Q7" s="96">
        <v>105</v>
      </c>
      <c r="R7" s="108">
        <v>108</v>
      </c>
      <c r="S7" s="102">
        <v>108</v>
      </c>
      <c r="T7" s="96">
        <v>105</v>
      </c>
      <c r="U7" s="108">
        <v>108</v>
      </c>
      <c r="V7" s="102">
        <v>419</v>
      </c>
      <c r="W7" s="96">
        <v>420</v>
      </c>
      <c r="X7" s="97">
        <v>419</v>
      </c>
      <c r="Y7" s="105">
        <v>104</v>
      </c>
      <c r="Z7" s="100">
        <v>105</v>
      </c>
      <c r="AA7" s="113">
        <v>103</v>
      </c>
      <c r="AB7" s="105">
        <v>99</v>
      </c>
      <c r="AC7" s="100">
        <v>102</v>
      </c>
      <c r="AD7" s="113">
        <v>99</v>
      </c>
      <c r="AE7" s="105">
        <v>84</v>
      </c>
      <c r="AF7" s="100">
        <v>84</v>
      </c>
      <c r="AG7" s="113">
        <v>84</v>
      </c>
      <c r="AH7" s="102">
        <v>56</v>
      </c>
      <c r="AI7" s="96">
        <v>84</v>
      </c>
      <c r="AJ7" s="108">
        <v>56</v>
      </c>
      <c r="AK7" s="102">
        <v>393</v>
      </c>
      <c r="AL7" s="96">
        <v>420</v>
      </c>
      <c r="AM7" s="97">
        <v>384</v>
      </c>
      <c r="AN7" s="105">
        <v>73</v>
      </c>
      <c r="AO7" s="100">
        <v>108</v>
      </c>
      <c r="AP7" s="113">
        <v>37</v>
      </c>
      <c r="AQ7" s="89"/>
      <c r="AR7" s="89"/>
      <c r="AS7" s="89"/>
      <c r="AT7" s="89"/>
      <c r="AU7" s="89"/>
      <c r="AV7" s="89"/>
    </row>
    <row r="8" spans="1:48" ht="34" x14ac:dyDescent="0.2">
      <c r="A8" s="84">
        <v>3</v>
      </c>
      <c r="B8" s="86" t="s">
        <v>75</v>
      </c>
      <c r="C8" s="87" t="s">
        <v>76</v>
      </c>
      <c r="D8" s="96">
        <v>2</v>
      </c>
      <c r="E8" s="96">
        <v>2</v>
      </c>
      <c r="F8" s="108">
        <v>2</v>
      </c>
      <c r="G8" s="102">
        <v>12</v>
      </c>
      <c r="H8" s="115">
        <v>12</v>
      </c>
      <c r="I8" s="97">
        <v>12</v>
      </c>
      <c r="J8" s="102">
        <v>3</v>
      </c>
      <c r="K8" s="96">
        <v>3</v>
      </c>
      <c r="L8" s="108">
        <v>3</v>
      </c>
      <c r="M8" s="102">
        <v>3</v>
      </c>
      <c r="N8" s="96">
        <v>3</v>
      </c>
      <c r="O8" s="108">
        <v>3</v>
      </c>
      <c r="P8" s="102">
        <v>3</v>
      </c>
      <c r="Q8" s="96">
        <v>3</v>
      </c>
      <c r="R8" s="108">
        <v>3</v>
      </c>
      <c r="S8" s="102">
        <v>3</v>
      </c>
      <c r="T8" s="96">
        <v>3</v>
      </c>
      <c r="U8" s="108">
        <v>3</v>
      </c>
      <c r="V8" s="102">
        <v>12</v>
      </c>
      <c r="W8" s="115">
        <v>12</v>
      </c>
      <c r="X8" s="97">
        <v>12</v>
      </c>
      <c r="Y8" s="102">
        <v>3</v>
      </c>
      <c r="Z8" s="96">
        <v>3</v>
      </c>
      <c r="AA8" s="108">
        <v>3</v>
      </c>
      <c r="AB8" s="102">
        <v>3</v>
      </c>
      <c r="AC8" s="96">
        <v>3</v>
      </c>
      <c r="AD8" s="108">
        <v>3</v>
      </c>
      <c r="AE8" s="102">
        <v>3</v>
      </c>
      <c r="AF8" s="96">
        <v>3</v>
      </c>
      <c r="AG8" s="108">
        <v>3</v>
      </c>
      <c r="AH8" s="102">
        <v>3</v>
      </c>
      <c r="AI8" s="96">
        <v>3</v>
      </c>
      <c r="AJ8" s="108">
        <v>3</v>
      </c>
      <c r="AK8" s="102">
        <v>12</v>
      </c>
      <c r="AL8" s="115">
        <v>12</v>
      </c>
      <c r="AM8" s="97">
        <v>12</v>
      </c>
      <c r="AN8" s="102">
        <v>2</v>
      </c>
      <c r="AO8" s="96">
        <v>3</v>
      </c>
      <c r="AP8" s="108">
        <v>1</v>
      </c>
      <c r="AQ8" s="89"/>
      <c r="AR8" s="89"/>
      <c r="AS8" s="89"/>
      <c r="AT8" s="89"/>
      <c r="AU8" s="89"/>
      <c r="AV8" s="89"/>
    </row>
    <row r="9" spans="1:48" ht="30" x14ac:dyDescent="0.2">
      <c r="A9" s="84">
        <v>4</v>
      </c>
      <c r="B9" s="86" t="s">
        <v>77</v>
      </c>
      <c r="C9" s="87" t="s">
        <v>78</v>
      </c>
      <c r="D9" s="96">
        <v>2</v>
      </c>
      <c r="E9" s="96">
        <v>2</v>
      </c>
      <c r="F9" s="108">
        <v>2</v>
      </c>
      <c r="G9" s="102">
        <v>12</v>
      </c>
      <c r="H9" s="115">
        <v>12</v>
      </c>
      <c r="I9" s="97">
        <v>11</v>
      </c>
      <c r="J9" s="102">
        <v>3</v>
      </c>
      <c r="K9" s="96">
        <v>3</v>
      </c>
      <c r="L9" s="108">
        <v>3</v>
      </c>
      <c r="M9" s="102">
        <v>3</v>
      </c>
      <c r="N9" s="96">
        <v>3</v>
      </c>
      <c r="O9" s="108">
        <v>3</v>
      </c>
      <c r="P9" s="102">
        <v>3</v>
      </c>
      <c r="Q9" s="96">
        <v>3</v>
      </c>
      <c r="R9" s="108">
        <v>3</v>
      </c>
      <c r="S9" s="102">
        <v>3</v>
      </c>
      <c r="T9" s="96">
        <v>3</v>
      </c>
      <c r="U9" s="108">
        <v>3</v>
      </c>
      <c r="V9" s="102">
        <v>12</v>
      </c>
      <c r="W9" s="115">
        <v>12</v>
      </c>
      <c r="X9" s="97">
        <v>12</v>
      </c>
      <c r="Y9" s="102">
        <v>3</v>
      </c>
      <c r="Z9" s="96">
        <v>3</v>
      </c>
      <c r="AA9" s="108">
        <v>3</v>
      </c>
      <c r="AB9" s="102">
        <v>3</v>
      </c>
      <c r="AC9" s="96">
        <v>3</v>
      </c>
      <c r="AD9" s="108">
        <v>3</v>
      </c>
      <c r="AE9" s="102">
        <v>3</v>
      </c>
      <c r="AF9" s="96">
        <v>3</v>
      </c>
      <c r="AG9" s="108">
        <v>3</v>
      </c>
      <c r="AH9" s="102">
        <v>3</v>
      </c>
      <c r="AI9" s="96">
        <v>3</v>
      </c>
      <c r="AJ9" s="108">
        <v>3</v>
      </c>
      <c r="AK9" s="102">
        <v>12</v>
      </c>
      <c r="AL9" s="115">
        <v>12</v>
      </c>
      <c r="AM9" s="97">
        <v>12</v>
      </c>
      <c r="AN9" s="102">
        <v>2</v>
      </c>
      <c r="AO9" s="96">
        <v>3</v>
      </c>
      <c r="AP9" s="108">
        <v>1</v>
      </c>
      <c r="AQ9" s="89"/>
      <c r="AR9" s="89"/>
      <c r="AS9" s="89"/>
      <c r="AT9" s="89"/>
      <c r="AU9" s="89"/>
      <c r="AV9" s="89"/>
    </row>
    <row r="10" spans="1:48" ht="15.5" customHeight="1" x14ac:dyDescent="0.2">
      <c r="A10" s="496" t="s">
        <v>110</v>
      </c>
      <c r="B10" s="497"/>
      <c r="C10" s="498"/>
      <c r="D10" s="96">
        <f>25+25</f>
        <v>50</v>
      </c>
      <c r="E10" s="96">
        <f>28+28</f>
        <v>56</v>
      </c>
      <c r="F10" s="108">
        <f>25+25</f>
        <v>50</v>
      </c>
      <c r="G10" s="102">
        <v>314</v>
      </c>
      <c r="H10" s="115">
        <v>324</v>
      </c>
      <c r="I10" s="97">
        <v>301</v>
      </c>
      <c r="J10" s="102">
        <v>75</v>
      </c>
      <c r="K10" s="96">
        <v>84</v>
      </c>
      <c r="L10" s="108">
        <v>74</v>
      </c>
      <c r="M10" s="102">
        <v>74</v>
      </c>
      <c r="N10" s="96">
        <v>84</v>
      </c>
      <c r="O10" s="108">
        <v>72</v>
      </c>
      <c r="P10" s="102">
        <v>76</v>
      </c>
      <c r="Q10" s="96">
        <v>84</v>
      </c>
      <c r="R10" s="108">
        <v>74</v>
      </c>
      <c r="S10" s="102">
        <v>77</v>
      </c>
      <c r="T10" s="96">
        <v>84</v>
      </c>
      <c r="U10" s="108">
        <v>74</v>
      </c>
      <c r="V10" s="102">
        <v>302</v>
      </c>
      <c r="W10" s="96">
        <v>336</v>
      </c>
      <c r="X10" s="97">
        <v>294</v>
      </c>
      <c r="Y10" s="105">
        <v>84</v>
      </c>
      <c r="Z10" s="100">
        <v>84</v>
      </c>
      <c r="AA10" s="113">
        <v>73</v>
      </c>
      <c r="AB10" s="105">
        <v>104</v>
      </c>
      <c r="AC10" s="100">
        <v>105</v>
      </c>
      <c r="AD10" s="113">
        <v>104</v>
      </c>
      <c r="AE10" s="105">
        <v>105</v>
      </c>
      <c r="AF10" s="100">
        <v>105</v>
      </c>
      <c r="AG10" s="113">
        <v>98</v>
      </c>
      <c r="AH10" s="102">
        <v>80</v>
      </c>
      <c r="AI10" s="96">
        <v>105</v>
      </c>
      <c r="AJ10" s="108">
        <v>79</v>
      </c>
      <c r="AK10" s="102">
        <v>308</v>
      </c>
      <c r="AL10" s="96">
        <v>336</v>
      </c>
      <c r="AM10" s="97">
        <v>293</v>
      </c>
      <c r="AN10" s="105">
        <v>24</v>
      </c>
      <c r="AO10" s="100">
        <v>84</v>
      </c>
      <c r="AP10" s="113">
        <v>24</v>
      </c>
      <c r="AQ10" s="89"/>
      <c r="AR10" s="89"/>
      <c r="AS10" s="89"/>
      <c r="AT10" s="89"/>
      <c r="AU10" s="89"/>
      <c r="AV10" s="89"/>
    </row>
    <row r="11" spans="1:48" ht="34" x14ac:dyDescent="0.2">
      <c r="A11" s="84">
        <v>5</v>
      </c>
      <c r="B11" s="86" t="s">
        <v>79</v>
      </c>
      <c r="C11" s="87" t="s">
        <v>80</v>
      </c>
      <c r="D11" s="96">
        <v>2</v>
      </c>
      <c r="E11" s="96">
        <v>2</v>
      </c>
      <c r="F11" s="108">
        <v>2</v>
      </c>
      <c r="G11" s="102">
        <v>12</v>
      </c>
      <c r="H11" s="115">
        <v>12</v>
      </c>
      <c r="I11" s="97">
        <v>11</v>
      </c>
      <c r="J11" s="102">
        <v>3</v>
      </c>
      <c r="K11" s="96">
        <v>3</v>
      </c>
      <c r="L11" s="108">
        <v>3</v>
      </c>
      <c r="M11" s="102">
        <v>3</v>
      </c>
      <c r="N11" s="96">
        <v>3</v>
      </c>
      <c r="O11" s="108">
        <v>3</v>
      </c>
      <c r="P11" s="102">
        <v>3</v>
      </c>
      <c r="Q11" s="96">
        <v>3</v>
      </c>
      <c r="R11" s="108">
        <v>3</v>
      </c>
      <c r="S11" s="102">
        <v>3</v>
      </c>
      <c r="T11" s="96">
        <v>3</v>
      </c>
      <c r="U11" s="108">
        <v>3</v>
      </c>
      <c r="V11" s="102">
        <v>12</v>
      </c>
      <c r="W11" s="115">
        <v>12</v>
      </c>
      <c r="X11" s="97">
        <v>12</v>
      </c>
      <c r="Y11" s="102">
        <v>3</v>
      </c>
      <c r="Z11" s="96">
        <v>3</v>
      </c>
      <c r="AA11" s="108">
        <v>3</v>
      </c>
      <c r="AB11" s="102">
        <v>3</v>
      </c>
      <c r="AC11" s="96">
        <v>3</v>
      </c>
      <c r="AD11" s="108">
        <v>3</v>
      </c>
      <c r="AE11" s="102">
        <v>3</v>
      </c>
      <c r="AF11" s="96">
        <v>3</v>
      </c>
      <c r="AG11" s="108">
        <v>3</v>
      </c>
      <c r="AH11" s="102">
        <v>3</v>
      </c>
      <c r="AI11" s="96">
        <v>3</v>
      </c>
      <c r="AJ11" s="108">
        <v>3</v>
      </c>
      <c r="AK11" s="102">
        <v>12</v>
      </c>
      <c r="AL11" s="115">
        <v>12</v>
      </c>
      <c r="AM11" s="97">
        <v>12</v>
      </c>
      <c r="AN11" s="102">
        <v>1</v>
      </c>
      <c r="AO11" s="96">
        <v>3</v>
      </c>
      <c r="AP11" s="108">
        <v>1</v>
      </c>
      <c r="AQ11" s="89"/>
      <c r="AR11" s="89"/>
      <c r="AS11" s="89"/>
      <c r="AT11" s="89"/>
      <c r="AU11" s="89"/>
      <c r="AV11" s="89"/>
    </row>
    <row r="12" spans="1:48" ht="30" x14ac:dyDescent="0.2">
      <c r="A12" s="84">
        <v>6</v>
      </c>
      <c r="B12" s="86" t="s">
        <v>81</v>
      </c>
      <c r="C12" s="87" t="s">
        <v>82</v>
      </c>
      <c r="D12" s="96">
        <v>2</v>
      </c>
      <c r="E12" s="96">
        <v>2</v>
      </c>
      <c r="F12" s="108">
        <v>2</v>
      </c>
      <c r="G12" s="102">
        <v>12</v>
      </c>
      <c r="H12" s="115">
        <v>12</v>
      </c>
      <c r="I12" s="97">
        <v>12</v>
      </c>
      <c r="J12" s="102">
        <v>3</v>
      </c>
      <c r="K12" s="96">
        <v>3</v>
      </c>
      <c r="L12" s="108">
        <v>3</v>
      </c>
      <c r="M12" s="102">
        <v>3</v>
      </c>
      <c r="N12" s="96">
        <v>3</v>
      </c>
      <c r="O12" s="108">
        <v>3</v>
      </c>
      <c r="P12" s="102">
        <v>3</v>
      </c>
      <c r="Q12" s="96">
        <v>3</v>
      </c>
      <c r="R12" s="108">
        <v>3</v>
      </c>
      <c r="S12" s="102">
        <v>3</v>
      </c>
      <c r="T12" s="96">
        <v>3</v>
      </c>
      <c r="U12" s="108">
        <v>3</v>
      </c>
      <c r="V12" s="102">
        <v>12</v>
      </c>
      <c r="W12" s="115">
        <v>12</v>
      </c>
      <c r="X12" s="97">
        <v>12</v>
      </c>
      <c r="Y12" s="102">
        <v>3</v>
      </c>
      <c r="Z12" s="96">
        <v>3</v>
      </c>
      <c r="AA12" s="108">
        <v>3</v>
      </c>
      <c r="AB12" s="102">
        <v>3</v>
      </c>
      <c r="AC12" s="96">
        <v>3</v>
      </c>
      <c r="AD12" s="108">
        <v>3</v>
      </c>
      <c r="AE12" s="102">
        <v>3</v>
      </c>
      <c r="AF12" s="96">
        <v>3</v>
      </c>
      <c r="AG12" s="108">
        <v>3</v>
      </c>
      <c r="AH12" s="102">
        <v>3</v>
      </c>
      <c r="AI12" s="96">
        <v>3</v>
      </c>
      <c r="AJ12" s="108">
        <v>3</v>
      </c>
      <c r="AK12" s="102">
        <v>12</v>
      </c>
      <c r="AL12" s="115">
        <v>12</v>
      </c>
      <c r="AM12" s="97">
        <v>12</v>
      </c>
      <c r="AN12" s="102">
        <v>1</v>
      </c>
      <c r="AO12" s="96">
        <v>3</v>
      </c>
      <c r="AP12" s="108">
        <v>1</v>
      </c>
      <c r="AQ12" s="89"/>
      <c r="AR12" s="89"/>
      <c r="AS12" s="89"/>
      <c r="AT12" s="89"/>
      <c r="AU12" s="89"/>
      <c r="AV12" s="89"/>
    </row>
    <row r="13" spans="1:48" ht="15.5" customHeight="1" x14ac:dyDescent="0.2">
      <c r="A13" s="496" t="s">
        <v>111</v>
      </c>
      <c r="B13" s="497"/>
      <c r="C13" s="498"/>
      <c r="D13" s="96">
        <f>55+55</f>
        <v>110</v>
      </c>
      <c r="E13" s="96">
        <f>52+52</f>
        <v>104</v>
      </c>
      <c r="F13" s="108">
        <f>55+55</f>
        <v>110</v>
      </c>
      <c r="G13" s="102">
        <v>661</v>
      </c>
      <c r="H13" s="115">
        <v>564</v>
      </c>
      <c r="I13" s="97">
        <v>647</v>
      </c>
      <c r="J13" s="102">
        <v>159</v>
      </c>
      <c r="K13" s="96">
        <v>156</v>
      </c>
      <c r="L13" s="108">
        <v>158</v>
      </c>
      <c r="M13" s="102">
        <v>165</v>
      </c>
      <c r="N13" s="96">
        <v>156</v>
      </c>
      <c r="O13" s="108">
        <v>161</v>
      </c>
      <c r="P13" s="102">
        <v>159</v>
      </c>
      <c r="Q13" s="96">
        <v>156</v>
      </c>
      <c r="R13" s="108">
        <v>146</v>
      </c>
      <c r="S13" s="102">
        <v>151</v>
      </c>
      <c r="T13" s="96">
        <v>156</v>
      </c>
      <c r="U13" s="108">
        <v>132</v>
      </c>
      <c r="V13" s="102">
        <v>634</v>
      </c>
      <c r="W13" s="96">
        <v>624</v>
      </c>
      <c r="X13" s="97">
        <v>597</v>
      </c>
      <c r="Y13" s="105">
        <v>150</v>
      </c>
      <c r="Z13" s="100">
        <v>156</v>
      </c>
      <c r="AA13" s="113">
        <v>149</v>
      </c>
      <c r="AB13" s="105">
        <v>151</v>
      </c>
      <c r="AC13" s="100">
        <v>156</v>
      </c>
      <c r="AD13" s="113">
        <v>150</v>
      </c>
      <c r="AE13" s="105">
        <v>155</v>
      </c>
      <c r="AF13" s="100">
        <v>156</v>
      </c>
      <c r="AG13" s="113">
        <v>151</v>
      </c>
      <c r="AH13" s="102">
        <v>101</v>
      </c>
      <c r="AI13" s="96">
        <v>156</v>
      </c>
      <c r="AJ13" s="108">
        <v>99</v>
      </c>
      <c r="AK13" s="102">
        <v>557</v>
      </c>
      <c r="AL13" s="96">
        <v>624</v>
      </c>
      <c r="AM13" s="97">
        <v>549</v>
      </c>
      <c r="AN13" s="105">
        <v>119</v>
      </c>
      <c r="AO13" s="100">
        <v>156</v>
      </c>
      <c r="AP13" s="113">
        <v>60</v>
      </c>
      <c r="AQ13" s="89"/>
      <c r="AR13" s="89"/>
      <c r="AS13" s="89"/>
      <c r="AT13" s="89"/>
      <c r="AU13" s="89"/>
      <c r="AV13" s="89"/>
    </row>
    <row r="14" spans="1:48" ht="30" x14ac:dyDescent="0.2">
      <c r="A14" s="84">
        <v>7</v>
      </c>
      <c r="B14" s="86" t="s">
        <v>83</v>
      </c>
      <c r="C14" s="87" t="s">
        <v>84</v>
      </c>
      <c r="D14" s="96">
        <v>2</v>
      </c>
      <c r="E14" s="96">
        <v>2</v>
      </c>
      <c r="F14" s="108">
        <v>2</v>
      </c>
      <c r="G14" s="102">
        <v>12</v>
      </c>
      <c r="H14" s="115">
        <v>12</v>
      </c>
      <c r="I14" s="97">
        <v>11</v>
      </c>
      <c r="J14" s="102">
        <v>3</v>
      </c>
      <c r="K14" s="96">
        <v>3</v>
      </c>
      <c r="L14" s="108">
        <v>3</v>
      </c>
      <c r="M14" s="102">
        <v>3</v>
      </c>
      <c r="N14" s="96">
        <v>3</v>
      </c>
      <c r="O14" s="108">
        <v>3</v>
      </c>
      <c r="P14" s="102">
        <v>3</v>
      </c>
      <c r="Q14" s="96">
        <v>3</v>
      </c>
      <c r="R14" s="108">
        <v>3</v>
      </c>
      <c r="S14" s="102">
        <v>3</v>
      </c>
      <c r="T14" s="96">
        <v>3</v>
      </c>
      <c r="U14" s="108">
        <v>2</v>
      </c>
      <c r="V14" s="102">
        <v>12</v>
      </c>
      <c r="W14" s="115">
        <v>12</v>
      </c>
      <c r="X14" s="97">
        <v>11</v>
      </c>
      <c r="Y14" s="102">
        <v>3</v>
      </c>
      <c r="Z14" s="96">
        <v>3</v>
      </c>
      <c r="AA14" s="108">
        <v>3</v>
      </c>
      <c r="AB14" s="102">
        <v>3</v>
      </c>
      <c r="AC14" s="96">
        <v>3</v>
      </c>
      <c r="AD14" s="108">
        <v>3</v>
      </c>
      <c r="AE14" s="102">
        <v>3</v>
      </c>
      <c r="AF14" s="96">
        <v>3</v>
      </c>
      <c r="AG14" s="108">
        <v>3</v>
      </c>
      <c r="AH14" s="102">
        <v>3</v>
      </c>
      <c r="AI14" s="96">
        <v>3</v>
      </c>
      <c r="AJ14" s="108">
        <v>3</v>
      </c>
      <c r="AK14" s="102">
        <v>12</v>
      </c>
      <c r="AL14" s="115">
        <v>12</v>
      </c>
      <c r="AM14" s="97">
        <v>12</v>
      </c>
      <c r="AN14" s="102">
        <v>3</v>
      </c>
      <c r="AO14" s="96">
        <v>3</v>
      </c>
      <c r="AP14" s="108">
        <v>1</v>
      </c>
      <c r="AQ14" s="89"/>
      <c r="AR14" s="89"/>
      <c r="AS14" s="89"/>
      <c r="AT14" s="89"/>
      <c r="AU14" s="89"/>
      <c r="AV14" s="89"/>
    </row>
    <row r="15" spans="1:48" ht="34" x14ac:dyDescent="0.2">
      <c r="A15" s="84">
        <v>8</v>
      </c>
      <c r="B15" s="86" t="s">
        <v>85</v>
      </c>
      <c r="C15" s="87" t="s">
        <v>86</v>
      </c>
      <c r="D15" s="96">
        <v>2</v>
      </c>
      <c r="E15" s="96">
        <v>2</v>
      </c>
      <c r="F15" s="108">
        <v>2</v>
      </c>
      <c r="G15" s="102">
        <v>12</v>
      </c>
      <c r="H15" s="115">
        <v>12</v>
      </c>
      <c r="I15" s="97">
        <v>12</v>
      </c>
      <c r="J15" s="102">
        <v>3</v>
      </c>
      <c r="K15" s="96">
        <v>3</v>
      </c>
      <c r="L15" s="108">
        <v>3</v>
      </c>
      <c r="M15" s="102">
        <v>3</v>
      </c>
      <c r="N15" s="96">
        <v>3</v>
      </c>
      <c r="O15" s="108">
        <v>3</v>
      </c>
      <c r="P15" s="102">
        <v>3</v>
      </c>
      <c r="Q15" s="96">
        <v>3</v>
      </c>
      <c r="R15" s="108">
        <v>2</v>
      </c>
      <c r="S15" s="102">
        <v>3</v>
      </c>
      <c r="T15" s="96">
        <v>3</v>
      </c>
      <c r="U15" s="108">
        <v>3</v>
      </c>
      <c r="V15" s="102">
        <v>12</v>
      </c>
      <c r="W15" s="115">
        <v>12</v>
      </c>
      <c r="X15" s="97">
        <v>11</v>
      </c>
      <c r="Y15" s="102">
        <v>3</v>
      </c>
      <c r="Z15" s="96">
        <v>3</v>
      </c>
      <c r="AA15" s="108">
        <v>3</v>
      </c>
      <c r="AB15" s="102">
        <v>3</v>
      </c>
      <c r="AC15" s="96">
        <v>3</v>
      </c>
      <c r="AD15" s="108">
        <v>3</v>
      </c>
      <c r="AE15" s="102">
        <v>3</v>
      </c>
      <c r="AF15" s="96">
        <v>3</v>
      </c>
      <c r="AG15" s="108">
        <v>2</v>
      </c>
      <c r="AH15" s="102">
        <v>3</v>
      </c>
      <c r="AI15" s="96">
        <v>3</v>
      </c>
      <c r="AJ15" s="108">
        <v>3</v>
      </c>
      <c r="AK15" s="102">
        <v>12</v>
      </c>
      <c r="AL15" s="115">
        <v>12</v>
      </c>
      <c r="AM15" s="97">
        <v>12</v>
      </c>
      <c r="AN15" s="102">
        <v>2</v>
      </c>
      <c r="AO15" s="96">
        <v>3</v>
      </c>
      <c r="AP15" s="108">
        <v>1</v>
      </c>
      <c r="AQ15" s="89"/>
      <c r="AR15" s="89"/>
      <c r="AS15" s="89"/>
      <c r="AT15" s="89"/>
      <c r="AU15" s="89"/>
      <c r="AV15" s="89"/>
    </row>
    <row r="16" spans="1:48" ht="15.5" customHeight="1" x14ac:dyDescent="0.2">
      <c r="A16" s="496" t="s">
        <v>112</v>
      </c>
      <c r="B16" s="497"/>
      <c r="C16" s="498"/>
      <c r="D16" s="100">
        <f>51+48</f>
        <v>99</v>
      </c>
      <c r="E16" s="100">
        <f>47+47</f>
        <v>94</v>
      </c>
      <c r="F16" s="113">
        <f>49+45</f>
        <v>94</v>
      </c>
      <c r="G16" s="102">
        <v>598</v>
      </c>
      <c r="H16" s="116">
        <v>564</v>
      </c>
      <c r="I16" s="97">
        <v>567</v>
      </c>
      <c r="J16" s="102">
        <v>146</v>
      </c>
      <c r="K16" s="96">
        <v>141</v>
      </c>
      <c r="L16" s="108">
        <v>142</v>
      </c>
      <c r="M16" s="102">
        <v>147</v>
      </c>
      <c r="N16" s="96">
        <v>141</v>
      </c>
      <c r="O16" s="108">
        <v>141</v>
      </c>
      <c r="P16" s="102">
        <v>147</v>
      </c>
      <c r="Q16" s="96">
        <v>141</v>
      </c>
      <c r="R16" s="108">
        <v>147</v>
      </c>
      <c r="S16" s="102">
        <v>144</v>
      </c>
      <c r="T16" s="96">
        <v>141</v>
      </c>
      <c r="U16" s="108">
        <v>140</v>
      </c>
      <c r="V16" s="102">
        <v>584</v>
      </c>
      <c r="W16" s="96">
        <v>564</v>
      </c>
      <c r="X16" s="97">
        <v>570</v>
      </c>
      <c r="Y16" s="105">
        <v>141</v>
      </c>
      <c r="Z16" s="100">
        <v>141</v>
      </c>
      <c r="AA16" s="113">
        <v>141</v>
      </c>
      <c r="AB16" s="105">
        <v>139</v>
      </c>
      <c r="AC16" s="100">
        <v>141</v>
      </c>
      <c r="AD16" s="113">
        <v>137</v>
      </c>
      <c r="AE16" s="105">
        <v>144</v>
      </c>
      <c r="AF16" s="100">
        <v>141</v>
      </c>
      <c r="AG16" s="113">
        <v>144</v>
      </c>
      <c r="AH16" s="102">
        <v>96</v>
      </c>
      <c r="AI16" s="96">
        <v>141</v>
      </c>
      <c r="AJ16" s="108">
        <v>96</v>
      </c>
      <c r="AK16" s="102">
        <v>520</v>
      </c>
      <c r="AL16" s="96">
        <v>564</v>
      </c>
      <c r="AM16" s="97">
        <v>518</v>
      </c>
      <c r="AN16" s="105">
        <v>66</v>
      </c>
      <c r="AO16" s="100">
        <v>147</v>
      </c>
      <c r="AP16" s="113">
        <v>49</v>
      </c>
      <c r="AQ16" s="89"/>
      <c r="AR16" s="89"/>
      <c r="AS16" s="89"/>
      <c r="AT16" s="89"/>
      <c r="AU16" s="89"/>
      <c r="AV16" s="89"/>
    </row>
    <row r="17" spans="1:48" ht="30" x14ac:dyDescent="0.2">
      <c r="A17" s="84">
        <v>9</v>
      </c>
      <c r="B17" s="86" t="s">
        <v>87</v>
      </c>
      <c r="C17" s="87" t="s">
        <v>88</v>
      </c>
      <c r="D17" s="96">
        <v>2</v>
      </c>
      <c r="E17" s="96">
        <v>2</v>
      </c>
      <c r="F17" s="108">
        <v>2</v>
      </c>
      <c r="G17" s="102">
        <v>12</v>
      </c>
      <c r="H17" s="115">
        <v>12</v>
      </c>
      <c r="I17" s="97">
        <v>12</v>
      </c>
      <c r="J17" s="102">
        <v>3</v>
      </c>
      <c r="K17" s="96">
        <v>3</v>
      </c>
      <c r="L17" s="108">
        <v>3</v>
      </c>
      <c r="M17" s="102">
        <v>3</v>
      </c>
      <c r="N17" s="96">
        <v>3</v>
      </c>
      <c r="O17" s="108">
        <v>3</v>
      </c>
      <c r="P17" s="102">
        <v>3</v>
      </c>
      <c r="Q17" s="96">
        <v>3</v>
      </c>
      <c r="R17" s="108">
        <v>3</v>
      </c>
      <c r="S17" s="102">
        <v>3</v>
      </c>
      <c r="T17" s="96">
        <v>3</v>
      </c>
      <c r="U17" s="108">
        <v>3</v>
      </c>
      <c r="V17" s="102">
        <v>12</v>
      </c>
      <c r="W17" s="115">
        <v>12</v>
      </c>
      <c r="X17" s="97">
        <v>12</v>
      </c>
      <c r="Y17" s="102">
        <v>3</v>
      </c>
      <c r="Z17" s="96">
        <v>3</v>
      </c>
      <c r="AA17" s="108">
        <v>3</v>
      </c>
      <c r="AB17" s="102">
        <v>3</v>
      </c>
      <c r="AC17" s="96">
        <v>3</v>
      </c>
      <c r="AD17" s="108">
        <v>3</v>
      </c>
      <c r="AE17" s="102">
        <v>3</v>
      </c>
      <c r="AF17" s="96">
        <v>3</v>
      </c>
      <c r="AG17" s="108">
        <v>3</v>
      </c>
      <c r="AH17" s="102">
        <v>3</v>
      </c>
      <c r="AI17" s="96">
        <v>3</v>
      </c>
      <c r="AJ17" s="108">
        <v>3</v>
      </c>
      <c r="AK17" s="102">
        <v>12</v>
      </c>
      <c r="AL17" s="115">
        <v>12</v>
      </c>
      <c r="AM17" s="97">
        <v>12</v>
      </c>
      <c r="AN17" s="102">
        <v>2</v>
      </c>
      <c r="AO17" s="96">
        <v>3</v>
      </c>
      <c r="AP17" s="108">
        <v>1</v>
      </c>
      <c r="AQ17" s="89"/>
      <c r="AR17" s="89"/>
      <c r="AS17" s="89"/>
      <c r="AT17" s="89"/>
      <c r="AU17" s="89"/>
      <c r="AV17" s="89"/>
    </row>
    <row r="18" spans="1:48" ht="30" x14ac:dyDescent="0.2">
      <c r="A18" s="84">
        <v>10</v>
      </c>
      <c r="B18" s="86" t="s">
        <v>89</v>
      </c>
      <c r="C18" s="87" t="s">
        <v>90</v>
      </c>
      <c r="D18" s="96">
        <v>2</v>
      </c>
      <c r="E18" s="96">
        <v>2</v>
      </c>
      <c r="F18" s="108">
        <v>2</v>
      </c>
      <c r="G18" s="102">
        <v>12</v>
      </c>
      <c r="H18" s="115">
        <v>12</v>
      </c>
      <c r="I18" s="97">
        <v>12</v>
      </c>
      <c r="J18" s="102">
        <v>3</v>
      </c>
      <c r="K18" s="96">
        <v>3</v>
      </c>
      <c r="L18" s="108">
        <v>3</v>
      </c>
      <c r="M18" s="102">
        <v>3</v>
      </c>
      <c r="N18" s="96">
        <v>3</v>
      </c>
      <c r="O18" s="108">
        <v>3</v>
      </c>
      <c r="P18" s="102">
        <v>3</v>
      </c>
      <c r="Q18" s="96">
        <v>3</v>
      </c>
      <c r="R18" s="108">
        <v>3</v>
      </c>
      <c r="S18" s="102">
        <v>3</v>
      </c>
      <c r="T18" s="96">
        <v>3</v>
      </c>
      <c r="U18" s="108">
        <v>3</v>
      </c>
      <c r="V18" s="102">
        <v>12</v>
      </c>
      <c r="W18" s="115">
        <v>12</v>
      </c>
      <c r="X18" s="97">
        <v>12</v>
      </c>
      <c r="Y18" s="102">
        <v>3</v>
      </c>
      <c r="Z18" s="96">
        <v>3</v>
      </c>
      <c r="AA18" s="108">
        <v>3</v>
      </c>
      <c r="AB18" s="102">
        <v>3</v>
      </c>
      <c r="AC18" s="96">
        <v>3</v>
      </c>
      <c r="AD18" s="108">
        <v>3</v>
      </c>
      <c r="AE18" s="102">
        <v>3</v>
      </c>
      <c r="AF18" s="96">
        <v>3</v>
      </c>
      <c r="AG18" s="108">
        <v>3</v>
      </c>
      <c r="AH18" s="102">
        <v>3</v>
      </c>
      <c r="AI18" s="96">
        <v>3</v>
      </c>
      <c r="AJ18" s="108">
        <v>3</v>
      </c>
      <c r="AK18" s="102">
        <v>12</v>
      </c>
      <c r="AL18" s="115">
        <v>12</v>
      </c>
      <c r="AM18" s="97">
        <v>12</v>
      </c>
      <c r="AN18" s="102">
        <v>1</v>
      </c>
      <c r="AO18" s="96">
        <v>3</v>
      </c>
      <c r="AP18" s="108">
        <v>1</v>
      </c>
      <c r="AQ18" s="89"/>
      <c r="AR18" s="89"/>
      <c r="AS18" s="89"/>
      <c r="AT18" s="89"/>
      <c r="AU18" s="89"/>
      <c r="AV18" s="89"/>
    </row>
    <row r="19" spans="1:48" ht="30" x14ac:dyDescent="0.2">
      <c r="A19" s="84">
        <v>11</v>
      </c>
      <c r="B19" s="86" t="s">
        <v>89</v>
      </c>
      <c r="C19" s="87" t="s">
        <v>91</v>
      </c>
      <c r="D19" s="96">
        <v>2</v>
      </c>
      <c r="E19" s="96">
        <v>2</v>
      </c>
      <c r="F19" s="108">
        <v>2</v>
      </c>
      <c r="G19" s="102">
        <v>12</v>
      </c>
      <c r="H19" s="115">
        <v>12</v>
      </c>
      <c r="I19" s="97">
        <v>10</v>
      </c>
      <c r="J19" s="102">
        <v>3</v>
      </c>
      <c r="K19" s="96">
        <v>3</v>
      </c>
      <c r="L19" s="108">
        <v>3</v>
      </c>
      <c r="M19" s="102">
        <v>3</v>
      </c>
      <c r="N19" s="96">
        <v>3</v>
      </c>
      <c r="O19" s="108">
        <v>3</v>
      </c>
      <c r="P19" s="102">
        <v>3</v>
      </c>
      <c r="Q19" s="96">
        <v>3</v>
      </c>
      <c r="R19" s="108">
        <v>3</v>
      </c>
      <c r="S19" s="102">
        <v>3</v>
      </c>
      <c r="T19" s="96">
        <v>3</v>
      </c>
      <c r="U19" s="108">
        <v>3</v>
      </c>
      <c r="V19" s="102">
        <v>12</v>
      </c>
      <c r="W19" s="115">
        <v>12</v>
      </c>
      <c r="X19" s="97">
        <v>12</v>
      </c>
      <c r="Y19" s="102">
        <v>3</v>
      </c>
      <c r="Z19" s="96">
        <v>3</v>
      </c>
      <c r="AA19" s="108">
        <v>3</v>
      </c>
      <c r="AB19" s="102">
        <v>3</v>
      </c>
      <c r="AC19" s="96">
        <v>3</v>
      </c>
      <c r="AD19" s="108">
        <v>3</v>
      </c>
      <c r="AE19" s="102">
        <v>3</v>
      </c>
      <c r="AF19" s="96">
        <v>3</v>
      </c>
      <c r="AG19" s="108">
        <v>3</v>
      </c>
      <c r="AH19" s="102">
        <v>3</v>
      </c>
      <c r="AI19" s="96">
        <v>3</v>
      </c>
      <c r="AJ19" s="108">
        <v>3</v>
      </c>
      <c r="AK19" s="102">
        <v>12</v>
      </c>
      <c r="AL19" s="115">
        <v>12</v>
      </c>
      <c r="AM19" s="97">
        <v>12</v>
      </c>
      <c r="AN19" s="102">
        <v>1</v>
      </c>
      <c r="AO19" s="96">
        <v>3</v>
      </c>
      <c r="AP19" s="108">
        <v>0</v>
      </c>
      <c r="AQ19" s="89"/>
      <c r="AR19" s="89"/>
      <c r="AS19" s="89"/>
      <c r="AT19" s="89"/>
      <c r="AU19" s="89"/>
      <c r="AV19" s="89"/>
    </row>
    <row r="20" spans="1:48" x14ac:dyDescent="0.2">
      <c r="A20" s="496" t="s">
        <v>113</v>
      </c>
      <c r="B20" s="497"/>
      <c r="C20" s="498"/>
      <c r="D20" s="100">
        <f>44+44</f>
        <v>88</v>
      </c>
      <c r="E20" s="100">
        <f>47+47</f>
        <v>94</v>
      </c>
      <c r="F20" s="113">
        <f>44+44</f>
        <v>88</v>
      </c>
      <c r="G20" s="110">
        <v>590</v>
      </c>
      <c r="H20" s="116">
        <v>552</v>
      </c>
      <c r="I20" s="97">
        <v>589</v>
      </c>
      <c r="J20" s="102">
        <v>130</v>
      </c>
      <c r="K20" s="96">
        <v>144</v>
      </c>
      <c r="L20" s="109">
        <v>130</v>
      </c>
      <c r="M20" s="110">
        <v>132</v>
      </c>
      <c r="N20" s="96">
        <v>144</v>
      </c>
      <c r="O20" s="108">
        <v>132</v>
      </c>
      <c r="P20" s="102">
        <v>132</v>
      </c>
      <c r="Q20" s="96">
        <v>147</v>
      </c>
      <c r="R20" s="108">
        <v>132</v>
      </c>
      <c r="S20" s="102">
        <v>132</v>
      </c>
      <c r="T20" s="96">
        <v>150</v>
      </c>
      <c r="U20" s="108">
        <v>132</v>
      </c>
      <c r="V20" s="102">
        <v>526</v>
      </c>
      <c r="W20" s="96">
        <v>576</v>
      </c>
      <c r="X20" s="97">
        <v>526</v>
      </c>
      <c r="Y20" s="105">
        <v>141</v>
      </c>
      <c r="Z20" s="100">
        <v>150</v>
      </c>
      <c r="AA20" s="113">
        <v>141</v>
      </c>
      <c r="AB20" s="105">
        <v>141</v>
      </c>
      <c r="AC20" s="100">
        <v>150</v>
      </c>
      <c r="AD20" s="113">
        <v>94</v>
      </c>
      <c r="AE20" s="105">
        <v>141</v>
      </c>
      <c r="AF20" s="100">
        <v>150</v>
      </c>
      <c r="AG20" s="113">
        <v>141</v>
      </c>
      <c r="AH20" s="102">
        <v>131</v>
      </c>
      <c r="AI20" s="96">
        <v>150</v>
      </c>
      <c r="AJ20" s="108">
        <v>131</v>
      </c>
      <c r="AK20" s="102">
        <v>554</v>
      </c>
      <c r="AL20" s="96">
        <v>600</v>
      </c>
      <c r="AM20" s="97">
        <v>552</v>
      </c>
      <c r="AN20" s="105">
        <v>52</v>
      </c>
      <c r="AO20" s="100">
        <v>153</v>
      </c>
      <c r="AP20" s="113">
        <v>51</v>
      </c>
      <c r="AQ20" s="89"/>
      <c r="AR20" s="89"/>
      <c r="AS20" s="89"/>
      <c r="AT20" s="89"/>
      <c r="AU20" s="89"/>
      <c r="AV20" s="89"/>
    </row>
    <row r="21" spans="1:48" x14ac:dyDescent="0.2">
      <c r="A21" s="496" t="s">
        <v>114</v>
      </c>
      <c r="B21" s="497"/>
      <c r="C21" s="498"/>
      <c r="D21" s="100">
        <f>53+50</f>
        <v>103</v>
      </c>
      <c r="E21" s="100">
        <f>53+53</f>
        <v>106</v>
      </c>
      <c r="F21" s="113">
        <f>51+47</f>
        <v>98</v>
      </c>
      <c r="G21" s="110">
        <v>619</v>
      </c>
      <c r="H21" s="116">
        <v>612</v>
      </c>
      <c r="I21" s="97">
        <v>604</v>
      </c>
      <c r="J21" s="102">
        <v>157</v>
      </c>
      <c r="K21" s="96">
        <v>159</v>
      </c>
      <c r="L21" s="109">
        <v>156</v>
      </c>
      <c r="M21" s="110">
        <v>154</v>
      </c>
      <c r="N21" s="96">
        <v>159</v>
      </c>
      <c r="O21" s="108">
        <v>154</v>
      </c>
      <c r="P21" s="102">
        <v>163</v>
      </c>
      <c r="Q21" s="96">
        <v>159</v>
      </c>
      <c r="R21" s="108">
        <v>159</v>
      </c>
      <c r="S21" s="102">
        <v>164</v>
      </c>
      <c r="T21" s="96">
        <v>159</v>
      </c>
      <c r="U21" s="108">
        <v>159</v>
      </c>
      <c r="V21" s="102">
        <v>638</v>
      </c>
      <c r="W21" s="96">
        <v>636</v>
      </c>
      <c r="X21" s="97">
        <v>628</v>
      </c>
      <c r="Y21" s="105">
        <v>163</v>
      </c>
      <c r="Z21" s="100">
        <v>159</v>
      </c>
      <c r="AA21" s="113">
        <v>154</v>
      </c>
      <c r="AB21" s="105">
        <v>166</v>
      </c>
      <c r="AC21" s="100">
        <v>159</v>
      </c>
      <c r="AD21" s="113">
        <v>157</v>
      </c>
      <c r="AE21" s="105">
        <v>161</v>
      </c>
      <c r="AF21" s="100">
        <v>159</v>
      </c>
      <c r="AG21" s="113">
        <v>158</v>
      </c>
      <c r="AH21" s="102">
        <v>105</v>
      </c>
      <c r="AI21" s="96">
        <v>159</v>
      </c>
      <c r="AJ21" s="108">
        <v>105</v>
      </c>
      <c r="AK21" s="102">
        <v>595</v>
      </c>
      <c r="AL21" s="96">
        <v>636</v>
      </c>
      <c r="AM21" s="97">
        <v>574</v>
      </c>
      <c r="AN21" s="105">
        <v>102</v>
      </c>
      <c r="AO21" s="100">
        <v>165</v>
      </c>
      <c r="AP21" s="113">
        <v>54</v>
      </c>
      <c r="AQ21" s="89"/>
      <c r="AR21" s="89"/>
      <c r="AS21" s="89"/>
      <c r="AT21" s="89"/>
      <c r="AU21" s="89"/>
      <c r="AV21" s="89"/>
    </row>
    <row r="22" spans="1:48" x14ac:dyDescent="0.2">
      <c r="U22" s="111"/>
    </row>
    <row r="23" spans="1:48" x14ac:dyDescent="0.2">
      <c r="D23" s="491" t="s">
        <v>95</v>
      </c>
      <c r="E23" s="491"/>
      <c r="F23" s="491"/>
      <c r="G23" s="436" t="s">
        <v>115</v>
      </c>
      <c r="H23" s="437"/>
      <c r="I23" s="494"/>
      <c r="J23" s="438" t="s">
        <v>96</v>
      </c>
      <c r="K23" s="491"/>
      <c r="L23" s="491"/>
      <c r="M23" s="491" t="s">
        <v>97</v>
      </c>
      <c r="N23" s="491"/>
      <c r="O23" s="491"/>
      <c r="P23" s="491" t="s">
        <v>98</v>
      </c>
      <c r="Q23" s="491"/>
      <c r="R23" s="491"/>
      <c r="S23" s="491" t="s">
        <v>99</v>
      </c>
      <c r="T23" s="491"/>
      <c r="U23" s="491"/>
      <c r="V23" s="491" t="s">
        <v>104</v>
      </c>
      <c r="W23" s="491"/>
      <c r="X23" s="495"/>
      <c r="Y23" s="438" t="s">
        <v>100</v>
      </c>
      <c r="Z23" s="491"/>
      <c r="AA23" s="491"/>
      <c r="AB23" s="491" t="s">
        <v>101</v>
      </c>
      <c r="AC23" s="491"/>
      <c r="AD23" s="491"/>
      <c r="AE23" s="491" t="s">
        <v>102</v>
      </c>
      <c r="AF23" s="491"/>
      <c r="AG23" s="491"/>
      <c r="AH23" s="491" t="s">
        <v>103</v>
      </c>
      <c r="AI23" s="491"/>
      <c r="AJ23" s="491"/>
      <c r="AK23" s="491" t="s">
        <v>105</v>
      </c>
      <c r="AL23" s="491"/>
      <c r="AM23" s="436"/>
      <c r="AN23" s="492" t="s">
        <v>106</v>
      </c>
      <c r="AO23" s="491"/>
      <c r="AP23" s="491"/>
      <c r="AQ23" s="493">
        <v>45748</v>
      </c>
      <c r="AR23" s="493"/>
      <c r="AS23" s="493"/>
      <c r="AT23" s="493">
        <v>45778</v>
      </c>
      <c r="AU23" s="493"/>
      <c r="AV23" s="493"/>
    </row>
    <row r="24" spans="1:48" ht="64" x14ac:dyDescent="0.2">
      <c r="A24" s="84" t="s">
        <v>68</v>
      </c>
      <c r="B24" s="84" t="s">
        <v>69</v>
      </c>
      <c r="C24" s="95" t="s">
        <v>70</v>
      </c>
      <c r="D24" s="88" t="s">
        <v>117</v>
      </c>
      <c r="E24" s="88" t="s">
        <v>118</v>
      </c>
      <c r="F24" s="88" t="s">
        <v>116</v>
      </c>
      <c r="G24" s="90" t="s">
        <v>117</v>
      </c>
      <c r="H24" s="88" t="s">
        <v>118</v>
      </c>
      <c r="I24" s="91" t="s">
        <v>116</v>
      </c>
      <c r="J24" s="90" t="s">
        <v>117</v>
      </c>
      <c r="K24" s="88" t="s">
        <v>118</v>
      </c>
      <c r="L24" s="88" t="s">
        <v>116</v>
      </c>
      <c r="M24" s="90" t="s">
        <v>117</v>
      </c>
      <c r="N24" s="88" t="s">
        <v>118</v>
      </c>
      <c r="O24" s="88" t="s">
        <v>116</v>
      </c>
      <c r="P24" s="90" t="s">
        <v>117</v>
      </c>
      <c r="Q24" s="88" t="s">
        <v>118</v>
      </c>
      <c r="R24" s="88" t="s">
        <v>116</v>
      </c>
      <c r="S24" s="90" t="s">
        <v>117</v>
      </c>
      <c r="T24" s="88" t="s">
        <v>118</v>
      </c>
      <c r="U24" s="88" t="s">
        <v>116</v>
      </c>
      <c r="V24" s="90" t="s">
        <v>117</v>
      </c>
      <c r="W24" s="88" t="s">
        <v>118</v>
      </c>
      <c r="X24" s="93" t="s">
        <v>116</v>
      </c>
      <c r="Y24" s="94" t="s">
        <v>117</v>
      </c>
      <c r="Z24" s="88" t="s">
        <v>118</v>
      </c>
      <c r="AA24" s="88" t="s">
        <v>116</v>
      </c>
      <c r="AB24" s="90" t="s">
        <v>117</v>
      </c>
      <c r="AC24" s="88" t="s">
        <v>118</v>
      </c>
      <c r="AD24" s="88" t="s">
        <v>116</v>
      </c>
      <c r="AE24" s="90" t="s">
        <v>117</v>
      </c>
      <c r="AF24" s="88" t="s">
        <v>118</v>
      </c>
      <c r="AG24" s="88" t="s">
        <v>116</v>
      </c>
      <c r="AH24" s="90" t="s">
        <v>117</v>
      </c>
      <c r="AI24" s="88" t="s">
        <v>118</v>
      </c>
      <c r="AJ24" s="88" t="s">
        <v>116</v>
      </c>
      <c r="AK24" s="90" t="s">
        <v>117</v>
      </c>
      <c r="AL24" s="88" t="s">
        <v>118</v>
      </c>
      <c r="AM24" s="91" t="s">
        <v>116</v>
      </c>
      <c r="AN24" s="90" t="s">
        <v>117</v>
      </c>
      <c r="AO24" s="88" t="s">
        <v>118</v>
      </c>
      <c r="AP24" s="88" t="s">
        <v>116</v>
      </c>
      <c r="AQ24" s="90" t="s">
        <v>117</v>
      </c>
      <c r="AR24" s="88" t="s">
        <v>118</v>
      </c>
      <c r="AS24" s="88" t="s">
        <v>116</v>
      </c>
      <c r="AT24" s="90" t="s">
        <v>117</v>
      </c>
      <c r="AU24" s="88" t="s">
        <v>118</v>
      </c>
      <c r="AV24" s="88" t="s">
        <v>116</v>
      </c>
    </row>
    <row r="25" spans="1:48" x14ac:dyDescent="0.2">
      <c r="A25" s="496" t="s">
        <v>107</v>
      </c>
      <c r="B25" s="497"/>
      <c r="C25" s="498"/>
      <c r="D25" s="98">
        <v>603</v>
      </c>
      <c r="E25" s="98">
        <v>610</v>
      </c>
      <c r="F25" s="107">
        <v>590</v>
      </c>
      <c r="G25" s="101">
        <v>3697</v>
      </c>
      <c r="H25" s="114">
        <v>3528</v>
      </c>
      <c r="I25" s="99">
        <v>3605</v>
      </c>
      <c r="J25" s="101">
        <v>900</v>
      </c>
      <c r="K25" s="98">
        <v>915</v>
      </c>
      <c r="L25" s="107">
        <v>892</v>
      </c>
      <c r="M25" s="101">
        <v>888</v>
      </c>
      <c r="N25" s="98">
        <v>915</v>
      </c>
      <c r="O25" s="107">
        <v>872</v>
      </c>
      <c r="P25" s="101">
        <v>906</v>
      </c>
      <c r="Q25" s="98">
        <v>918</v>
      </c>
      <c r="R25" s="107">
        <v>890</v>
      </c>
      <c r="S25" s="101">
        <v>903</v>
      </c>
      <c r="T25" s="98">
        <v>321</v>
      </c>
      <c r="U25" s="107">
        <v>867</v>
      </c>
      <c r="V25" s="101">
        <v>3597</v>
      </c>
      <c r="W25" s="98">
        <v>3660</v>
      </c>
      <c r="X25" s="99">
        <v>3521</v>
      </c>
      <c r="Y25" s="103">
        <v>910</v>
      </c>
      <c r="Z25" s="104">
        <v>924</v>
      </c>
      <c r="AA25" s="112">
        <v>883</v>
      </c>
      <c r="AB25" s="103">
        <v>911</v>
      </c>
      <c r="AC25" s="104">
        <v>924</v>
      </c>
      <c r="AD25" s="112">
        <v>893</v>
      </c>
      <c r="AE25" s="103">
        <v>917</v>
      </c>
      <c r="AF25" s="104">
        <v>924</v>
      </c>
      <c r="AG25" s="112">
        <v>901</v>
      </c>
      <c r="AH25" s="101">
        <v>654</v>
      </c>
      <c r="AI25" s="98">
        <v>924</v>
      </c>
      <c r="AJ25" s="107">
        <v>650</v>
      </c>
      <c r="AK25" s="103">
        <v>3392</v>
      </c>
      <c r="AL25" s="104">
        <v>3696</v>
      </c>
      <c r="AM25" s="106">
        <v>3327</v>
      </c>
      <c r="AN25" s="103">
        <v>514</v>
      </c>
      <c r="AO25" s="104">
        <v>945</v>
      </c>
      <c r="AP25" s="112">
        <v>319</v>
      </c>
      <c r="AQ25" s="90"/>
      <c r="AR25" s="88"/>
      <c r="AS25" s="88"/>
      <c r="AT25" s="90"/>
      <c r="AU25" s="88"/>
      <c r="AV25" s="88"/>
    </row>
    <row r="26" spans="1:48" x14ac:dyDescent="0.2">
      <c r="A26" s="496" t="s">
        <v>108</v>
      </c>
      <c r="B26" s="497"/>
      <c r="C26" s="498"/>
      <c r="D26" s="98">
        <v>66</v>
      </c>
      <c r="E26" s="98">
        <v>66</v>
      </c>
      <c r="F26" s="107">
        <v>65</v>
      </c>
      <c r="G26" s="101">
        <v>403</v>
      </c>
      <c r="H26" s="114">
        <v>396</v>
      </c>
      <c r="I26" s="99">
        <v>399</v>
      </c>
      <c r="J26" s="101">
        <v>97</v>
      </c>
      <c r="K26" s="98">
        <v>99</v>
      </c>
      <c r="L26" s="107">
        <v>95</v>
      </c>
      <c r="M26" s="101">
        <v>85</v>
      </c>
      <c r="N26" s="98">
        <v>99</v>
      </c>
      <c r="O26" s="107">
        <v>82</v>
      </c>
      <c r="P26" s="101">
        <v>97</v>
      </c>
      <c r="Q26" s="98">
        <v>99</v>
      </c>
      <c r="R26" s="107">
        <v>97</v>
      </c>
      <c r="S26" s="101">
        <v>96</v>
      </c>
      <c r="T26" s="98">
        <v>99</v>
      </c>
      <c r="U26" s="107">
        <v>96</v>
      </c>
      <c r="V26" s="101">
        <v>375</v>
      </c>
      <c r="W26" s="98">
        <v>396</v>
      </c>
      <c r="X26" s="99">
        <v>370</v>
      </c>
      <c r="Y26" s="103">
        <v>99</v>
      </c>
      <c r="Z26" s="104">
        <v>102</v>
      </c>
      <c r="AA26" s="112">
        <v>96</v>
      </c>
      <c r="AB26" s="103">
        <v>99</v>
      </c>
      <c r="AC26" s="104">
        <v>102</v>
      </c>
      <c r="AD26" s="112">
        <v>99</v>
      </c>
      <c r="AE26" s="103">
        <v>102</v>
      </c>
      <c r="AF26" s="104">
        <v>102</v>
      </c>
      <c r="AG26" s="112">
        <v>100</v>
      </c>
      <c r="AH26" s="101">
        <v>68</v>
      </c>
      <c r="AI26" s="98">
        <v>102</v>
      </c>
      <c r="AJ26" s="107">
        <v>68</v>
      </c>
      <c r="AK26" s="103">
        <v>368</v>
      </c>
      <c r="AL26" s="104">
        <v>408</v>
      </c>
      <c r="AM26" s="106">
        <v>365</v>
      </c>
      <c r="AN26" s="103">
        <v>67</v>
      </c>
      <c r="AO26" s="104">
        <v>105</v>
      </c>
      <c r="AP26" s="112">
        <v>36</v>
      </c>
      <c r="AQ26" s="90"/>
      <c r="AR26" s="88"/>
      <c r="AS26" s="88"/>
      <c r="AT26" s="90"/>
      <c r="AU26" s="88"/>
      <c r="AV26" s="88"/>
    </row>
    <row r="27" spans="1:48" ht="30" x14ac:dyDescent="0.2">
      <c r="A27" s="84">
        <v>1</v>
      </c>
      <c r="B27" s="85" t="s">
        <v>71</v>
      </c>
      <c r="C27" s="87" t="s">
        <v>72</v>
      </c>
      <c r="D27" s="96">
        <v>2</v>
      </c>
      <c r="E27" s="96">
        <v>2</v>
      </c>
      <c r="F27" s="108">
        <v>2</v>
      </c>
      <c r="G27" s="102">
        <v>12</v>
      </c>
      <c r="H27" s="115">
        <v>12</v>
      </c>
      <c r="I27" s="97">
        <v>11</v>
      </c>
      <c r="J27" s="102">
        <v>3</v>
      </c>
      <c r="K27" s="96">
        <v>3</v>
      </c>
      <c r="L27" s="108">
        <v>3</v>
      </c>
      <c r="M27" s="102">
        <v>3</v>
      </c>
      <c r="N27" s="96">
        <v>3</v>
      </c>
      <c r="O27" s="108">
        <v>3</v>
      </c>
      <c r="P27" s="102">
        <v>3</v>
      </c>
      <c r="Q27" s="96">
        <v>3</v>
      </c>
      <c r="R27" s="108">
        <v>3</v>
      </c>
      <c r="S27" s="102">
        <v>3</v>
      </c>
      <c r="T27" s="96">
        <v>3</v>
      </c>
      <c r="U27" s="108">
        <v>3</v>
      </c>
      <c r="V27" s="102">
        <v>12</v>
      </c>
      <c r="W27" s="115">
        <v>12</v>
      </c>
      <c r="X27" s="97">
        <v>12</v>
      </c>
      <c r="Y27" s="102">
        <v>3</v>
      </c>
      <c r="Z27" s="96">
        <v>3</v>
      </c>
      <c r="AA27" s="108">
        <v>3</v>
      </c>
      <c r="AB27" s="102">
        <v>3</v>
      </c>
      <c r="AC27" s="96">
        <v>3</v>
      </c>
      <c r="AD27" s="108">
        <v>3</v>
      </c>
      <c r="AE27" s="102">
        <v>3</v>
      </c>
      <c r="AF27" s="96">
        <v>3</v>
      </c>
      <c r="AG27" s="108">
        <v>3</v>
      </c>
      <c r="AH27" s="102">
        <v>3</v>
      </c>
      <c r="AI27" s="96">
        <v>3</v>
      </c>
      <c r="AJ27" s="108">
        <v>3</v>
      </c>
      <c r="AK27" s="102">
        <v>12</v>
      </c>
      <c r="AL27" s="115">
        <v>12</v>
      </c>
      <c r="AM27" s="97">
        <v>12</v>
      </c>
      <c r="AN27" s="102">
        <v>2</v>
      </c>
      <c r="AO27" s="96">
        <v>3</v>
      </c>
      <c r="AP27" s="108">
        <v>1</v>
      </c>
      <c r="AQ27" s="89"/>
      <c r="AR27" s="89"/>
      <c r="AS27" s="89"/>
      <c r="AT27" s="89"/>
      <c r="AU27" s="89"/>
      <c r="AV27" s="89"/>
    </row>
    <row r="28" spans="1:48" ht="30" x14ac:dyDescent="0.2">
      <c r="A28" s="84">
        <v>2</v>
      </c>
      <c r="B28" s="86" t="s">
        <v>73</v>
      </c>
      <c r="C28" s="87" t="s">
        <v>74</v>
      </c>
      <c r="D28" s="96">
        <v>2</v>
      </c>
      <c r="E28" s="96">
        <v>2</v>
      </c>
      <c r="F28" s="108">
        <v>2</v>
      </c>
      <c r="G28" s="102">
        <v>12</v>
      </c>
      <c r="H28" s="115">
        <v>12</v>
      </c>
      <c r="I28" s="97">
        <v>12</v>
      </c>
      <c r="J28" s="102">
        <v>3</v>
      </c>
      <c r="K28" s="96">
        <v>3</v>
      </c>
      <c r="L28" s="108">
        <v>3</v>
      </c>
      <c r="M28" s="102">
        <v>2</v>
      </c>
      <c r="N28" s="96">
        <v>3</v>
      </c>
      <c r="O28" s="108">
        <v>2</v>
      </c>
      <c r="P28" s="102">
        <v>3</v>
      </c>
      <c r="Q28" s="96">
        <v>3</v>
      </c>
      <c r="R28" s="108">
        <v>3</v>
      </c>
      <c r="S28" s="102">
        <v>3</v>
      </c>
      <c r="T28" s="96">
        <v>3</v>
      </c>
      <c r="U28" s="108">
        <v>3</v>
      </c>
      <c r="V28" s="102">
        <v>11</v>
      </c>
      <c r="W28" s="115">
        <v>12</v>
      </c>
      <c r="X28" s="97">
        <v>11</v>
      </c>
      <c r="Y28" s="102">
        <v>3</v>
      </c>
      <c r="Z28" s="96">
        <v>3</v>
      </c>
      <c r="AA28" s="108">
        <v>3</v>
      </c>
      <c r="AB28" s="102">
        <v>3</v>
      </c>
      <c r="AC28" s="96">
        <v>3</v>
      </c>
      <c r="AD28" s="108">
        <v>3</v>
      </c>
      <c r="AE28" s="102">
        <v>3</v>
      </c>
      <c r="AF28" s="96">
        <v>3</v>
      </c>
      <c r="AG28" s="108">
        <v>3</v>
      </c>
      <c r="AH28" s="102">
        <v>4</v>
      </c>
      <c r="AI28" s="96">
        <v>3</v>
      </c>
      <c r="AJ28" s="108">
        <v>4</v>
      </c>
      <c r="AK28" s="102">
        <v>12</v>
      </c>
      <c r="AL28" s="115">
        <v>12</v>
      </c>
      <c r="AM28" s="97">
        <v>13</v>
      </c>
      <c r="AN28" s="102">
        <v>2</v>
      </c>
      <c r="AO28" s="96">
        <v>3</v>
      </c>
      <c r="AP28" s="108">
        <v>1</v>
      </c>
      <c r="AQ28" s="89"/>
      <c r="AR28" s="89"/>
      <c r="AS28" s="89"/>
      <c r="AT28" s="89"/>
      <c r="AU28" s="89"/>
      <c r="AV28" s="89"/>
    </row>
    <row r="29" spans="1:48" x14ac:dyDescent="0.2">
      <c r="A29" s="496" t="s">
        <v>109</v>
      </c>
      <c r="B29" s="497"/>
      <c r="C29" s="498"/>
      <c r="D29" s="96">
        <v>67</v>
      </c>
      <c r="E29" s="96">
        <v>70</v>
      </c>
      <c r="F29" s="108">
        <v>65</v>
      </c>
      <c r="G29" s="102">
        <v>395</v>
      </c>
      <c r="H29" s="115">
        <v>408</v>
      </c>
      <c r="I29" s="97">
        <v>390</v>
      </c>
      <c r="J29" s="102">
        <v>103</v>
      </c>
      <c r="K29" s="96">
        <v>105</v>
      </c>
      <c r="L29" s="108">
        <v>103</v>
      </c>
      <c r="M29" s="102">
        <v>101</v>
      </c>
      <c r="N29" s="96">
        <v>105</v>
      </c>
      <c r="O29" s="108">
        <v>101</v>
      </c>
      <c r="P29" s="102">
        <v>108</v>
      </c>
      <c r="Q29" s="96">
        <v>105</v>
      </c>
      <c r="R29" s="108">
        <v>108</v>
      </c>
      <c r="S29" s="102">
        <v>108</v>
      </c>
      <c r="T29" s="96">
        <v>105</v>
      </c>
      <c r="U29" s="108">
        <v>108</v>
      </c>
      <c r="V29" s="102">
        <v>420</v>
      </c>
      <c r="W29" s="96">
        <v>420</v>
      </c>
      <c r="X29" s="97">
        <v>420</v>
      </c>
      <c r="Y29" s="105">
        <v>104</v>
      </c>
      <c r="Z29" s="100">
        <v>105</v>
      </c>
      <c r="AA29" s="113">
        <v>103</v>
      </c>
      <c r="AB29" s="105">
        <v>104</v>
      </c>
      <c r="AC29" s="100">
        <v>105</v>
      </c>
      <c r="AD29" s="113">
        <v>103</v>
      </c>
      <c r="AE29" s="105">
        <v>105</v>
      </c>
      <c r="AF29" s="100">
        <v>105</v>
      </c>
      <c r="AG29" s="113">
        <v>98</v>
      </c>
      <c r="AH29" s="102">
        <v>79</v>
      </c>
      <c r="AI29" s="96">
        <v>105</v>
      </c>
      <c r="AJ29" s="108">
        <v>78</v>
      </c>
      <c r="AK29" s="102">
        <v>392</v>
      </c>
      <c r="AL29" s="96">
        <v>420</v>
      </c>
      <c r="AM29" s="97">
        <v>382</v>
      </c>
      <c r="AN29" s="105">
        <v>74</v>
      </c>
      <c r="AO29" s="100">
        <v>108</v>
      </c>
      <c r="AP29" s="113">
        <v>37</v>
      </c>
      <c r="AQ29" s="89"/>
      <c r="AR29" s="89"/>
      <c r="AS29" s="89"/>
      <c r="AT29" s="89"/>
      <c r="AU29" s="89"/>
      <c r="AV29" s="89"/>
    </row>
    <row r="30" spans="1:48" ht="34" x14ac:dyDescent="0.2">
      <c r="A30" s="84">
        <v>3</v>
      </c>
      <c r="B30" s="86" t="s">
        <v>75</v>
      </c>
      <c r="C30" s="87" t="s">
        <v>76</v>
      </c>
      <c r="D30" s="96">
        <v>2</v>
      </c>
      <c r="E30" s="96">
        <v>2</v>
      </c>
      <c r="F30" s="108">
        <v>2</v>
      </c>
      <c r="G30" s="102">
        <v>12</v>
      </c>
      <c r="H30" s="115">
        <v>12</v>
      </c>
      <c r="I30" s="97">
        <v>12</v>
      </c>
      <c r="J30" s="102">
        <v>3</v>
      </c>
      <c r="K30" s="96">
        <v>3</v>
      </c>
      <c r="L30" s="108">
        <v>3</v>
      </c>
      <c r="M30" s="102">
        <v>3</v>
      </c>
      <c r="N30" s="96">
        <v>3</v>
      </c>
      <c r="O30" s="108">
        <v>3</v>
      </c>
      <c r="P30" s="102">
        <v>3</v>
      </c>
      <c r="Q30" s="96">
        <v>3</v>
      </c>
      <c r="R30" s="108">
        <v>3</v>
      </c>
      <c r="S30" s="102">
        <v>3</v>
      </c>
      <c r="T30" s="96">
        <v>3</v>
      </c>
      <c r="U30" s="108">
        <v>3</v>
      </c>
      <c r="V30" s="102">
        <v>12</v>
      </c>
      <c r="W30" s="115">
        <v>12</v>
      </c>
      <c r="X30" s="97">
        <v>12</v>
      </c>
      <c r="Y30" s="102">
        <v>3</v>
      </c>
      <c r="Z30" s="96">
        <v>3</v>
      </c>
      <c r="AA30" s="108">
        <v>3</v>
      </c>
      <c r="AB30" s="102">
        <v>3</v>
      </c>
      <c r="AC30" s="96">
        <v>3</v>
      </c>
      <c r="AD30" s="108">
        <v>3</v>
      </c>
      <c r="AE30" s="102">
        <v>3</v>
      </c>
      <c r="AF30" s="96">
        <v>3</v>
      </c>
      <c r="AG30" s="108">
        <v>3</v>
      </c>
      <c r="AH30" s="102">
        <v>3</v>
      </c>
      <c r="AI30" s="96">
        <v>3</v>
      </c>
      <c r="AJ30" s="108">
        <v>3</v>
      </c>
      <c r="AK30" s="102">
        <v>12</v>
      </c>
      <c r="AL30" s="115">
        <v>12</v>
      </c>
      <c r="AM30" s="97">
        <v>12</v>
      </c>
      <c r="AN30" s="102">
        <v>2</v>
      </c>
      <c r="AO30" s="96">
        <v>3</v>
      </c>
      <c r="AP30" s="108">
        <v>1</v>
      </c>
      <c r="AQ30" s="89"/>
      <c r="AR30" s="89"/>
      <c r="AS30" s="89"/>
      <c r="AT30" s="89"/>
      <c r="AU30" s="89"/>
      <c r="AV30" s="89"/>
    </row>
    <row r="31" spans="1:48" ht="30" x14ac:dyDescent="0.2">
      <c r="A31" s="84">
        <v>4</v>
      </c>
      <c r="B31" s="86" t="s">
        <v>77</v>
      </c>
      <c r="C31" s="87" t="s">
        <v>78</v>
      </c>
      <c r="D31" s="96">
        <v>2</v>
      </c>
      <c r="E31" s="96">
        <v>2</v>
      </c>
      <c r="F31" s="108">
        <v>2</v>
      </c>
      <c r="G31" s="102">
        <v>12</v>
      </c>
      <c r="H31" s="115">
        <v>12</v>
      </c>
      <c r="I31" s="97">
        <v>11</v>
      </c>
      <c r="J31" s="102">
        <v>3</v>
      </c>
      <c r="K31" s="96">
        <v>3</v>
      </c>
      <c r="L31" s="108">
        <v>3</v>
      </c>
      <c r="M31" s="102">
        <v>3</v>
      </c>
      <c r="N31" s="96">
        <v>3</v>
      </c>
      <c r="O31" s="108">
        <v>3</v>
      </c>
      <c r="P31" s="102">
        <v>3</v>
      </c>
      <c r="Q31" s="96">
        <v>3</v>
      </c>
      <c r="R31" s="108">
        <v>3</v>
      </c>
      <c r="S31" s="102">
        <v>3</v>
      </c>
      <c r="T31" s="96">
        <v>3</v>
      </c>
      <c r="U31" s="108">
        <v>3</v>
      </c>
      <c r="V31" s="102">
        <v>12</v>
      </c>
      <c r="W31" s="115">
        <v>12</v>
      </c>
      <c r="X31" s="97">
        <v>12</v>
      </c>
      <c r="Y31" s="102">
        <v>3</v>
      </c>
      <c r="Z31" s="96">
        <v>3</v>
      </c>
      <c r="AA31" s="108">
        <v>3</v>
      </c>
      <c r="AB31" s="102">
        <v>3</v>
      </c>
      <c r="AC31" s="96">
        <v>3</v>
      </c>
      <c r="AD31" s="108">
        <v>3</v>
      </c>
      <c r="AE31" s="102">
        <v>3</v>
      </c>
      <c r="AF31" s="96">
        <v>3</v>
      </c>
      <c r="AG31" s="108">
        <v>3</v>
      </c>
      <c r="AH31" s="102">
        <v>3</v>
      </c>
      <c r="AI31" s="96">
        <v>3</v>
      </c>
      <c r="AJ31" s="108">
        <v>3</v>
      </c>
      <c r="AK31" s="102">
        <v>12</v>
      </c>
      <c r="AL31" s="115">
        <v>12</v>
      </c>
      <c r="AM31" s="97">
        <v>12</v>
      </c>
      <c r="AN31" s="102">
        <v>2</v>
      </c>
      <c r="AO31" s="96">
        <v>3</v>
      </c>
      <c r="AP31" s="108">
        <v>1</v>
      </c>
      <c r="AQ31" s="89"/>
      <c r="AR31" s="89"/>
      <c r="AS31" s="89"/>
      <c r="AT31" s="89"/>
      <c r="AU31" s="89"/>
      <c r="AV31" s="89"/>
    </row>
    <row r="32" spans="1:48" x14ac:dyDescent="0.2">
      <c r="A32" s="496" t="s">
        <v>110</v>
      </c>
      <c r="B32" s="497"/>
      <c r="C32" s="498"/>
      <c r="D32" s="96">
        <v>50</v>
      </c>
      <c r="E32" s="96">
        <v>56</v>
      </c>
      <c r="F32" s="108">
        <v>50</v>
      </c>
      <c r="G32" s="102">
        <v>314</v>
      </c>
      <c r="H32" s="115">
        <v>324</v>
      </c>
      <c r="I32" s="97">
        <v>299</v>
      </c>
      <c r="J32" s="102">
        <v>75</v>
      </c>
      <c r="K32" s="96">
        <v>84</v>
      </c>
      <c r="L32" s="108">
        <v>75</v>
      </c>
      <c r="M32" s="102">
        <v>76</v>
      </c>
      <c r="N32" s="96">
        <v>84</v>
      </c>
      <c r="O32" s="108">
        <v>73</v>
      </c>
      <c r="P32" s="102">
        <v>76</v>
      </c>
      <c r="Q32" s="96">
        <v>84</v>
      </c>
      <c r="R32" s="108">
        <v>75</v>
      </c>
      <c r="S32" s="102">
        <v>83</v>
      </c>
      <c r="T32" s="96">
        <v>84</v>
      </c>
      <c r="U32" s="108">
        <v>74</v>
      </c>
      <c r="V32" s="102">
        <v>310</v>
      </c>
      <c r="W32" s="96">
        <v>336</v>
      </c>
      <c r="X32" s="97">
        <v>297</v>
      </c>
      <c r="Y32" s="105">
        <v>85</v>
      </c>
      <c r="Z32" s="100">
        <v>84</v>
      </c>
      <c r="AA32" s="113">
        <v>73</v>
      </c>
      <c r="AB32" s="105">
        <v>84</v>
      </c>
      <c r="AC32" s="100">
        <v>84</v>
      </c>
      <c r="AD32" s="113">
        <v>79</v>
      </c>
      <c r="AE32" s="105">
        <v>84</v>
      </c>
      <c r="AF32" s="100">
        <v>84</v>
      </c>
      <c r="AG32" s="113">
        <v>84</v>
      </c>
      <c r="AH32" s="102">
        <v>56</v>
      </c>
      <c r="AI32" s="96">
        <v>84</v>
      </c>
      <c r="AJ32" s="108">
        <v>56</v>
      </c>
      <c r="AK32" s="102">
        <v>309</v>
      </c>
      <c r="AL32" s="96">
        <v>336</v>
      </c>
      <c r="AM32" s="97">
        <v>292</v>
      </c>
      <c r="AN32" s="105">
        <v>24</v>
      </c>
      <c r="AO32" s="100">
        <v>84</v>
      </c>
      <c r="AP32" s="113">
        <v>24</v>
      </c>
      <c r="AQ32" s="89"/>
      <c r="AR32" s="89"/>
      <c r="AS32" s="89"/>
      <c r="AT32" s="89"/>
      <c r="AU32" s="89"/>
      <c r="AV32" s="89"/>
    </row>
    <row r="33" spans="1:48" ht="34" x14ac:dyDescent="0.2">
      <c r="A33" s="84">
        <v>5</v>
      </c>
      <c r="B33" s="86" t="s">
        <v>79</v>
      </c>
      <c r="C33" s="87" t="s">
        <v>80</v>
      </c>
      <c r="D33" s="96">
        <v>2</v>
      </c>
      <c r="E33" s="96">
        <v>2</v>
      </c>
      <c r="F33" s="108">
        <v>2</v>
      </c>
      <c r="G33" s="102">
        <v>12</v>
      </c>
      <c r="H33" s="115">
        <v>12</v>
      </c>
      <c r="I33" s="97">
        <v>11</v>
      </c>
      <c r="J33" s="102">
        <v>3</v>
      </c>
      <c r="K33" s="96">
        <v>3</v>
      </c>
      <c r="L33" s="108">
        <v>3</v>
      </c>
      <c r="M33" s="102">
        <v>3</v>
      </c>
      <c r="N33" s="96">
        <v>3</v>
      </c>
      <c r="O33" s="108">
        <v>3</v>
      </c>
      <c r="P33" s="102">
        <v>3</v>
      </c>
      <c r="Q33" s="96">
        <v>3</v>
      </c>
      <c r="R33" s="108">
        <v>3</v>
      </c>
      <c r="S33" s="102">
        <v>3</v>
      </c>
      <c r="T33" s="96">
        <v>3</v>
      </c>
      <c r="U33" s="108">
        <v>3</v>
      </c>
      <c r="V33" s="102">
        <v>12</v>
      </c>
      <c r="W33" s="115">
        <v>12</v>
      </c>
      <c r="X33" s="97">
        <v>12</v>
      </c>
      <c r="Y33" s="102">
        <v>3</v>
      </c>
      <c r="Z33" s="96">
        <v>3</v>
      </c>
      <c r="AA33" s="108">
        <v>3</v>
      </c>
      <c r="AB33" s="102">
        <v>3</v>
      </c>
      <c r="AC33" s="96">
        <v>3</v>
      </c>
      <c r="AD33" s="108">
        <v>3</v>
      </c>
      <c r="AE33" s="102">
        <v>3</v>
      </c>
      <c r="AF33" s="96">
        <v>3</v>
      </c>
      <c r="AG33" s="108">
        <v>3</v>
      </c>
      <c r="AH33" s="102">
        <v>3</v>
      </c>
      <c r="AI33" s="96">
        <v>3</v>
      </c>
      <c r="AJ33" s="108">
        <v>3</v>
      </c>
      <c r="AK33" s="102">
        <v>12</v>
      </c>
      <c r="AL33" s="115">
        <v>12</v>
      </c>
      <c r="AM33" s="97">
        <v>12</v>
      </c>
      <c r="AN33" s="102">
        <v>1</v>
      </c>
      <c r="AO33" s="96">
        <v>3</v>
      </c>
      <c r="AP33" s="108">
        <v>1</v>
      </c>
      <c r="AQ33" s="89"/>
      <c r="AR33" s="89"/>
      <c r="AS33" s="89"/>
      <c r="AT33" s="89"/>
      <c r="AU33" s="89"/>
      <c r="AV33" s="89"/>
    </row>
    <row r="34" spans="1:48" ht="30" x14ac:dyDescent="0.2">
      <c r="A34" s="84">
        <v>6</v>
      </c>
      <c r="B34" s="86" t="s">
        <v>81</v>
      </c>
      <c r="C34" s="87" t="s">
        <v>82</v>
      </c>
      <c r="D34" s="96">
        <v>2</v>
      </c>
      <c r="E34" s="96">
        <v>2</v>
      </c>
      <c r="F34" s="108">
        <v>2</v>
      </c>
      <c r="G34" s="102">
        <v>12</v>
      </c>
      <c r="H34" s="115">
        <v>12</v>
      </c>
      <c r="I34" s="97">
        <v>12</v>
      </c>
      <c r="J34" s="102">
        <v>3</v>
      </c>
      <c r="K34" s="96">
        <v>3</v>
      </c>
      <c r="L34" s="108">
        <v>3</v>
      </c>
      <c r="M34" s="102">
        <v>3</v>
      </c>
      <c r="N34" s="96">
        <v>3</v>
      </c>
      <c r="O34" s="108">
        <v>3</v>
      </c>
      <c r="P34" s="102">
        <v>3</v>
      </c>
      <c r="Q34" s="96">
        <v>3</v>
      </c>
      <c r="R34" s="108">
        <v>3</v>
      </c>
      <c r="S34" s="102">
        <v>3</v>
      </c>
      <c r="T34" s="96">
        <v>3</v>
      </c>
      <c r="U34" s="108">
        <v>3</v>
      </c>
      <c r="V34" s="102">
        <v>12</v>
      </c>
      <c r="W34" s="115">
        <v>12</v>
      </c>
      <c r="X34" s="97">
        <v>12</v>
      </c>
      <c r="Y34" s="102">
        <v>3</v>
      </c>
      <c r="Z34" s="96">
        <v>3</v>
      </c>
      <c r="AA34" s="108">
        <v>3</v>
      </c>
      <c r="AB34" s="102">
        <v>3</v>
      </c>
      <c r="AC34" s="96">
        <v>3</v>
      </c>
      <c r="AD34" s="108">
        <v>3</v>
      </c>
      <c r="AE34" s="102">
        <v>3</v>
      </c>
      <c r="AF34" s="96">
        <v>3</v>
      </c>
      <c r="AG34" s="108">
        <v>3</v>
      </c>
      <c r="AH34" s="102">
        <v>3</v>
      </c>
      <c r="AI34" s="96">
        <v>3</v>
      </c>
      <c r="AJ34" s="108">
        <v>3</v>
      </c>
      <c r="AK34" s="102">
        <v>12</v>
      </c>
      <c r="AL34" s="115">
        <v>12</v>
      </c>
      <c r="AM34" s="97">
        <v>12</v>
      </c>
      <c r="AN34" s="102">
        <v>1</v>
      </c>
      <c r="AO34" s="96">
        <v>3</v>
      </c>
      <c r="AP34" s="108">
        <v>1</v>
      </c>
      <c r="AQ34" s="89"/>
      <c r="AR34" s="89"/>
      <c r="AS34" s="89"/>
      <c r="AT34" s="89"/>
      <c r="AU34" s="89"/>
      <c r="AV34" s="89"/>
    </row>
    <row r="35" spans="1:48" x14ac:dyDescent="0.2">
      <c r="A35" s="496" t="s">
        <v>111</v>
      </c>
      <c r="B35" s="497"/>
      <c r="C35" s="498"/>
      <c r="D35" s="96">
        <v>110</v>
      </c>
      <c r="E35" s="96">
        <v>104</v>
      </c>
      <c r="F35" s="108">
        <v>110</v>
      </c>
      <c r="G35" s="102">
        <v>655</v>
      </c>
      <c r="H35" s="115">
        <v>564</v>
      </c>
      <c r="I35" s="97">
        <v>641</v>
      </c>
      <c r="J35" s="102">
        <v>161</v>
      </c>
      <c r="K35" s="96">
        <v>156</v>
      </c>
      <c r="L35" s="108">
        <v>160</v>
      </c>
      <c r="M35" s="102">
        <v>165</v>
      </c>
      <c r="N35" s="96">
        <v>156</v>
      </c>
      <c r="O35" s="108">
        <v>160</v>
      </c>
      <c r="P35" s="102">
        <v>158</v>
      </c>
      <c r="Q35" s="96">
        <v>156</v>
      </c>
      <c r="R35" s="108">
        <v>147</v>
      </c>
      <c r="S35" s="102">
        <v>150</v>
      </c>
      <c r="T35" s="96">
        <v>156</v>
      </c>
      <c r="U35" s="108">
        <v>133</v>
      </c>
      <c r="V35" s="102">
        <v>634</v>
      </c>
      <c r="W35" s="96">
        <v>624</v>
      </c>
      <c r="X35" s="97">
        <v>600</v>
      </c>
      <c r="Y35" s="105">
        <v>150</v>
      </c>
      <c r="Z35" s="100">
        <v>156</v>
      </c>
      <c r="AA35" s="113">
        <v>149</v>
      </c>
      <c r="AB35" s="105">
        <v>151</v>
      </c>
      <c r="AC35" s="100">
        <v>156</v>
      </c>
      <c r="AD35" s="113">
        <v>150</v>
      </c>
      <c r="AE35" s="105">
        <v>152</v>
      </c>
      <c r="AF35" s="100">
        <v>156</v>
      </c>
      <c r="AG35" s="113">
        <v>148</v>
      </c>
      <c r="AH35" s="102">
        <v>100</v>
      </c>
      <c r="AI35" s="96">
        <v>156</v>
      </c>
      <c r="AJ35" s="108">
        <v>99</v>
      </c>
      <c r="AK35" s="102">
        <v>553</v>
      </c>
      <c r="AL35" s="96">
        <v>624</v>
      </c>
      <c r="AM35" s="97">
        <v>546</v>
      </c>
      <c r="AN35" s="105">
        <v>118</v>
      </c>
      <c r="AO35" s="100">
        <v>156</v>
      </c>
      <c r="AP35" s="113">
        <v>60</v>
      </c>
      <c r="AQ35" s="89"/>
      <c r="AR35" s="89"/>
      <c r="AS35" s="89"/>
      <c r="AT35" s="89"/>
      <c r="AU35" s="89"/>
      <c r="AV35" s="89"/>
    </row>
    <row r="36" spans="1:48" ht="30" x14ac:dyDescent="0.2">
      <c r="A36" s="84">
        <v>7</v>
      </c>
      <c r="B36" s="86" t="s">
        <v>83</v>
      </c>
      <c r="C36" s="87" t="s">
        <v>84</v>
      </c>
      <c r="D36" s="96">
        <v>2</v>
      </c>
      <c r="E36" s="96">
        <v>2</v>
      </c>
      <c r="F36" s="108">
        <v>2</v>
      </c>
      <c r="G36" s="102">
        <v>12</v>
      </c>
      <c r="H36" s="115">
        <v>12</v>
      </c>
      <c r="I36" s="97">
        <v>11</v>
      </c>
      <c r="J36" s="102">
        <v>3</v>
      </c>
      <c r="K36" s="96">
        <v>3</v>
      </c>
      <c r="L36" s="108">
        <v>3</v>
      </c>
      <c r="M36" s="102">
        <v>3</v>
      </c>
      <c r="N36" s="96">
        <v>3</v>
      </c>
      <c r="O36" s="108">
        <v>3</v>
      </c>
      <c r="P36" s="102">
        <v>3</v>
      </c>
      <c r="Q36" s="96">
        <v>3</v>
      </c>
      <c r="R36" s="108">
        <v>3</v>
      </c>
      <c r="S36" s="102">
        <v>3</v>
      </c>
      <c r="T36" s="96">
        <v>3</v>
      </c>
      <c r="U36" s="108">
        <v>2</v>
      </c>
      <c r="V36" s="102">
        <v>12</v>
      </c>
      <c r="W36" s="115">
        <v>12</v>
      </c>
      <c r="X36" s="97">
        <v>11</v>
      </c>
      <c r="Y36" s="102">
        <v>3</v>
      </c>
      <c r="Z36" s="96">
        <v>3</v>
      </c>
      <c r="AA36" s="108">
        <v>3</v>
      </c>
      <c r="AB36" s="102">
        <v>3</v>
      </c>
      <c r="AC36" s="96">
        <v>3</v>
      </c>
      <c r="AD36" s="108">
        <v>3</v>
      </c>
      <c r="AE36" s="102">
        <v>3</v>
      </c>
      <c r="AF36" s="96">
        <v>3</v>
      </c>
      <c r="AG36" s="108">
        <v>3</v>
      </c>
      <c r="AH36" s="102">
        <v>3</v>
      </c>
      <c r="AI36" s="96">
        <v>3</v>
      </c>
      <c r="AJ36" s="108">
        <v>3</v>
      </c>
      <c r="AK36" s="102">
        <v>12</v>
      </c>
      <c r="AL36" s="115">
        <v>12</v>
      </c>
      <c r="AM36" s="97">
        <v>12</v>
      </c>
      <c r="AN36" s="102">
        <v>3</v>
      </c>
      <c r="AO36" s="96">
        <v>3</v>
      </c>
      <c r="AP36" s="108">
        <v>1</v>
      </c>
      <c r="AQ36" s="89"/>
      <c r="AR36" s="89"/>
      <c r="AS36" s="89"/>
      <c r="AT36" s="89"/>
      <c r="AU36" s="89"/>
      <c r="AV36" s="89"/>
    </row>
    <row r="37" spans="1:48" ht="34" x14ac:dyDescent="0.2">
      <c r="A37" s="84">
        <v>8</v>
      </c>
      <c r="B37" s="86" t="s">
        <v>85</v>
      </c>
      <c r="C37" s="87" t="s">
        <v>86</v>
      </c>
      <c r="D37" s="96">
        <v>2</v>
      </c>
      <c r="E37" s="96">
        <v>2</v>
      </c>
      <c r="F37" s="108">
        <v>2</v>
      </c>
      <c r="G37" s="102">
        <v>12</v>
      </c>
      <c r="H37" s="115">
        <v>12</v>
      </c>
      <c r="I37" s="97">
        <v>12</v>
      </c>
      <c r="J37" s="102">
        <v>3</v>
      </c>
      <c r="K37" s="96">
        <v>3</v>
      </c>
      <c r="L37" s="108">
        <v>3</v>
      </c>
      <c r="M37" s="102">
        <v>3</v>
      </c>
      <c r="N37" s="96">
        <v>3</v>
      </c>
      <c r="O37" s="108">
        <v>3</v>
      </c>
      <c r="P37" s="102">
        <v>3</v>
      </c>
      <c r="Q37" s="96">
        <v>3</v>
      </c>
      <c r="R37" s="108">
        <v>2</v>
      </c>
      <c r="S37" s="102">
        <v>3</v>
      </c>
      <c r="T37" s="96">
        <v>3</v>
      </c>
      <c r="U37" s="108">
        <v>3</v>
      </c>
      <c r="V37" s="102">
        <v>12</v>
      </c>
      <c r="W37" s="115">
        <v>12</v>
      </c>
      <c r="X37" s="97">
        <v>11</v>
      </c>
      <c r="Y37" s="102">
        <v>3</v>
      </c>
      <c r="Z37" s="96">
        <v>3</v>
      </c>
      <c r="AA37" s="108">
        <v>3</v>
      </c>
      <c r="AB37" s="102">
        <v>3</v>
      </c>
      <c r="AC37" s="96">
        <v>3</v>
      </c>
      <c r="AD37" s="108">
        <v>3</v>
      </c>
      <c r="AE37" s="102">
        <v>2</v>
      </c>
      <c r="AF37" s="96">
        <v>3</v>
      </c>
      <c r="AG37" s="108">
        <v>2</v>
      </c>
      <c r="AH37" s="102">
        <v>3</v>
      </c>
      <c r="AI37" s="96">
        <v>3</v>
      </c>
      <c r="AJ37" s="108">
        <v>3</v>
      </c>
      <c r="AK37" s="102">
        <v>11</v>
      </c>
      <c r="AL37" s="115">
        <v>12</v>
      </c>
      <c r="AM37" s="97">
        <v>11</v>
      </c>
      <c r="AN37" s="102">
        <v>2</v>
      </c>
      <c r="AO37" s="96">
        <v>3</v>
      </c>
      <c r="AP37" s="108">
        <v>1</v>
      </c>
      <c r="AQ37" s="89"/>
      <c r="AR37" s="89"/>
      <c r="AS37" s="89"/>
      <c r="AT37" s="89"/>
      <c r="AU37" s="89"/>
      <c r="AV37" s="89"/>
    </row>
    <row r="38" spans="1:48" x14ac:dyDescent="0.2">
      <c r="A38" s="496" t="s">
        <v>112</v>
      </c>
      <c r="B38" s="497"/>
      <c r="C38" s="498"/>
      <c r="D38" s="100">
        <v>106</v>
      </c>
      <c r="E38" s="100">
        <v>100</v>
      </c>
      <c r="F38" s="113">
        <v>100</v>
      </c>
      <c r="G38" s="102">
        <v>647</v>
      </c>
      <c r="H38" s="116">
        <v>600</v>
      </c>
      <c r="I38" s="97">
        <v>613</v>
      </c>
      <c r="J38" s="102">
        <v>158</v>
      </c>
      <c r="K38" s="96">
        <v>150</v>
      </c>
      <c r="L38" s="108">
        <v>153</v>
      </c>
      <c r="M38" s="102">
        <v>159</v>
      </c>
      <c r="N38" s="96">
        <v>150</v>
      </c>
      <c r="O38" s="108">
        <v>154</v>
      </c>
      <c r="P38" s="102">
        <v>156</v>
      </c>
      <c r="Q38" s="96">
        <v>150</v>
      </c>
      <c r="R38" s="108">
        <v>156</v>
      </c>
      <c r="S38" s="102">
        <v>153</v>
      </c>
      <c r="T38" s="96">
        <v>150</v>
      </c>
      <c r="U38" s="108">
        <v>148</v>
      </c>
      <c r="V38" s="102">
        <v>626</v>
      </c>
      <c r="W38" s="96">
        <v>600</v>
      </c>
      <c r="X38" s="97">
        <v>611</v>
      </c>
      <c r="Y38" s="105">
        <v>150</v>
      </c>
      <c r="Z38" s="100">
        <v>150</v>
      </c>
      <c r="AA38" s="113">
        <v>149</v>
      </c>
      <c r="AB38" s="105">
        <v>148</v>
      </c>
      <c r="AC38" s="100">
        <v>150</v>
      </c>
      <c r="AD38" s="113">
        <v>146</v>
      </c>
      <c r="AE38" s="105">
        <v>153</v>
      </c>
      <c r="AF38" s="100">
        <v>150</v>
      </c>
      <c r="AG38" s="113">
        <v>153</v>
      </c>
      <c r="AH38" s="102">
        <v>101</v>
      </c>
      <c r="AI38" s="96">
        <v>150</v>
      </c>
      <c r="AJ38" s="108">
        <v>101</v>
      </c>
      <c r="AK38" s="102">
        <v>552</v>
      </c>
      <c r="AL38" s="96">
        <v>600</v>
      </c>
      <c r="AM38" s="97">
        <v>549</v>
      </c>
      <c r="AN38" s="105">
        <v>68</v>
      </c>
      <c r="AO38" s="100">
        <v>156</v>
      </c>
      <c r="AP38" s="113">
        <v>52</v>
      </c>
      <c r="AQ38" s="89"/>
      <c r="AR38" s="89"/>
      <c r="AS38" s="89"/>
      <c r="AT38" s="89"/>
      <c r="AU38" s="89"/>
      <c r="AV38" s="89"/>
    </row>
    <row r="39" spans="1:48" ht="30" x14ac:dyDescent="0.2">
      <c r="A39" s="84">
        <v>9</v>
      </c>
      <c r="B39" s="86" t="s">
        <v>87</v>
      </c>
      <c r="C39" s="87" t="s">
        <v>88</v>
      </c>
      <c r="D39" s="96">
        <v>2</v>
      </c>
      <c r="E39" s="96">
        <v>2</v>
      </c>
      <c r="F39" s="108">
        <v>2</v>
      </c>
      <c r="G39" s="102">
        <v>12</v>
      </c>
      <c r="H39" s="115">
        <v>12</v>
      </c>
      <c r="I39" s="97">
        <v>12</v>
      </c>
      <c r="J39" s="102">
        <v>3</v>
      </c>
      <c r="K39" s="96">
        <v>3</v>
      </c>
      <c r="L39" s="108">
        <v>3</v>
      </c>
      <c r="M39" s="102">
        <v>3</v>
      </c>
      <c r="N39" s="96">
        <v>3</v>
      </c>
      <c r="O39" s="108">
        <v>3</v>
      </c>
      <c r="P39" s="102">
        <v>3</v>
      </c>
      <c r="Q39" s="96">
        <v>3</v>
      </c>
      <c r="R39" s="108">
        <v>3</v>
      </c>
      <c r="S39" s="102">
        <v>3</v>
      </c>
      <c r="T39" s="96">
        <v>3</v>
      </c>
      <c r="U39" s="108">
        <v>3</v>
      </c>
      <c r="V39" s="102">
        <v>12</v>
      </c>
      <c r="W39" s="115">
        <v>12</v>
      </c>
      <c r="X39" s="97">
        <v>12</v>
      </c>
      <c r="Y39" s="102">
        <v>3</v>
      </c>
      <c r="Z39" s="96">
        <v>3</v>
      </c>
      <c r="AA39" s="108">
        <v>3</v>
      </c>
      <c r="AB39" s="102">
        <v>3</v>
      </c>
      <c r="AC39" s="96">
        <v>3</v>
      </c>
      <c r="AD39" s="108">
        <v>3</v>
      </c>
      <c r="AE39" s="102">
        <v>3</v>
      </c>
      <c r="AF39" s="96">
        <v>3</v>
      </c>
      <c r="AG39" s="108">
        <v>3</v>
      </c>
      <c r="AH39" s="102">
        <v>3</v>
      </c>
      <c r="AI39" s="96">
        <v>3</v>
      </c>
      <c r="AJ39" s="108">
        <v>3</v>
      </c>
      <c r="AK39" s="102">
        <v>12</v>
      </c>
      <c r="AL39" s="115">
        <v>12</v>
      </c>
      <c r="AM39" s="97">
        <v>12</v>
      </c>
      <c r="AN39" s="102">
        <v>2</v>
      </c>
      <c r="AO39" s="96">
        <v>3</v>
      </c>
      <c r="AP39" s="108">
        <v>1</v>
      </c>
      <c r="AQ39" s="89"/>
      <c r="AR39" s="89"/>
      <c r="AS39" s="89"/>
      <c r="AT39" s="89"/>
      <c r="AU39" s="89"/>
      <c r="AV39" s="89"/>
    </row>
    <row r="40" spans="1:48" ht="30" x14ac:dyDescent="0.2">
      <c r="A40" s="84">
        <v>10</v>
      </c>
      <c r="B40" s="86" t="s">
        <v>89</v>
      </c>
      <c r="C40" s="87" t="s">
        <v>90</v>
      </c>
      <c r="D40" s="96">
        <v>2</v>
      </c>
      <c r="E40" s="96">
        <v>2</v>
      </c>
      <c r="F40" s="108">
        <v>2</v>
      </c>
      <c r="G40" s="102">
        <v>12</v>
      </c>
      <c r="H40" s="115">
        <v>12</v>
      </c>
      <c r="I40" s="97">
        <v>12</v>
      </c>
      <c r="J40" s="102">
        <v>3</v>
      </c>
      <c r="K40" s="96">
        <v>3</v>
      </c>
      <c r="L40" s="108">
        <v>2</v>
      </c>
      <c r="M40" s="102">
        <v>3</v>
      </c>
      <c r="N40" s="96">
        <v>3</v>
      </c>
      <c r="O40" s="108">
        <v>3</v>
      </c>
      <c r="P40" s="102">
        <v>3</v>
      </c>
      <c r="Q40" s="96">
        <v>3</v>
      </c>
      <c r="R40" s="108">
        <v>3</v>
      </c>
      <c r="S40" s="102">
        <v>3</v>
      </c>
      <c r="T40" s="96">
        <v>3</v>
      </c>
      <c r="U40" s="108">
        <v>3</v>
      </c>
      <c r="V40" s="102">
        <v>12</v>
      </c>
      <c r="W40" s="115">
        <v>12</v>
      </c>
      <c r="X40" s="97">
        <v>11</v>
      </c>
      <c r="Y40" s="102">
        <v>3</v>
      </c>
      <c r="Z40" s="96">
        <v>3</v>
      </c>
      <c r="AA40" s="108">
        <v>3</v>
      </c>
      <c r="AB40" s="102">
        <v>3</v>
      </c>
      <c r="AC40" s="96">
        <v>3</v>
      </c>
      <c r="AD40" s="108">
        <v>3</v>
      </c>
      <c r="AE40" s="102">
        <v>3</v>
      </c>
      <c r="AF40" s="96">
        <v>3</v>
      </c>
      <c r="AG40" s="108">
        <v>3</v>
      </c>
      <c r="AH40" s="102">
        <v>3</v>
      </c>
      <c r="AI40" s="96">
        <v>3</v>
      </c>
      <c r="AJ40" s="108">
        <v>3</v>
      </c>
      <c r="AK40" s="102">
        <v>12</v>
      </c>
      <c r="AL40" s="115">
        <v>12</v>
      </c>
      <c r="AM40" s="97">
        <v>12</v>
      </c>
      <c r="AN40" s="102">
        <v>1</v>
      </c>
      <c r="AO40" s="96">
        <v>3</v>
      </c>
      <c r="AP40" s="108">
        <v>1</v>
      </c>
      <c r="AQ40" s="89"/>
      <c r="AR40" s="89"/>
      <c r="AS40" s="89"/>
      <c r="AT40" s="89"/>
      <c r="AU40" s="89"/>
      <c r="AV40" s="89"/>
    </row>
    <row r="41" spans="1:48" ht="30" x14ac:dyDescent="0.2">
      <c r="A41" s="84">
        <v>11</v>
      </c>
      <c r="B41" s="86" t="s">
        <v>89</v>
      </c>
      <c r="C41" s="87" t="s">
        <v>91</v>
      </c>
      <c r="D41" s="96">
        <v>2</v>
      </c>
      <c r="E41" s="96">
        <v>2</v>
      </c>
      <c r="F41" s="108">
        <v>2</v>
      </c>
      <c r="G41" s="102">
        <v>12</v>
      </c>
      <c r="H41" s="115">
        <v>12</v>
      </c>
      <c r="I41" s="97">
        <v>10</v>
      </c>
      <c r="J41" s="102">
        <v>3</v>
      </c>
      <c r="K41" s="96">
        <v>3</v>
      </c>
      <c r="L41" s="108">
        <v>3</v>
      </c>
      <c r="M41" s="102">
        <v>3</v>
      </c>
      <c r="N41" s="96">
        <v>3</v>
      </c>
      <c r="O41" s="108">
        <v>3</v>
      </c>
      <c r="P41" s="102">
        <v>3</v>
      </c>
      <c r="Q41" s="96">
        <v>3</v>
      </c>
      <c r="R41" s="108">
        <v>3</v>
      </c>
      <c r="S41" s="102">
        <v>3</v>
      </c>
      <c r="T41" s="96">
        <v>3</v>
      </c>
      <c r="U41" s="108">
        <v>3</v>
      </c>
      <c r="V41" s="102">
        <v>12</v>
      </c>
      <c r="W41" s="115">
        <v>12</v>
      </c>
      <c r="X41" s="97">
        <v>12</v>
      </c>
      <c r="Y41" s="102">
        <v>3</v>
      </c>
      <c r="Z41" s="96">
        <v>3</v>
      </c>
      <c r="AA41" s="108">
        <v>3</v>
      </c>
      <c r="AB41" s="102">
        <v>3</v>
      </c>
      <c r="AC41" s="96">
        <v>3</v>
      </c>
      <c r="AD41" s="108">
        <v>3</v>
      </c>
      <c r="AE41" s="102">
        <v>3</v>
      </c>
      <c r="AF41" s="96">
        <v>3</v>
      </c>
      <c r="AG41" s="108">
        <v>3</v>
      </c>
      <c r="AH41" s="102">
        <v>3</v>
      </c>
      <c r="AI41" s="96">
        <v>3</v>
      </c>
      <c r="AJ41" s="108">
        <v>3</v>
      </c>
      <c r="AK41" s="102">
        <v>12</v>
      </c>
      <c r="AL41" s="115">
        <v>12</v>
      </c>
      <c r="AM41" s="97">
        <v>12</v>
      </c>
      <c r="AN41" s="102">
        <v>0</v>
      </c>
      <c r="AO41" s="96">
        <v>3</v>
      </c>
      <c r="AP41" s="108">
        <v>0</v>
      </c>
      <c r="AQ41" s="89"/>
      <c r="AR41" s="89"/>
      <c r="AS41" s="89"/>
      <c r="AT41" s="89"/>
      <c r="AU41" s="89"/>
      <c r="AV41" s="89"/>
    </row>
    <row r="42" spans="1:48" x14ac:dyDescent="0.2">
      <c r="A42" s="496" t="s">
        <v>113</v>
      </c>
      <c r="B42" s="497"/>
      <c r="C42" s="498"/>
      <c r="D42" s="96">
        <v>98</v>
      </c>
      <c r="E42" s="96">
        <v>104</v>
      </c>
      <c r="F42" s="108">
        <v>98</v>
      </c>
      <c r="G42" s="102">
        <v>649</v>
      </c>
      <c r="H42" s="115">
        <v>612</v>
      </c>
      <c r="I42" s="97">
        <v>648</v>
      </c>
      <c r="J42" s="102">
        <v>145</v>
      </c>
      <c r="K42" s="96">
        <v>159</v>
      </c>
      <c r="L42" s="108">
        <v>145</v>
      </c>
      <c r="M42" s="102">
        <v>147</v>
      </c>
      <c r="N42" s="96">
        <v>159</v>
      </c>
      <c r="O42" s="108">
        <v>147</v>
      </c>
      <c r="P42" s="102">
        <v>147</v>
      </c>
      <c r="Q42" s="96">
        <v>162</v>
      </c>
      <c r="R42" s="108">
        <v>147</v>
      </c>
      <c r="S42" s="102">
        <v>147</v>
      </c>
      <c r="T42" s="96">
        <v>165</v>
      </c>
      <c r="U42" s="108">
        <v>147</v>
      </c>
      <c r="V42" s="102">
        <v>586</v>
      </c>
      <c r="W42" s="96">
        <v>636</v>
      </c>
      <c r="X42" s="97">
        <v>586</v>
      </c>
      <c r="Y42" s="102">
        <v>156</v>
      </c>
      <c r="Z42" s="96">
        <v>165</v>
      </c>
      <c r="AA42" s="108">
        <v>156</v>
      </c>
      <c r="AB42" s="102">
        <v>156</v>
      </c>
      <c r="AC42" s="96">
        <v>165</v>
      </c>
      <c r="AD42" s="108">
        <v>156</v>
      </c>
      <c r="AE42" s="102">
        <v>156</v>
      </c>
      <c r="AF42" s="96">
        <v>165</v>
      </c>
      <c r="AG42" s="108">
        <v>154</v>
      </c>
      <c r="AH42" s="102">
        <v>145</v>
      </c>
      <c r="AI42" s="96">
        <v>165</v>
      </c>
      <c r="AJ42" s="108">
        <v>143</v>
      </c>
      <c r="AK42" s="102">
        <v>613</v>
      </c>
      <c r="AL42" s="96">
        <v>660</v>
      </c>
      <c r="AM42" s="97">
        <v>609</v>
      </c>
      <c r="AN42" s="102">
        <v>57</v>
      </c>
      <c r="AO42" s="96">
        <v>168</v>
      </c>
      <c r="AP42" s="108">
        <v>54</v>
      </c>
      <c r="AQ42" s="89"/>
      <c r="AR42" s="89"/>
      <c r="AS42" s="89"/>
      <c r="AT42" s="89"/>
      <c r="AU42" s="89"/>
      <c r="AV42" s="89"/>
    </row>
    <row r="43" spans="1:48" x14ac:dyDescent="0.2">
      <c r="A43" s="496" t="s">
        <v>114</v>
      </c>
      <c r="B43" s="497"/>
      <c r="C43" s="498"/>
      <c r="D43" s="96">
        <v>106</v>
      </c>
      <c r="E43" s="96">
        <v>110</v>
      </c>
      <c r="F43" s="108">
        <v>102</v>
      </c>
      <c r="G43" s="102">
        <v>634</v>
      </c>
      <c r="H43" s="115">
        <v>624</v>
      </c>
      <c r="I43" s="97">
        <v>615</v>
      </c>
      <c r="J43" s="102">
        <v>161</v>
      </c>
      <c r="K43" s="96">
        <v>162</v>
      </c>
      <c r="L43" s="108">
        <v>161</v>
      </c>
      <c r="M43" s="102">
        <v>155</v>
      </c>
      <c r="N43" s="96">
        <v>162</v>
      </c>
      <c r="O43" s="108">
        <v>155</v>
      </c>
      <c r="P43" s="102">
        <v>164</v>
      </c>
      <c r="Q43" s="96">
        <v>162</v>
      </c>
      <c r="R43" s="108">
        <v>160</v>
      </c>
      <c r="S43" s="102">
        <v>166</v>
      </c>
      <c r="T43" s="96">
        <v>162</v>
      </c>
      <c r="U43" s="108">
        <v>161</v>
      </c>
      <c r="V43" s="102">
        <v>646</v>
      </c>
      <c r="W43" s="96">
        <v>648</v>
      </c>
      <c r="X43" s="97">
        <v>637</v>
      </c>
      <c r="Y43" s="102">
        <v>166</v>
      </c>
      <c r="Z43" s="96">
        <v>162</v>
      </c>
      <c r="AA43" s="108">
        <v>157</v>
      </c>
      <c r="AB43" s="102">
        <v>169</v>
      </c>
      <c r="AC43" s="96">
        <v>162</v>
      </c>
      <c r="AD43" s="108">
        <v>160</v>
      </c>
      <c r="AE43" s="102">
        <v>165</v>
      </c>
      <c r="AF43" s="96">
        <v>162</v>
      </c>
      <c r="AG43" s="108">
        <v>162</v>
      </c>
      <c r="AH43" s="102">
        <v>105</v>
      </c>
      <c r="AI43" s="96">
        <v>162</v>
      </c>
      <c r="AJ43" s="108">
        <v>105</v>
      </c>
      <c r="AK43" s="102">
        <v>605</v>
      </c>
      <c r="AL43" s="96">
        <v>648</v>
      </c>
      <c r="AM43" s="97">
        <v>584</v>
      </c>
      <c r="AN43" s="102">
        <v>106</v>
      </c>
      <c r="AO43" s="96">
        <v>168</v>
      </c>
      <c r="AP43" s="108">
        <v>54</v>
      </c>
      <c r="AQ43" s="89"/>
      <c r="AR43" s="89"/>
      <c r="AS43" s="89"/>
      <c r="AT43" s="89"/>
      <c r="AU43" s="89"/>
      <c r="AV43" s="89"/>
    </row>
    <row r="46" spans="1:48" x14ac:dyDescent="0.2">
      <c r="D46" s="491" t="s">
        <v>95</v>
      </c>
      <c r="E46" s="491"/>
      <c r="F46" s="491"/>
      <c r="G46" s="436" t="s">
        <v>115</v>
      </c>
      <c r="H46" s="437"/>
      <c r="I46" s="494"/>
      <c r="J46" s="438" t="s">
        <v>96</v>
      </c>
      <c r="K46" s="491"/>
      <c r="L46" s="491"/>
      <c r="M46" s="491" t="s">
        <v>97</v>
      </c>
      <c r="N46" s="491"/>
      <c r="O46" s="491"/>
      <c r="P46" s="491" t="s">
        <v>98</v>
      </c>
      <c r="Q46" s="491"/>
      <c r="R46" s="491"/>
      <c r="S46" s="491" t="s">
        <v>99</v>
      </c>
      <c r="T46" s="491"/>
      <c r="U46" s="491"/>
      <c r="V46" s="491" t="s">
        <v>104</v>
      </c>
      <c r="W46" s="491"/>
      <c r="X46" s="495"/>
      <c r="Y46" s="438" t="s">
        <v>100</v>
      </c>
      <c r="Z46" s="491"/>
      <c r="AA46" s="491"/>
      <c r="AB46" s="491" t="s">
        <v>101</v>
      </c>
      <c r="AC46" s="491"/>
      <c r="AD46" s="491"/>
      <c r="AE46" s="491" t="s">
        <v>102</v>
      </c>
      <c r="AF46" s="491"/>
      <c r="AG46" s="491"/>
      <c r="AH46" s="491" t="s">
        <v>103</v>
      </c>
      <c r="AI46" s="491"/>
      <c r="AJ46" s="491"/>
      <c r="AK46" s="491" t="s">
        <v>105</v>
      </c>
      <c r="AL46" s="491"/>
      <c r="AM46" s="436"/>
      <c r="AN46" s="492" t="s">
        <v>106</v>
      </c>
      <c r="AO46" s="491"/>
      <c r="AP46" s="491"/>
      <c r="AQ46" s="493">
        <v>45748</v>
      </c>
      <c r="AR46" s="493"/>
      <c r="AS46" s="493"/>
      <c r="AT46" s="493">
        <v>45778</v>
      </c>
      <c r="AU46" s="493"/>
      <c r="AV46" s="493"/>
    </row>
    <row r="47" spans="1:48" ht="48" x14ac:dyDescent="0.2">
      <c r="A47" s="84" t="s">
        <v>68</v>
      </c>
      <c r="B47" s="84" t="s">
        <v>69</v>
      </c>
      <c r="C47" s="95" t="s">
        <v>70</v>
      </c>
      <c r="D47" s="88" t="s">
        <v>119</v>
      </c>
      <c r="E47" s="88" t="s">
        <v>120</v>
      </c>
      <c r="F47" s="88" t="s">
        <v>121</v>
      </c>
      <c r="G47" s="90" t="s">
        <v>119</v>
      </c>
      <c r="H47" s="88" t="s">
        <v>120</v>
      </c>
      <c r="I47" s="91" t="s">
        <v>121</v>
      </c>
      <c r="J47" s="90" t="s">
        <v>119</v>
      </c>
      <c r="K47" s="88" t="s">
        <v>120</v>
      </c>
      <c r="L47" s="88" t="s">
        <v>121</v>
      </c>
      <c r="M47" s="90" t="s">
        <v>119</v>
      </c>
      <c r="N47" s="88" t="s">
        <v>120</v>
      </c>
      <c r="O47" s="88" t="s">
        <v>121</v>
      </c>
      <c r="P47" s="90" t="s">
        <v>119</v>
      </c>
      <c r="Q47" s="88" t="s">
        <v>120</v>
      </c>
      <c r="R47" s="88" t="s">
        <v>121</v>
      </c>
      <c r="S47" s="90" t="s">
        <v>119</v>
      </c>
      <c r="T47" s="88" t="s">
        <v>120</v>
      </c>
      <c r="U47" s="88" t="s">
        <v>121</v>
      </c>
      <c r="V47" s="90" t="s">
        <v>119</v>
      </c>
      <c r="W47" s="88" t="s">
        <v>120</v>
      </c>
      <c r="X47" s="93" t="s">
        <v>121</v>
      </c>
      <c r="Y47" s="94" t="s">
        <v>119</v>
      </c>
      <c r="Z47" s="88" t="s">
        <v>120</v>
      </c>
      <c r="AA47" s="88" t="s">
        <v>121</v>
      </c>
      <c r="AB47" s="90" t="s">
        <v>119</v>
      </c>
      <c r="AC47" s="88" t="s">
        <v>120</v>
      </c>
      <c r="AD47" s="88" t="s">
        <v>121</v>
      </c>
      <c r="AE47" s="90" t="s">
        <v>119</v>
      </c>
      <c r="AF47" s="88" t="s">
        <v>120</v>
      </c>
      <c r="AG47" s="88" t="s">
        <v>121</v>
      </c>
      <c r="AH47" s="90" t="s">
        <v>119</v>
      </c>
      <c r="AI47" s="88" t="s">
        <v>120</v>
      </c>
      <c r="AJ47" s="88" t="s">
        <v>121</v>
      </c>
      <c r="AK47" s="90" t="s">
        <v>119</v>
      </c>
      <c r="AL47" s="88" t="s">
        <v>120</v>
      </c>
      <c r="AM47" s="91" t="s">
        <v>121</v>
      </c>
      <c r="AN47" s="90" t="s">
        <v>119</v>
      </c>
      <c r="AO47" s="88" t="s">
        <v>120</v>
      </c>
      <c r="AP47" s="88" t="s">
        <v>121</v>
      </c>
      <c r="AQ47" s="90" t="s">
        <v>119</v>
      </c>
      <c r="AR47" s="88" t="s">
        <v>120</v>
      </c>
      <c r="AS47" s="88" t="s">
        <v>121</v>
      </c>
      <c r="AT47" s="90" t="s">
        <v>119</v>
      </c>
      <c r="AU47" s="88" t="s">
        <v>120</v>
      </c>
      <c r="AV47" s="88" t="s">
        <v>121</v>
      </c>
    </row>
    <row r="48" spans="1:48" ht="16" thickBot="1" x14ac:dyDescent="0.25">
      <c r="A48" s="499" t="s">
        <v>107</v>
      </c>
      <c r="B48" s="500"/>
      <c r="C48" s="501"/>
      <c r="D48" s="143">
        <v>253</v>
      </c>
      <c r="E48" s="143">
        <v>466</v>
      </c>
      <c r="F48" s="144">
        <v>216</v>
      </c>
      <c r="G48" s="145">
        <v>1438</v>
      </c>
      <c r="H48" s="146">
        <v>2796</v>
      </c>
      <c r="I48" s="147">
        <v>1293</v>
      </c>
      <c r="J48" s="145">
        <v>375</v>
      </c>
      <c r="K48" s="143">
        <v>702</v>
      </c>
      <c r="L48" s="144">
        <v>342</v>
      </c>
      <c r="M48" s="145">
        <v>422</v>
      </c>
      <c r="N48" s="143">
        <v>708</v>
      </c>
      <c r="O48" s="144">
        <v>378</v>
      </c>
      <c r="P48" s="145">
        <v>419</v>
      </c>
      <c r="Q48" s="143">
        <v>711</v>
      </c>
      <c r="R48" s="144">
        <v>377</v>
      </c>
      <c r="S48" s="145">
        <v>484</v>
      </c>
      <c r="T48" s="143">
        <v>714</v>
      </c>
      <c r="U48" s="144">
        <v>394</v>
      </c>
      <c r="V48" s="145">
        <v>1700</v>
      </c>
      <c r="W48" s="143">
        <v>2808</v>
      </c>
      <c r="X48" s="147">
        <v>1491</v>
      </c>
      <c r="Y48" s="148">
        <v>556</v>
      </c>
      <c r="Z48" s="149">
        <v>714</v>
      </c>
      <c r="AA48" s="150">
        <v>539</v>
      </c>
      <c r="AB48" s="148">
        <v>636</v>
      </c>
      <c r="AC48" s="149">
        <v>714</v>
      </c>
      <c r="AD48" s="150">
        <v>628</v>
      </c>
      <c r="AE48" s="148">
        <v>656</v>
      </c>
      <c r="AF48" s="149">
        <v>720</v>
      </c>
      <c r="AG48" s="150">
        <v>648</v>
      </c>
      <c r="AH48" s="145">
        <v>484</v>
      </c>
      <c r="AI48" s="143">
        <v>720</v>
      </c>
      <c r="AJ48" s="144">
        <v>476</v>
      </c>
      <c r="AK48" s="145">
        <v>2332</v>
      </c>
      <c r="AL48" s="146">
        <v>2856</v>
      </c>
      <c r="AM48" s="147">
        <v>2291</v>
      </c>
      <c r="AN48" s="148">
        <v>355</v>
      </c>
      <c r="AO48" s="149">
        <v>750</v>
      </c>
      <c r="AP48" s="150">
        <v>221</v>
      </c>
      <c r="AQ48" s="151"/>
      <c r="AR48" s="152"/>
      <c r="AS48" s="152"/>
      <c r="AT48" s="151"/>
      <c r="AU48" s="152"/>
      <c r="AV48" s="152"/>
    </row>
    <row r="49" spans="1:48" ht="16" thickTop="1" x14ac:dyDescent="0.2">
      <c r="A49" s="488" t="s">
        <v>108</v>
      </c>
      <c r="B49" s="489"/>
      <c r="C49" s="490"/>
      <c r="D49" s="133">
        <v>44</v>
      </c>
      <c r="E49" s="133">
        <v>74</v>
      </c>
      <c r="F49" s="134">
        <v>43</v>
      </c>
      <c r="G49" s="135">
        <v>234</v>
      </c>
      <c r="H49" s="136">
        <v>444</v>
      </c>
      <c r="I49" s="137">
        <v>229</v>
      </c>
      <c r="J49" s="135">
        <v>64</v>
      </c>
      <c r="K49" s="133">
        <v>111</v>
      </c>
      <c r="L49" s="134">
        <v>64</v>
      </c>
      <c r="M49" s="135">
        <v>64</v>
      </c>
      <c r="N49" s="133">
        <v>111</v>
      </c>
      <c r="O49" s="134">
        <v>63</v>
      </c>
      <c r="P49" s="135">
        <v>75</v>
      </c>
      <c r="Q49" s="133">
        <v>111</v>
      </c>
      <c r="R49" s="134">
        <v>75</v>
      </c>
      <c r="S49" s="135">
        <v>86</v>
      </c>
      <c r="T49" s="133">
        <v>111</v>
      </c>
      <c r="U49" s="134">
        <v>86</v>
      </c>
      <c r="V49" s="135">
        <v>289</v>
      </c>
      <c r="W49" s="133">
        <v>444</v>
      </c>
      <c r="X49" s="137">
        <v>288</v>
      </c>
      <c r="Y49" s="138">
        <v>80</v>
      </c>
      <c r="Z49" s="139">
        <v>111</v>
      </c>
      <c r="AA49" s="140">
        <v>76</v>
      </c>
      <c r="AB49" s="138">
        <v>86</v>
      </c>
      <c r="AC49" s="139">
        <v>111</v>
      </c>
      <c r="AD49" s="140">
        <v>81</v>
      </c>
      <c r="AE49" s="138">
        <v>106</v>
      </c>
      <c r="AF49" s="139">
        <v>117</v>
      </c>
      <c r="AG49" s="140">
        <v>104</v>
      </c>
      <c r="AH49" s="135">
        <v>98</v>
      </c>
      <c r="AI49" s="133">
        <v>117</v>
      </c>
      <c r="AJ49" s="134">
        <v>98</v>
      </c>
      <c r="AK49" s="135">
        <v>370</v>
      </c>
      <c r="AL49" s="136">
        <v>444</v>
      </c>
      <c r="AM49" s="137">
        <v>359</v>
      </c>
      <c r="AN49" s="138">
        <v>43</v>
      </c>
      <c r="AO49" s="139">
        <v>132</v>
      </c>
      <c r="AP49" s="140">
        <v>43</v>
      </c>
      <c r="AQ49" s="141"/>
      <c r="AR49" s="142"/>
      <c r="AS49" s="142"/>
      <c r="AT49" s="141"/>
      <c r="AU49" s="142"/>
      <c r="AV49" s="142"/>
    </row>
    <row r="50" spans="1:48" ht="45" x14ac:dyDescent="0.2">
      <c r="A50" s="84">
        <v>1</v>
      </c>
      <c r="B50" s="85" t="s">
        <v>71</v>
      </c>
      <c r="C50" s="87" t="s">
        <v>122</v>
      </c>
      <c r="D50" s="96">
        <v>6</v>
      </c>
      <c r="E50" s="96">
        <v>6</v>
      </c>
      <c r="F50" s="108">
        <v>6</v>
      </c>
      <c r="G50" s="102">
        <v>36</v>
      </c>
      <c r="H50" s="96">
        <v>36</v>
      </c>
      <c r="I50" s="97">
        <v>35</v>
      </c>
      <c r="J50" s="102">
        <v>9</v>
      </c>
      <c r="K50" s="96">
        <v>9</v>
      </c>
      <c r="L50" s="108">
        <v>9</v>
      </c>
      <c r="M50" s="102">
        <v>8</v>
      </c>
      <c r="N50" s="96">
        <v>9</v>
      </c>
      <c r="O50" s="108">
        <v>8</v>
      </c>
      <c r="P50" s="102">
        <v>8</v>
      </c>
      <c r="Q50" s="96">
        <v>9</v>
      </c>
      <c r="R50" s="108">
        <v>8</v>
      </c>
      <c r="S50" s="102">
        <v>9</v>
      </c>
      <c r="T50" s="96">
        <v>9</v>
      </c>
      <c r="U50" s="108">
        <v>9</v>
      </c>
      <c r="V50" s="102">
        <v>34</v>
      </c>
      <c r="W50" s="96">
        <v>36</v>
      </c>
      <c r="X50" s="97">
        <v>34</v>
      </c>
      <c r="Y50" s="102">
        <v>8</v>
      </c>
      <c r="Z50" s="96">
        <v>9</v>
      </c>
      <c r="AA50" s="108">
        <v>8</v>
      </c>
      <c r="AB50" s="102">
        <v>9</v>
      </c>
      <c r="AC50" s="96">
        <v>9</v>
      </c>
      <c r="AD50" s="108">
        <v>9</v>
      </c>
      <c r="AE50" s="102">
        <v>9</v>
      </c>
      <c r="AF50" s="96">
        <v>9</v>
      </c>
      <c r="AG50" s="108">
        <v>9</v>
      </c>
      <c r="AH50" s="102">
        <v>9</v>
      </c>
      <c r="AI50" s="96">
        <v>9</v>
      </c>
      <c r="AJ50" s="108">
        <v>9</v>
      </c>
      <c r="AK50" s="102">
        <v>35</v>
      </c>
      <c r="AL50" s="96">
        <v>36</v>
      </c>
      <c r="AM50" s="97">
        <v>35</v>
      </c>
      <c r="AN50" s="102">
        <v>3</v>
      </c>
      <c r="AO50" s="96">
        <v>9</v>
      </c>
      <c r="AP50" s="108">
        <v>3</v>
      </c>
      <c r="AQ50" s="89"/>
      <c r="AR50" s="89"/>
      <c r="AS50" s="89"/>
      <c r="AT50" s="89"/>
      <c r="AU50" s="89"/>
      <c r="AV50" s="89"/>
    </row>
    <row r="51" spans="1:48" x14ac:dyDescent="0.2">
      <c r="A51" s="84"/>
      <c r="B51" s="502" t="s">
        <v>123</v>
      </c>
      <c r="C51" s="503"/>
      <c r="D51" s="96">
        <v>2</v>
      </c>
      <c r="E51" s="96">
        <v>2</v>
      </c>
      <c r="F51" s="108">
        <v>2</v>
      </c>
      <c r="G51" s="102">
        <v>11</v>
      </c>
      <c r="H51" s="115">
        <v>12</v>
      </c>
      <c r="I51" s="97">
        <v>11</v>
      </c>
      <c r="J51" s="102">
        <v>3</v>
      </c>
      <c r="K51" s="96">
        <v>3</v>
      </c>
      <c r="L51" s="108">
        <v>3</v>
      </c>
      <c r="M51" s="102">
        <v>2</v>
      </c>
      <c r="N51" s="96">
        <v>3</v>
      </c>
      <c r="O51" s="108">
        <v>2</v>
      </c>
      <c r="P51" s="102">
        <v>3</v>
      </c>
      <c r="Q51" s="96">
        <v>3</v>
      </c>
      <c r="R51" s="108">
        <v>3</v>
      </c>
      <c r="S51" s="102">
        <v>3</v>
      </c>
      <c r="T51" s="96">
        <v>3</v>
      </c>
      <c r="U51" s="108">
        <v>3</v>
      </c>
      <c r="V51" s="102">
        <v>11</v>
      </c>
      <c r="W51" s="115">
        <v>12</v>
      </c>
      <c r="X51" s="97">
        <v>11</v>
      </c>
      <c r="Y51" s="102">
        <v>3</v>
      </c>
      <c r="Z51" s="96">
        <v>3</v>
      </c>
      <c r="AA51" s="108">
        <v>3</v>
      </c>
      <c r="AB51" s="102">
        <v>3</v>
      </c>
      <c r="AC51" s="96">
        <v>3</v>
      </c>
      <c r="AD51" s="108">
        <v>3</v>
      </c>
      <c r="AE51" s="102">
        <v>3</v>
      </c>
      <c r="AF51" s="96">
        <v>3</v>
      </c>
      <c r="AG51" s="108">
        <v>3</v>
      </c>
      <c r="AH51" s="102">
        <v>3</v>
      </c>
      <c r="AI51" s="96">
        <v>3</v>
      </c>
      <c r="AJ51" s="108">
        <v>3</v>
      </c>
      <c r="AK51" s="102">
        <v>12</v>
      </c>
      <c r="AL51" s="115">
        <v>12</v>
      </c>
      <c r="AM51" s="97">
        <v>12</v>
      </c>
      <c r="AN51" s="102">
        <v>1</v>
      </c>
      <c r="AO51" s="96">
        <v>3</v>
      </c>
      <c r="AP51" s="108">
        <v>1</v>
      </c>
      <c r="AQ51" s="89"/>
      <c r="AR51" s="89"/>
      <c r="AS51" s="89"/>
      <c r="AT51" s="89"/>
      <c r="AU51" s="89"/>
      <c r="AV51" s="89"/>
    </row>
    <row r="52" spans="1:48" ht="30" x14ac:dyDescent="0.2">
      <c r="A52" s="84">
        <v>2</v>
      </c>
      <c r="B52" s="86" t="s">
        <v>73</v>
      </c>
      <c r="C52" s="87" t="s">
        <v>74</v>
      </c>
      <c r="D52" s="96">
        <v>2</v>
      </c>
      <c r="E52" s="96">
        <v>8</v>
      </c>
      <c r="F52" s="108">
        <v>2</v>
      </c>
      <c r="G52" s="102">
        <v>12</v>
      </c>
      <c r="H52" s="96">
        <v>48</v>
      </c>
      <c r="I52" s="97">
        <v>12</v>
      </c>
      <c r="J52" s="102">
        <v>3</v>
      </c>
      <c r="K52" s="96">
        <v>12</v>
      </c>
      <c r="L52" s="108">
        <v>3</v>
      </c>
      <c r="M52" s="102">
        <v>3</v>
      </c>
      <c r="N52" s="96">
        <v>12</v>
      </c>
      <c r="O52" s="108">
        <v>3</v>
      </c>
      <c r="P52" s="102">
        <v>3</v>
      </c>
      <c r="Q52" s="96">
        <v>12</v>
      </c>
      <c r="R52" s="108">
        <v>3</v>
      </c>
      <c r="S52" s="102">
        <v>12</v>
      </c>
      <c r="T52" s="96">
        <v>12</v>
      </c>
      <c r="U52" s="108">
        <v>12</v>
      </c>
      <c r="V52" s="102">
        <v>21</v>
      </c>
      <c r="W52" s="96">
        <v>48</v>
      </c>
      <c r="X52" s="97">
        <v>21</v>
      </c>
      <c r="Y52" s="102">
        <v>11</v>
      </c>
      <c r="Z52" s="96">
        <v>12</v>
      </c>
      <c r="AA52" s="108">
        <v>11</v>
      </c>
      <c r="AB52" s="102">
        <v>12</v>
      </c>
      <c r="AC52" s="96">
        <v>12</v>
      </c>
      <c r="AD52" s="108">
        <v>12</v>
      </c>
      <c r="AE52" s="102">
        <v>12</v>
      </c>
      <c r="AF52" s="96">
        <v>12</v>
      </c>
      <c r="AG52" s="108">
        <v>12</v>
      </c>
      <c r="AH52" s="102">
        <v>12</v>
      </c>
      <c r="AI52" s="96">
        <v>12</v>
      </c>
      <c r="AJ52" s="108">
        <v>12</v>
      </c>
      <c r="AK52" s="102">
        <v>47</v>
      </c>
      <c r="AL52" s="96">
        <v>48</v>
      </c>
      <c r="AM52" s="97">
        <v>47</v>
      </c>
      <c r="AN52" s="102">
        <v>4</v>
      </c>
      <c r="AO52" s="96">
        <v>12</v>
      </c>
      <c r="AP52" s="108">
        <v>4</v>
      </c>
      <c r="AQ52" s="89"/>
      <c r="AR52" s="89"/>
      <c r="AS52" s="89"/>
      <c r="AT52" s="89"/>
      <c r="AU52" s="89"/>
      <c r="AV52" s="89"/>
    </row>
    <row r="53" spans="1:48" ht="17" thickBot="1" x14ac:dyDescent="0.25">
      <c r="A53" s="131"/>
      <c r="B53" s="504" t="s">
        <v>124</v>
      </c>
      <c r="C53" s="505"/>
      <c r="D53" s="125">
        <v>0</v>
      </c>
      <c r="E53" s="125">
        <v>2</v>
      </c>
      <c r="F53" s="126">
        <v>0</v>
      </c>
      <c r="G53" s="158">
        <v>0</v>
      </c>
      <c r="H53" s="128">
        <v>12</v>
      </c>
      <c r="I53" s="129">
        <v>0</v>
      </c>
      <c r="J53" s="127">
        <v>0</v>
      </c>
      <c r="K53" s="125">
        <v>3</v>
      </c>
      <c r="L53" s="126">
        <v>0</v>
      </c>
      <c r="M53" s="127">
        <v>0</v>
      </c>
      <c r="N53" s="125">
        <v>3</v>
      </c>
      <c r="O53" s="126">
        <v>0</v>
      </c>
      <c r="P53" s="127">
        <v>0</v>
      </c>
      <c r="Q53" s="125">
        <v>3</v>
      </c>
      <c r="R53" s="126">
        <v>0</v>
      </c>
      <c r="S53" s="127">
        <v>3</v>
      </c>
      <c r="T53" s="125">
        <v>3</v>
      </c>
      <c r="U53" s="126">
        <v>3</v>
      </c>
      <c r="V53" s="158">
        <v>3</v>
      </c>
      <c r="W53" s="128">
        <v>12</v>
      </c>
      <c r="X53" s="129">
        <v>3</v>
      </c>
      <c r="Y53" s="127">
        <v>3</v>
      </c>
      <c r="Z53" s="125">
        <v>3</v>
      </c>
      <c r="AA53" s="126">
        <v>3</v>
      </c>
      <c r="AB53" s="127">
        <v>3</v>
      </c>
      <c r="AC53" s="125">
        <v>3</v>
      </c>
      <c r="AD53" s="126">
        <v>3</v>
      </c>
      <c r="AE53" s="127">
        <v>3</v>
      </c>
      <c r="AF53" s="125">
        <v>3</v>
      </c>
      <c r="AG53" s="126">
        <v>3</v>
      </c>
      <c r="AH53" s="127">
        <v>3</v>
      </c>
      <c r="AI53" s="125">
        <v>3</v>
      </c>
      <c r="AJ53" s="126">
        <v>3</v>
      </c>
      <c r="AK53" s="158">
        <v>12</v>
      </c>
      <c r="AL53" s="128">
        <v>12</v>
      </c>
      <c r="AM53" s="129">
        <v>12</v>
      </c>
      <c r="AN53" s="127">
        <v>1</v>
      </c>
      <c r="AO53" s="125">
        <v>3</v>
      </c>
      <c r="AP53" s="126">
        <v>1</v>
      </c>
      <c r="AQ53" s="130"/>
      <c r="AR53" s="130"/>
      <c r="AS53" s="130"/>
      <c r="AT53" s="130"/>
      <c r="AU53" s="130"/>
      <c r="AV53" s="130"/>
    </row>
    <row r="54" spans="1:48" ht="16" thickTop="1" x14ac:dyDescent="0.2">
      <c r="A54" s="488" t="s">
        <v>109</v>
      </c>
      <c r="B54" s="489"/>
      <c r="C54" s="490"/>
      <c r="D54" s="122">
        <v>60</v>
      </c>
      <c r="E54" s="122">
        <v>64</v>
      </c>
      <c r="F54" s="123">
        <v>60</v>
      </c>
      <c r="G54" s="119">
        <v>293</v>
      </c>
      <c r="H54" s="132">
        <v>384</v>
      </c>
      <c r="I54" s="121">
        <v>293</v>
      </c>
      <c r="J54" s="119">
        <v>90</v>
      </c>
      <c r="K54" s="122">
        <v>96</v>
      </c>
      <c r="L54" s="123">
        <v>90</v>
      </c>
      <c r="M54" s="119">
        <v>91</v>
      </c>
      <c r="N54" s="122">
        <v>96</v>
      </c>
      <c r="O54" s="123">
        <v>91</v>
      </c>
      <c r="P54" s="119">
        <v>92</v>
      </c>
      <c r="Q54" s="122">
        <v>96</v>
      </c>
      <c r="R54" s="123">
        <v>92</v>
      </c>
      <c r="S54" s="119">
        <v>92</v>
      </c>
      <c r="T54" s="122">
        <v>96</v>
      </c>
      <c r="U54" s="123">
        <v>92</v>
      </c>
      <c r="V54" s="119">
        <v>365</v>
      </c>
      <c r="W54" s="122">
        <v>384</v>
      </c>
      <c r="X54" s="121">
        <v>365</v>
      </c>
      <c r="Y54" s="124">
        <v>93</v>
      </c>
      <c r="Z54" s="117">
        <v>96</v>
      </c>
      <c r="AA54" s="118">
        <v>93</v>
      </c>
      <c r="AB54" s="124">
        <v>95</v>
      </c>
      <c r="AC54" s="117">
        <v>96</v>
      </c>
      <c r="AD54" s="118">
        <v>95</v>
      </c>
      <c r="AE54" s="124">
        <v>96</v>
      </c>
      <c r="AF54" s="117">
        <v>96</v>
      </c>
      <c r="AG54" s="118">
        <v>96</v>
      </c>
      <c r="AH54" s="119">
        <v>95</v>
      </c>
      <c r="AI54" s="122">
        <v>96</v>
      </c>
      <c r="AJ54" s="123">
        <v>95</v>
      </c>
      <c r="AK54" s="119">
        <v>379</v>
      </c>
      <c r="AL54" s="122">
        <v>384</v>
      </c>
      <c r="AM54" s="121">
        <v>379</v>
      </c>
      <c r="AN54" s="124">
        <v>32</v>
      </c>
      <c r="AO54" s="117">
        <v>96</v>
      </c>
      <c r="AP54" s="118">
        <v>32</v>
      </c>
      <c r="AQ54" s="92"/>
      <c r="AR54" s="92"/>
      <c r="AS54" s="92"/>
      <c r="AT54" s="92"/>
      <c r="AU54" s="92"/>
      <c r="AV54" s="92"/>
    </row>
    <row r="55" spans="1:48" ht="34" x14ac:dyDescent="0.2">
      <c r="A55" s="84">
        <v>3</v>
      </c>
      <c r="B55" s="86" t="s">
        <v>75</v>
      </c>
      <c r="C55" s="87" t="s">
        <v>76</v>
      </c>
      <c r="D55" s="96">
        <v>2</v>
      </c>
      <c r="E55" s="96">
        <v>2</v>
      </c>
      <c r="F55" s="108">
        <v>2</v>
      </c>
      <c r="G55" s="102">
        <v>36</v>
      </c>
      <c r="H55" s="96">
        <v>48</v>
      </c>
      <c r="I55" s="97">
        <v>36</v>
      </c>
      <c r="J55" s="102">
        <v>12</v>
      </c>
      <c r="K55" s="96">
        <v>12</v>
      </c>
      <c r="L55" s="108">
        <v>12</v>
      </c>
      <c r="M55" s="102">
        <v>12</v>
      </c>
      <c r="N55" s="96">
        <v>12</v>
      </c>
      <c r="O55" s="108">
        <v>12</v>
      </c>
      <c r="P55" s="102">
        <v>12</v>
      </c>
      <c r="Q55" s="96">
        <v>12</v>
      </c>
      <c r="R55" s="108">
        <v>12</v>
      </c>
      <c r="S55" s="102">
        <v>12</v>
      </c>
      <c r="T55" s="96">
        <v>12</v>
      </c>
      <c r="U55" s="108">
        <v>12</v>
      </c>
      <c r="V55" s="102">
        <v>48</v>
      </c>
      <c r="W55" s="96">
        <v>48</v>
      </c>
      <c r="X55" s="97">
        <v>48</v>
      </c>
      <c r="Y55" s="102">
        <v>12</v>
      </c>
      <c r="Z55" s="96">
        <v>12</v>
      </c>
      <c r="AA55" s="108">
        <v>12</v>
      </c>
      <c r="AB55" s="102">
        <v>12</v>
      </c>
      <c r="AC55" s="96">
        <v>12</v>
      </c>
      <c r="AD55" s="108">
        <v>12</v>
      </c>
      <c r="AE55" s="102">
        <v>12</v>
      </c>
      <c r="AF55" s="96">
        <v>12</v>
      </c>
      <c r="AG55" s="108">
        <v>12</v>
      </c>
      <c r="AH55" s="102">
        <v>12</v>
      </c>
      <c r="AI55" s="96">
        <v>12</v>
      </c>
      <c r="AJ55" s="108">
        <v>12</v>
      </c>
      <c r="AK55" s="102">
        <v>48</v>
      </c>
      <c r="AL55" s="96">
        <v>48</v>
      </c>
      <c r="AM55" s="97">
        <v>48</v>
      </c>
      <c r="AN55" s="102">
        <v>4</v>
      </c>
      <c r="AO55" s="96">
        <v>12</v>
      </c>
      <c r="AP55" s="108">
        <v>4</v>
      </c>
      <c r="AQ55" s="89"/>
      <c r="AR55" s="89"/>
      <c r="AS55" s="89"/>
      <c r="AT55" s="89"/>
      <c r="AU55" s="89"/>
      <c r="AV55" s="89"/>
    </row>
    <row r="56" spans="1:48" ht="16" x14ac:dyDescent="0.2">
      <c r="A56" s="84"/>
      <c r="B56" s="486" t="s">
        <v>125</v>
      </c>
      <c r="C56" s="487"/>
      <c r="D56" s="96">
        <v>2</v>
      </c>
      <c r="E56" s="96">
        <v>2</v>
      </c>
      <c r="F56" s="108">
        <v>2</v>
      </c>
      <c r="G56" s="102">
        <v>6</v>
      </c>
      <c r="H56" s="115">
        <v>12</v>
      </c>
      <c r="I56" s="97">
        <v>6</v>
      </c>
      <c r="J56" s="102">
        <v>3</v>
      </c>
      <c r="K56" s="96">
        <v>3</v>
      </c>
      <c r="L56" s="108">
        <v>3</v>
      </c>
      <c r="M56" s="102">
        <v>3</v>
      </c>
      <c r="N56" s="96">
        <v>3</v>
      </c>
      <c r="O56" s="108">
        <v>3</v>
      </c>
      <c r="P56" s="102">
        <v>3</v>
      </c>
      <c r="Q56" s="96">
        <v>3</v>
      </c>
      <c r="R56" s="108">
        <v>3</v>
      </c>
      <c r="S56" s="102">
        <v>3</v>
      </c>
      <c r="T56" s="96">
        <v>3</v>
      </c>
      <c r="U56" s="108">
        <v>3</v>
      </c>
      <c r="V56" s="102">
        <v>12</v>
      </c>
      <c r="W56" s="115">
        <v>12</v>
      </c>
      <c r="X56" s="97">
        <v>12</v>
      </c>
      <c r="Y56" s="102">
        <v>3</v>
      </c>
      <c r="Z56" s="96">
        <v>3</v>
      </c>
      <c r="AA56" s="108">
        <v>3</v>
      </c>
      <c r="AB56" s="102">
        <v>3</v>
      </c>
      <c r="AC56" s="96">
        <v>3</v>
      </c>
      <c r="AD56" s="108">
        <v>3</v>
      </c>
      <c r="AE56" s="102">
        <v>3</v>
      </c>
      <c r="AF56" s="96">
        <v>3</v>
      </c>
      <c r="AG56" s="108">
        <v>3</v>
      </c>
      <c r="AH56" s="102">
        <v>3</v>
      </c>
      <c r="AI56" s="96">
        <v>3</v>
      </c>
      <c r="AJ56" s="108">
        <v>3</v>
      </c>
      <c r="AK56" s="102">
        <v>12</v>
      </c>
      <c r="AL56" s="115">
        <v>12</v>
      </c>
      <c r="AM56" s="97">
        <v>12</v>
      </c>
      <c r="AN56" s="102">
        <v>1</v>
      </c>
      <c r="AO56" s="96">
        <v>3</v>
      </c>
      <c r="AP56" s="108">
        <v>1</v>
      </c>
      <c r="AQ56" s="89"/>
      <c r="AR56" s="89"/>
      <c r="AS56" s="89"/>
      <c r="AT56" s="89"/>
      <c r="AU56" s="89"/>
      <c r="AV56" s="89"/>
    </row>
    <row r="57" spans="1:48" ht="30" x14ac:dyDescent="0.2">
      <c r="A57" s="84">
        <v>4</v>
      </c>
      <c r="B57" s="86" t="s">
        <v>77</v>
      </c>
      <c r="C57" s="87" t="s">
        <v>78</v>
      </c>
      <c r="D57" s="96">
        <v>2</v>
      </c>
      <c r="E57" s="96">
        <v>2</v>
      </c>
      <c r="F57" s="108">
        <v>2</v>
      </c>
      <c r="G57" s="102">
        <v>11</v>
      </c>
      <c r="H57" s="115">
        <v>12</v>
      </c>
      <c r="I57" s="97">
        <v>11</v>
      </c>
      <c r="J57" s="102">
        <v>3</v>
      </c>
      <c r="K57" s="96">
        <v>3</v>
      </c>
      <c r="L57" s="108">
        <v>3</v>
      </c>
      <c r="M57" s="102">
        <v>3</v>
      </c>
      <c r="N57" s="96">
        <v>3</v>
      </c>
      <c r="O57" s="108">
        <v>3</v>
      </c>
      <c r="P57" s="102">
        <v>3</v>
      </c>
      <c r="Q57" s="96">
        <v>3</v>
      </c>
      <c r="R57" s="108">
        <v>3</v>
      </c>
      <c r="S57" s="102">
        <v>3</v>
      </c>
      <c r="T57" s="96">
        <v>3</v>
      </c>
      <c r="U57" s="108">
        <v>3</v>
      </c>
      <c r="V57" s="102">
        <v>12</v>
      </c>
      <c r="W57" s="115">
        <v>12</v>
      </c>
      <c r="X57" s="97">
        <v>12</v>
      </c>
      <c r="Y57" s="102">
        <v>3</v>
      </c>
      <c r="Z57" s="96">
        <v>3</v>
      </c>
      <c r="AA57" s="108">
        <v>3</v>
      </c>
      <c r="AB57" s="102">
        <v>3</v>
      </c>
      <c r="AC57" s="96">
        <v>3</v>
      </c>
      <c r="AD57" s="108">
        <v>3</v>
      </c>
      <c r="AE57" s="102">
        <v>3</v>
      </c>
      <c r="AF57" s="96">
        <v>3</v>
      </c>
      <c r="AG57" s="108">
        <v>3</v>
      </c>
      <c r="AH57" s="102">
        <v>3</v>
      </c>
      <c r="AI57" s="96">
        <v>3</v>
      </c>
      <c r="AJ57" s="108">
        <v>3</v>
      </c>
      <c r="AK57" s="102">
        <v>12</v>
      </c>
      <c r="AL57" s="115">
        <v>12</v>
      </c>
      <c r="AM57" s="97">
        <v>12</v>
      </c>
      <c r="AN57" s="102">
        <v>1</v>
      </c>
      <c r="AO57" s="96">
        <v>3</v>
      </c>
      <c r="AP57" s="108">
        <v>1</v>
      </c>
      <c r="AQ57" s="89"/>
      <c r="AR57" s="89"/>
      <c r="AS57" s="89"/>
      <c r="AT57" s="89"/>
      <c r="AU57" s="89"/>
      <c r="AV57" s="89"/>
    </row>
    <row r="58" spans="1:48" ht="16.25" customHeight="1" thickBot="1" x14ac:dyDescent="0.25">
      <c r="A58" s="153"/>
      <c r="B58" s="506" t="s">
        <v>132</v>
      </c>
      <c r="C58" s="507"/>
      <c r="D58" s="154">
        <v>2</v>
      </c>
      <c r="E58" s="154">
        <v>2</v>
      </c>
      <c r="F58" s="155">
        <v>2</v>
      </c>
      <c r="G58" s="158">
        <v>11</v>
      </c>
      <c r="H58" s="128">
        <v>12</v>
      </c>
      <c r="I58" s="129">
        <v>11</v>
      </c>
      <c r="J58" s="156">
        <v>3</v>
      </c>
      <c r="K58" s="154">
        <v>3</v>
      </c>
      <c r="L58" s="155">
        <v>3</v>
      </c>
      <c r="M58" s="156">
        <v>3</v>
      </c>
      <c r="N58" s="154">
        <v>3</v>
      </c>
      <c r="O58" s="155">
        <v>3</v>
      </c>
      <c r="P58" s="156">
        <v>3</v>
      </c>
      <c r="Q58" s="154">
        <v>3</v>
      </c>
      <c r="R58" s="155">
        <v>3</v>
      </c>
      <c r="S58" s="156">
        <v>3</v>
      </c>
      <c r="T58" s="154">
        <v>3</v>
      </c>
      <c r="U58" s="155">
        <v>3</v>
      </c>
      <c r="V58" s="158">
        <v>12</v>
      </c>
      <c r="W58" s="128">
        <v>12</v>
      </c>
      <c r="X58" s="129">
        <v>12</v>
      </c>
      <c r="Y58" s="156">
        <v>3</v>
      </c>
      <c r="Z58" s="154">
        <v>3</v>
      </c>
      <c r="AA58" s="155">
        <v>3</v>
      </c>
      <c r="AB58" s="156">
        <v>3</v>
      </c>
      <c r="AC58" s="154">
        <v>3</v>
      </c>
      <c r="AD58" s="155">
        <v>3</v>
      </c>
      <c r="AE58" s="156">
        <v>3</v>
      </c>
      <c r="AF58" s="154">
        <v>3</v>
      </c>
      <c r="AG58" s="155">
        <v>3</v>
      </c>
      <c r="AH58" s="156">
        <v>3</v>
      </c>
      <c r="AI58" s="154">
        <v>3</v>
      </c>
      <c r="AJ58" s="155">
        <v>3</v>
      </c>
      <c r="AK58" s="158">
        <v>12</v>
      </c>
      <c r="AL58" s="128">
        <v>12</v>
      </c>
      <c r="AM58" s="129">
        <v>12</v>
      </c>
      <c r="AN58" s="156">
        <v>1</v>
      </c>
      <c r="AO58" s="154">
        <v>3</v>
      </c>
      <c r="AP58" s="155">
        <v>1</v>
      </c>
      <c r="AQ58" s="157"/>
      <c r="AR58" s="157"/>
      <c r="AS58" s="157"/>
      <c r="AT58" s="157"/>
      <c r="AU58" s="157"/>
      <c r="AV58" s="157"/>
    </row>
    <row r="59" spans="1:48" ht="16" thickTop="1" x14ac:dyDescent="0.2">
      <c r="A59" s="488" t="s">
        <v>110</v>
      </c>
      <c r="B59" s="489"/>
      <c r="C59" s="490"/>
      <c r="D59" s="122">
        <v>13</v>
      </c>
      <c r="E59" s="122">
        <v>52</v>
      </c>
      <c r="F59" s="123">
        <v>13</v>
      </c>
      <c r="G59" s="119">
        <v>110</v>
      </c>
      <c r="H59" s="132">
        <v>312</v>
      </c>
      <c r="I59" s="121">
        <v>110</v>
      </c>
      <c r="J59" s="119">
        <v>12</v>
      </c>
      <c r="K59" s="122">
        <v>81</v>
      </c>
      <c r="L59" s="123">
        <v>12</v>
      </c>
      <c r="M59" s="119">
        <v>62</v>
      </c>
      <c r="N59" s="122">
        <v>87</v>
      </c>
      <c r="O59" s="123">
        <v>62</v>
      </c>
      <c r="P59" s="119">
        <v>68</v>
      </c>
      <c r="Q59" s="122">
        <v>90</v>
      </c>
      <c r="R59" s="123">
        <v>68</v>
      </c>
      <c r="S59" s="119">
        <v>82</v>
      </c>
      <c r="T59" s="122">
        <v>90</v>
      </c>
      <c r="U59" s="123">
        <v>82</v>
      </c>
      <c r="V59" s="119">
        <v>224</v>
      </c>
      <c r="W59" s="122">
        <v>324</v>
      </c>
      <c r="X59" s="121">
        <v>224</v>
      </c>
      <c r="Y59" s="124">
        <v>87</v>
      </c>
      <c r="Z59" s="117">
        <v>90</v>
      </c>
      <c r="AA59" s="118">
        <v>87</v>
      </c>
      <c r="AB59" s="124">
        <v>86</v>
      </c>
      <c r="AC59" s="117">
        <v>90</v>
      </c>
      <c r="AD59" s="118">
        <v>86</v>
      </c>
      <c r="AE59" s="124">
        <v>61</v>
      </c>
      <c r="AF59" s="117">
        <v>90</v>
      </c>
      <c r="AG59" s="118">
        <v>57</v>
      </c>
      <c r="AH59" s="119">
        <v>43</v>
      </c>
      <c r="AI59" s="122">
        <v>90</v>
      </c>
      <c r="AJ59" s="123">
        <v>39</v>
      </c>
      <c r="AK59" s="119">
        <v>277</v>
      </c>
      <c r="AL59" s="122">
        <v>360</v>
      </c>
      <c r="AM59" s="121">
        <v>269</v>
      </c>
      <c r="AN59" s="124">
        <v>55</v>
      </c>
      <c r="AO59" s="117">
        <v>90</v>
      </c>
      <c r="AP59" s="118">
        <v>29</v>
      </c>
      <c r="AQ59" s="92"/>
      <c r="AR59" s="92"/>
      <c r="AS59" s="92"/>
      <c r="AT59" s="92"/>
      <c r="AU59" s="92"/>
      <c r="AV59" s="92"/>
    </row>
    <row r="60" spans="1:48" ht="34" x14ac:dyDescent="0.2">
      <c r="A60" s="84">
        <v>5</v>
      </c>
      <c r="B60" s="86" t="s">
        <v>79</v>
      </c>
      <c r="C60" s="87" t="s">
        <v>80</v>
      </c>
      <c r="D60" s="96">
        <v>2</v>
      </c>
      <c r="E60" s="96">
        <v>2</v>
      </c>
      <c r="F60" s="108">
        <v>2</v>
      </c>
      <c r="G60" s="102">
        <v>11</v>
      </c>
      <c r="H60" s="115">
        <v>12</v>
      </c>
      <c r="I60" s="97">
        <v>11</v>
      </c>
      <c r="J60" s="102">
        <v>1</v>
      </c>
      <c r="K60" s="96">
        <v>3</v>
      </c>
      <c r="L60" s="108">
        <v>1</v>
      </c>
      <c r="M60" s="102">
        <v>3</v>
      </c>
      <c r="N60" s="96">
        <v>3</v>
      </c>
      <c r="O60" s="108">
        <v>3</v>
      </c>
      <c r="P60" s="102">
        <v>2</v>
      </c>
      <c r="Q60" s="96">
        <v>3</v>
      </c>
      <c r="R60" s="108">
        <v>2</v>
      </c>
      <c r="S60" s="102">
        <v>3</v>
      </c>
      <c r="T60" s="96">
        <v>3</v>
      </c>
      <c r="U60" s="108">
        <v>3</v>
      </c>
      <c r="V60" s="102">
        <v>9</v>
      </c>
      <c r="W60" s="115">
        <v>12</v>
      </c>
      <c r="X60" s="97">
        <v>9</v>
      </c>
      <c r="Y60" s="102">
        <v>3</v>
      </c>
      <c r="Z60" s="96">
        <v>3</v>
      </c>
      <c r="AA60" s="108">
        <v>3</v>
      </c>
      <c r="AB60" s="102">
        <v>3</v>
      </c>
      <c r="AC60" s="96">
        <v>3</v>
      </c>
      <c r="AD60" s="108">
        <v>3</v>
      </c>
      <c r="AE60" s="102">
        <v>2</v>
      </c>
      <c r="AF60" s="96">
        <v>3</v>
      </c>
      <c r="AG60" s="108">
        <v>2</v>
      </c>
      <c r="AH60" s="102">
        <v>3</v>
      </c>
      <c r="AI60" s="96">
        <v>3</v>
      </c>
      <c r="AJ60" s="108">
        <v>3</v>
      </c>
      <c r="AK60" s="102">
        <v>11</v>
      </c>
      <c r="AL60" s="115">
        <v>12</v>
      </c>
      <c r="AM60" s="97">
        <v>11</v>
      </c>
      <c r="AN60" s="102">
        <v>2</v>
      </c>
      <c r="AO60" s="96">
        <v>3</v>
      </c>
      <c r="AP60" s="108">
        <v>1</v>
      </c>
      <c r="AQ60" s="89"/>
      <c r="AR60" s="89"/>
      <c r="AS60" s="89"/>
      <c r="AT60" s="89"/>
      <c r="AU60" s="89"/>
      <c r="AV60" s="89"/>
    </row>
    <row r="61" spans="1:48" ht="16" x14ac:dyDescent="0.2">
      <c r="A61" s="84"/>
      <c r="B61" s="486" t="s">
        <v>127</v>
      </c>
      <c r="C61" s="487"/>
      <c r="D61" s="96">
        <v>2</v>
      </c>
      <c r="E61" s="96">
        <v>2</v>
      </c>
      <c r="F61" s="108">
        <v>2</v>
      </c>
      <c r="G61" s="102">
        <v>11</v>
      </c>
      <c r="H61" s="115">
        <v>12</v>
      </c>
      <c r="I61" s="97">
        <v>11</v>
      </c>
      <c r="J61" s="102">
        <v>1</v>
      </c>
      <c r="K61" s="96">
        <v>3</v>
      </c>
      <c r="L61" s="108">
        <v>1</v>
      </c>
      <c r="M61" s="102">
        <v>3</v>
      </c>
      <c r="N61" s="96">
        <v>3</v>
      </c>
      <c r="O61" s="108">
        <v>3</v>
      </c>
      <c r="P61" s="102">
        <v>2</v>
      </c>
      <c r="Q61" s="96">
        <v>3</v>
      </c>
      <c r="R61" s="108">
        <v>2</v>
      </c>
      <c r="S61" s="102">
        <v>3</v>
      </c>
      <c r="T61" s="96">
        <v>3</v>
      </c>
      <c r="U61" s="108">
        <v>3</v>
      </c>
      <c r="V61" s="102">
        <v>9</v>
      </c>
      <c r="W61" s="115">
        <v>12</v>
      </c>
      <c r="X61" s="97">
        <v>9</v>
      </c>
      <c r="Y61" s="102">
        <v>3</v>
      </c>
      <c r="Z61" s="96">
        <v>3</v>
      </c>
      <c r="AA61" s="108">
        <v>3</v>
      </c>
      <c r="AB61" s="102">
        <v>3</v>
      </c>
      <c r="AC61" s="96">
        <v>3</v>
      </c>
      <c r="AD61" s="108">
        <v>3</v>
      </c>
      <c r="AE61" s="102">
        <v>2</v>
      </c>
      <c r="AF61" s="96">
        <v>3</v>
      </c>
      <c r="AG61" s="108">
        <v>2</v>
      </c>
      <c r="AH61" s="102">
        <v>3</v>
      </c>
      <c r="AI61" s="96">
        <v>3</v>
      </c>
      <c r="AJ61" s="108">
        <v>3</v>
      </c>
      <c r="AK61" s="102">
        <v>11</v>
      </c>
      <c r="AL61" s="115">
        <v>12</v>
      </c>
      <c r="AM61" s="97">
        <v>11</v>
      </c>
      <c r="AN61" s="102">
        <v>2</v>
      </c>
      <c r="AO61" s="96">
        <v>3</v>
      </c>
      <c r="AP61" s="108">
        <v>1</v>
      </c>
      <c r="AQ61" s="89"/>
      <c r="AR61" s="89"/>
      <c r="AS61" s="89"/>
      <c r="AT61" s="89"/>
      <c r="AU61" s="89"/>
      <c r="AV61" s="89"/>
    </row>
    <row r="62" spans="1:48" ht="30" x14ac:dyDescent="0.2">
      <c r="A62" s="84">
        <v>6</v>
      </c>
      <c r="B62" s="86" t="s">
        <v>81</v>
      </c>
      <c r="C62" s="87" t="s">
        <v>82</v>
      </c>
      <c r="D62" s="96">
        <v>1</v>
      </c>
      <c r="E62" s="96">
        <v>6</v>
      </c>
      <c r="F62" s="108">
        <v>1</v>
      </c>
      <c r="G62" s="102">
        <v>11</v>
      </c>
      <c r="H62" s="96">
        <v>36</v>
      </c>
      <c r="I62" s="97">
        <v>11</v>
      </c>
      <c r="J62" s="102">
        <v>1</v>
      </c>
      <c r="K62" s="96">
        <v>9</v>
      </c>
      <c r="L62" s="108">
        <v>1</v>
      </c>
      <c r="M62" s="102">
        <v>5</v>
      </c>
      <c r="N62" s="96">
        <v>9</v>
      </c>
      <c r="O62" s="108">
        <v>5</v>
      </c>
      <c r="P62" s="102">
        <v>9</v>
      </c>
      <c r="Q62" s="96">
        <v>9</v>
      </c>
      <c r="R62" s="108">
        <v>9</v>
      </c>
      <c r="S62" s="102">
        <v>9</v>
      </c>
      <c r="T62" s="96">
        <v>9</v>
      </c>
      <c r="U62" s="108">
        <v>9</v>
      </c>
      <c r="V62" s="102">
        <v>24</v>
      </c>
      <c r="W62" s="96">
        <v>36</v>
      </c>
      <c r="X62" s="97">
        <v>24</v>
      </c>
      <c r="Y62" s="102">
        <v>9</v>
      </c>
      <c r="Z62" s="96">
        <v>9</v>
      </c>
      <c r="AA62" s="108">
        <v>9</v>
      </c>
      <c r="AB62" s="102">
        <v>9</v>
      </c>
      <c r="AC62" s="96">
        <v>9</v>
      </c>
      <c r="AD62" s="108">
        <v>9</v>
      </c>
      <c r="AE62" s="102">
        <v>8</v>
      </c>
      <c r="AF62" s="96">
        <v>9</v>
      </c>
      <c r="AG62" s="108">
        <v>6</v>
      </c>
      <c r="AH62" s="102">
        <v>7</v>
      </c>
      <c r="AI62" s="96">
        <v>9</v>
      </c>
      <c r="AJ62" s="108">
        <v>5</v>
      </c>
      <c r="AK62" s="102">
        <v>33</v>
      </c>
      <c r="AL62" s="96">
        <v>36</v>
      </c>
      <c r="AM62" s="97">
        <v>29</v>
      </c>
      <c r="AN62" s="102">
        <v>6</v>
      </c>
      <c r="AO62" s="96">
        <v>9</v>
      </c>
      <c r="AP62" s="108">
        <v>3</v>
      </c>
      <c r="AQ62" s="89"/>
      <c r="AR62" s="89"/>
      <c r="AS62" s="89"/>
      <c r="AT62" s="89"/>
      <c r="AU62" s="89"/>
      <c r="AV62" s="89"/>
    </row>
    <row r="63" spans="1:48" ht="17" thickBot="1" x14ac:dyDescent="0.25">
      <c r="A63" s="131"/>
      <c r="B63" s="504" t="s">
        <v>126</v>
      </c>
      <c r="C63" s="505"/>
      <c r="D63" s="125">
        <v>1</v>
      </c>
      <c r="E63" s="125">
        <v>2</v>
      </c>
      <c r="F63" s="126">
        <v>1</v>
      </c>
      <c r="G63" s="158">
        <v>11</v>
      </c>
      <c r="H63" s="128">
        <v>12</v>
      </c>
      <c r="I63" s="129">
        <v>11</v>
      </c>
      <c r="J63" s="127">
        <v>1</v>
      </c>
      <c r="K63" s="125">
        <v>3</v>
      </c>
      <c r="L63" s="126">
        <v>1</v>
      </c>
      <c r="M63" s="127">
        <v>3</v>
      </c>
      <c r="N63" s="125">
        <v>3</v>
      </c>
      <c r="O63" s="126">
        <v>3</v>
      </c>
      <c r="P63" s="127">
        <v>3</v>
      </c>
      <c r="Q63" s="125">
        <v>3</v>
      </c>
      <c r="R63" s="126">
        <v>3</v>
      </c>
      <c r="S63" s="127">
        <v>3</v>
      </c>
      <c r="T63" s="125">
        <v>3</v>
      </c>
      <c r="U63" s="126">
        <v>3</v>
      </c>
      <c r="V63" s="158">
        <v>10</v>
      </c>
      <c r="W63" s="128">
        <v>12</v>
      </c>
      <c r="X63" s="129">
        <v>10</v>
      </c>
      <c r="Y63" s="127">
        <v>3</v>
      </c>
      <c r="Z63" s="125">
        <v>3</v>
      </c>
      <c r="AA63" s="126">
        <v>3</v>
      </c>
      <c r="AB63" s="127">
        <v>3</v>
      </c>
      <c r="AC63" s="125">
        <v>3</v>
      </c>
      <c r="AD63" s="126">
        <v>3</v>
      </c>
      <c r="AE63" s="127">
        <v>3</v>
      </c>
      <c r="AF63" s="125">
        <v>3</v>
      </c>
      <c r="AG63" s="126">
        <v>2</v>
      </c>
      <c r="AH63" s="127">
        <v>3</v>
      </c>
      <c r="AI63" s="125">
        <v>3</v>
      </c>
      <c r="AJ63" s="126">
        <v>2</v>
      </c>
      <c r="AK63" s="158">
        <v>12</v>
      </c>
      <c r="AL63" s="128">
        <v>12</v>
      </c>
      <c r="AM63" s="129">
        <v>10</v>
      </c>
      <c r="AN63" s="127">
        <v>2</v>
      </c>
      <c r="AO63" s="125">
        <v>3</v>
      </c>
      <c r="AP63" s="126">
        <v>1</v>
      </c>
      <c r="AQ63" s="130"/>
      <c r="AR63" s="130"/>
      <c r="AS63" s="130"/>
      <c r="AT63" s="130"/>
      <c r="AU63" s="130"/>
      <c r="AV63" s="130"/>
    </row>
    <row r="64" spans="1:48" ht="16" thickTop="1" x14ac:dyDescent="0.2">
      <c r="A64" s="488" t="s">
        <v>111</v>
      </c>
      <c r="B64" s="489"/>
      <c r="C64" s="490"/>
      <c r="D64" s="122">
        <v>56</v>
      </c>
      <c r="E64" s="122">
        <v>56</v>
      </c>
      <c r="F64" s="123">
        <v>50</v>
      </c>
      <c r="G64" s="119">
        <v>336</v>
      </c>
      <c r="H64" s="132">
        <v>336</v>
      </c>
      <c r="I64" s="121">
        <v>328</v>
      </c>
      <c r="J64" s="119">
        <v>84</v>
      </c>
      <c r="K64" s="122">
        <v>84</v>
      </c>
      <c r="L64" s="123">
        <v>80</v>
      </c>
      <c r="M64" s="119">
        <v>84</v>
      </c>
      <c r="N64" s="122">
        <v>84</v>
      </c>
      <c r="O64" s="123">
        <v>82</v>
      </c>
      <c r="P64" s="119">
        <v>84</v>
      </c>
      <c r="Q64" s="122">
        <v>84</v>
      </c>
      <c r="R64" s="123">
        <v>83</v>
      </c>
      <c r="S64" s="119">
        <v>84</v>
      </c>
      <c r="T64" s="122">
        <v>84</v>
      </c>
      <c r="U64" s="123">
        <v>84</v>
      </c>
      <c r="V64" s="119">
        <v>336</v>
      </c>
      <c r="W64" s="122">
        <v>336</v>
      </c>
      <c r="X64" s="121">
        <v>329</v>
      </c>
      <c r="Y64" s="124">
        <v>84</v>
      </c>
      <c r="Z64" s="117">
        <v>84</v>
      </c>
      <c r="AA64" s="118">
        <v>84</v>
      </c>
      <c r="AB64" s="124">
        <v>84</v>
      </c>
      <c r="AC64" s="117">
        <v>84</v>
      </c>
      <c r="AD64" s="118">
        <v>84</v>
      </c>
      <c r="AE64" s="124">
        <v>84</v>
      </c>
      <c r="AF64" s="117">
        <v>84</v>
      </c>
      <c r="AG64" s="118">
        <v>84</v>
      </c>
      <c r="AH64" s="119">
        <v>70</v>
      </c>
      <c r="AI64" s="122">
        <v>84</v>
      </c>
      <c r="AJ64" s="123">
        <v>70</v>
      </c>
      <c r="AK64" s="119">
        <v>322</v>
      </c>
      <c r="AL64" s="122">
        <v>336</v>
      </c>
      <c r="AM64" s="121">
        <v>322</v>
      </c>
      <c r="AN64" s="124">
        <v>84</v>
      </c>
      <c r="AO64" s="117">
        <v>84</v>
      </c>
      <c r="AP64" s="118">
        <v>28</v>
      </c>
      <c r="AQ64" s="92"/>
      <c r="AR64" s="92"/>
      <c r="AS64" s="92"/>
      <c r="AT64" s="92"/>
      <c r="AU64" s="92"/>
      <c r="AV64" s="92"/>
    </row>
    <row r="65" spans="1:48" ht="30" x14ac:dyDescent="0.2">
      <c r="A65" s="84">
        <v>7</v>
      </c>
      <c r="B65" s="86" t="s">
        <v>83</v>
      </c>
      <c r="C65" s="87" t="s">
        <v>84</v>
      </c>
      <c r="D65" s="96">
        <v>2</v>
      </c>
      <c r="E65" s="96">
        <v>2</v>
      </c>
      <c r="F65" s="108">
        <v>2</v>
      </c>
      <c r="G65" s="102">
        <v>12</v>
      </c>
      <c r="H65" s="115">
        <v>12</v>
      </c>
      <c r="I65" s="97">
        <v>12</v>
      </c>
      <c r="J65" s="102">
        <v>3</v>
      </c>
      <c r="K65" s="96">
        <v>3</v>
      </c>
      <c r="L65" s="108">
        <v>3</v>
      </c>
      <c r="M65" s="102">
        <v>3</v>
      </c>
      <c r="N65" s="96">
        <v>3</v>
      </c>
      <c r="O65" s="108">
        <v>2</v>
      </c>
      <c r="P65" s="102">
        <v>3</v>
      </c>
      <c r="Q65" s="96">
        <v>3</v>
      </c>
      <c r="R65" s="108">
        <v>3</v>
      </c>
      <c r="S65" s="159">
        <v>3</v>
      </c>
      <c r="T65" s="96">
        <v>3</v>
      </c>
      <c r="U65" s="160">
        <v>3</v>
      </c>
      <c r="V65" s="102">
        <v>12</v>
      </c>
      <c r="W65" s="115">
        <v>12</v>
      </c>
      <c r="X65" s="97">
        <v>11</v>
      </c>
      <c r="Y65" s="102">
        <v>3</v>
      </c>
      <c r="Z65" s="96">
        <v>3</v>
      </c>
      <c r="AA65" s="108">
        <v>3</v>
      </c>
      <c r="AB65" s="102">
        <v>3</v>
      </c>
      <c r="AC65" s="96">
        <v>3</v>
      </c>
      <c r="AD65" s="108">
        <v>3</v>
      </c>
      <c r="AE65" s="102">
        <v>3</v>
      </c>
      <c r="AF65" s="96">
        <v>3</v>
      </c>
      <c r="AG65" s="108">
        <v>3</v>
      </c>
      <c r="AH65" s="108">
        <v>3</v>
      </c>
      <c r="AI65" s="108">
        <v>3</v>
      </c>
      <c r="AJ65" s="108">
        <v>3</v>
      </c>
      <c r="AK65" s="102">
        <v>12</v>
      </c>
      <c r="AL65" s="115">
        <v>12</v>
      </c>
      <c r="AM65" s="97">
        <v>12</v>
      </c>
      <c r="AN65" s="102">
        <v>3</v>
      </c>
      <c r="AO65" s="96">
        <v>3</v>
      </c>
      <c r="AP65" s="108">
        <v>1</v>
      </c>
      <c r="AQ65" s="89"/>
      <c r="AR65" s="89"/>
      <c r="AS65" s="89"/>
      <c r="AT65" s="89"/>
      <c r="AU65" s="89"/>
      <c r="AV65" s="89"/>
    </row>
    <row r="66" spans="1:48" ht="16" x14ac:dyDescent="0.2">
      <c r="A66" s="84"/>
      <c r="B66" s="486" t="s">
        <v>129</v>
      </c>
      <c r="C66" s="487"/>
      <c r="D66" s="96">
        <v>2</v>
      </c>
      <c r="E66" s="96">
        <v>2</v>
      </c>
      <c r="F66" s="108">
        <v>2</v>
      </c>
      <c r="G66" s="102">
        <v>12</v>
      </c>
      <c r="H66" s="115">
        <v>12</v>
      </c>
      <c r="I66" s="97">
        <v>12</v>
      </c>
      <c r="J66" s="102">
        <v>3</v>
      </c>
      <c r="K66" s="96">
        <v>3</v>
      </c>
      <c r="L66" s="108">
        <v>3</v>
      </c>
      <c r="M66" s="102">
        <v>3</v>
      </c>
      <c r="N66" s="96">
        <v>3</v>
      </c>
      <c r="O66" s="108">
        <v>2</v>
      </c>
      <c r="P66" s="102">
        <v>3</v>
      </c>
      <c r="Q66" s="96">
        <v>3</v>
      </c>
      <c r="R66" s="108">
        <v>3</v>
      </c>
      <c r="S66" s="159">
        <v>3</v>
      </c>
      <c r="T66" s="96">
        <v>3</v>
      </c>
      <c r="U66" s="160">
        <v>3</v>
      </c>
      <c r="V66" s="102">
        <v>12</v>
      </c>
      <c r="W66" s="115">
        <v>12</v>
      </c>
      <c r="X66" s="97">
        <v>11</v>
      </c>
      <c r="Y66" s="102">
        <v>3</v>
      </c>
      <c r="Z66" s="96">
        <v>3</v>
      </c>
      <c r="AA66" s="108">
        <v>3</v>
      </c>
      <c r="AB66" s="102">
        <v>3</v>
      </c>
      <c r="AC66" s="96">
        <v>3</v>
      </c>
      <c r="AD66" s="108">
        <v>3</v>
      </c>
      <c r="AE66" s="102">
        <v>3</v>
      </c>
      <c r="AF66" s="96">
        <v>3</v>
      </c>
      <c r="AG66" s="108">
        <v>3</v>
      </c>
      <c r="AH66" s="108">
        <v>3</v>
      </c>
      <c r="AI66" s="108">
        <v>3</v>
      </c>
      <c r="AJ66" s="108">
        <v>3</v>
      </c>
      <c r="AK66" s="102">
        <v>12</v>
      </c>
      <c r="AL66" s="115">
        <v>12</v>
      </c>
      <c r="AM66" s="97">
        <v>12</v>
      </c>
      <c r="AN66" s="102">
        <v>3</v>
      </c>
      <c r="AO66" s="96">
        <v>3</v>
      </c>
      <c r="AP66" s="108">
        <v>1</v>
      </c>
      <c r="AQ66" s="89"/>
      <c r="AR66" s="89"/>
      <c r="AS66" s="89"/>
      <c r="AT66" s="89"/>
      <c r="AU66" s="89"/>
      <c r="AV66" s="89"/>
    </row>
    <row r="67" spans="1:48" ht="34" x14ac:dyDescent="0.2">
      <c r="A67" s="84">
        <v>8</v>
      </c>
      <c r="B67" s="86" t="s">
        <v>85</v>
      </c>
      <c r="C67" s="87" t="s">
        <v>86</v>
      </c>
      <c r="D67" s="96">
        <v>2</v>
      </c>
      <c r="E67" s="96">
        <v>2</v>
      </c>
      <c r="F67" s="108">
        <v>2</v>
      </c>
      <c r="G67" s="102">
        <v>12</v>
      </c>
      <c r="H67" s="115">
        <v>12</v>
      </c>
      <c r="I67" s="97">
        <v>12</v>
      </c>
      <c r="J67" s="102">
        <v>3</v>
      </c>
      <c r="K67" s="96">
        <v>3</v>
      </c>
      <c r="L67" s="108">
        <v>3</v>
      </c>
      <c r="M67" s="102">
        <v>3</v>
      </c>
      <c r="N67" s="96">
        <v>3</v>
      </c>
      <c r="O67" s="108">
        <v>3</v>
      </c>
      <c r="P67" s="102">
        <v>3</v>
      </c>
      <c r="Q67" s="96">
        <v>3</v>
      </c>
      <c r="R67" s="108">
        <v>3</v>
      </c>
      <c r="S67" s="102">
        <v>3</v>
      </c>
      <c r="T67" s="96">
        <v>3</v>
      </c>
      <c r="U67" s="108">
        <v>3</v>
      </c>
      <c r="V67" s="102">
        <v>12</v>
      </c>
      <c r="W67" s="115">
        <v>12</v>
      </c>
      <c r="X67" s="97">
        <v>12</v>
      </c>
      <c r="Y67" s="102">
        <v>3</v>
      </c>
      <c r="Z67" s="96">
        <v>3</v>
      </c>
      <c r="AA67" s="108">
        <v>3</v>
      </c>
      <c r="AB67" s="102">
        <v>3</v>
      </c>
      <c r="AC67" s="96">
        <v>3</v>
      </c>
      <c r="AD67" s="108">
        <v>3</v>
      </c>
      <c r="AE67" s="102">
        <v>3</v>
      </c>
      <c r="AF67" s="96">
        <v>3</v>
      </c>
      <c r="AG67" s="108">
        <v>3</v>
      </c>
      <c r="AH67" s="108">
        <v>3</v>
      </c>
      <c r="AI67" s="108">
        <v>3</v>
      </c>
      <c r="AJ67" s="108">
        <v>3</v>
      </c>
      <c r="AK67" s="102">
        <v>12</v>
      </c>
      <c r="AL67" s="115">
        <v>12</v>
      </c>
      <c r="AM67" s="97">
        <v>12</v>
      </c>
      <c r="AN67" s="102">
        <v>3</v>
      </c>
      <c r="AO67" s="96">
        <v>3</v>
      </c>
      <c r="AP67" s="108">
        <v>1</v>
      </c>
      <c r="AQ67" s="89"/>
      <c r="AR67" s="89"/>
      <c r="AS67" s="89"/>
      <c r="AT67" s="89"/>
      <c r="AU67" s="89"/>
      <c r="AV67" s="89"/>
    </row>
    <row r="68" spans="1:48" ht="17" thickBot="1" x14ac:dyDescent="0.25">
      <c r="A68" s="131"/>
      <c r="B68" s="504" t="s">
        <v>128</v>
      </c>
      <c r="C68" s="505"/>
      <c r="D68" s="125">
        <v>2</v>
      </c>
      <c r="E68" s="125">
        <v>2</v>
      </c>
      <c r="F68" s="126">
        <v>2</v>
      </c>
      <c r="G68" s="158">
        <v>12</v>
      </c>
      <c r="H68" s="128">
        <v>12</v>
      </c>
      <c r="I68" s="129">
        <v>12</v>
      </c>
      <c r="J68" s="127">
        <v>3</v>
      </c>
      <c r="K68" s="125">
        <v>3</v>
      </c>
      <c r="L68" s="126">
        <v>3</v>
      </c>
      <c r="M68" s="127">
        <v>3</v>
      </c>
      <c r="N68" s="125">
        <v>3</v>
      </c>
      <c r="O68" s="126">
        <v>3</v>
      </c>
      <c r="P68" s="127">
        <v>3</v>
      </c>
      <c r="Q68" s="125">
        <v>3</v>
      </c>
      <c r="R68" s="126">
        <v>3</v>
      </c>
      <c r="S68" s="161">
        <v>3</v>
      </c>
      <c r="T68" s="162">
        <v>3</v>
      </c>
      <c r="U68" s="163">
        <v>3</v>
      </c>
      <c r="V68" s="158">
        <v>12</v>
      </c>
      <c r="W68" s="128">
        <v>12</v>
      </c>
      <c r="X68" s="129">
        <v>12</v>
      </c>
      <c r="Y68" s="127">
        <v>4</v>
      </c>
      <c r="Z68" s="125">
        <v>3</v>
      </c>
      <c r="AA68" s="126">
        <v>4</v>
      </c>
      <c r="AB68" s="127">
        <v>4</v>
      </c>
      <c r="AC68" s="125">
        <v>3</v>
      </c>
      <c r="AD68" s="126">
        <v>4</v>
      </c>
      <c r="AE68" s="127">
        <v>4</v>
      </c>
      <c r="AF68" s="125">
        <v>3</v>
      </c>
      <c r="AG68" s="126">
        <v>4</v>
      </c>
      <c r="AH68" s="108">
        <v>3</v>
      </c>
      <c r="AI68" s="108">
        <v>3</v>
      </c>
      <c r="AJ68" s="108">
        <v>3</v>
      </c>
      <c r="AK68" s="158">
        <v>12</v>
      </c>
      <c r="AL68" s="128">
        <v>12</v>
      </c>
      <c r="AM68" s="129">
        <v>12</v>
      </c>
      <c r="AN68" s="127">
        <v>3</v>
      </c>
      <c r="AO68" s="125">
        <v>3</v>
      </c>
      <c r="AP68" s="126">
        <v>1</v>
      </c>
      <c r="AQ68" s="130"/>
      <c r="AR68" s="130"/>
      <c r="AS68" s="130"/>
      <c r="AT68" s="130"/>
      <c r="AU68" s="130"/>
      <c r="AV68" s="130"/>
    </row>
    <row r="69" spans="1:48" ht="16" thickTop="1" x14ac:dyDescent="0.2">
      <c r="A69" s="488" t="s">
        <v>112</v>
      </c>
      <c r="B69" s="489"/>
      <c r="C69" s="490"/>
      <c r="D69" s="117">
        <v>22</v>
      </c>
      <c r="E69" s="117">
        <v>84</v>
      </c>
      <c r="F69" s="118">
        <v>22</v>
      </c>
      <c r="G69" s="119">
        <v>129</v>
      </c>
      <c r="H69" s="120">
        <v>504</v>
      </c>
      <c r="I69" s="121">
        <v>115</v>
      </c>
      <c r="J69" s="119">
        <v>33</v>
      </c>
      <c r="K69" s="122">
        <v>126</v>
      </c>
      <c r="L69" s="123">
        <v>32</v>
      </c>
      <c r="M69" s="119">
        <v>33</v>
      </c>
      <c r="N69" s="122">
        <v>126</v>
      </c>
      <c r="O69" s="123">
        <v>22</v>
      </c>
      <c r="P69" s="119">
        <v>33</v>
      </c>
      <c r="Q69" s="122">
        <v>126</v>
      </c>
      <c r="R69" s="123">
        <v>32</v>
      </c>
      <c r="S69" s="119">
        <v>33</v>
      </c>
      <c r="T69" s="122">
        <v>126</v>
      </c>
      <c r="U69" s="123">
        <v>21</v>
      </c>
      <c r="V69" s="119">
        <v>132</v>
      </c>
      <c r="W69" s="122">
        <v>504</v>
      </c>
      <c r="X69" s="121">
        <v>107</v>
      </c>
      <c r="Y69" s="124">
        <v>33</v>
      </c>
      <c r="Z69" s="117">
        <v>126</v>
      </c>
      <c r="AA69" s="118">
        <v>33</v>
      </c>
      <c r="AB69" s="124">
        <v>113</v>
      </c>
      <c r="AC69" s="117">
        <v>126</v>
      </c>
      <c r="AD69" s="118">
        <v>112</v>
      </c>
      <c r="AE69" s="124">
        <v>115</v>
      </c>
      <c r="AF69" s="117">
        <v>126</v>
      </c>
      <c r="AG69" s="118">
        <v>114</v>
      </c>
      <c r="AH69" s="119">
        <v>62</v>
      </c>
      <c r="AI69" s="122">
        <v>126</v>
      </c>
      <c r="AJ69" s="123">
        <v>61</v>
      </c>
      <c r="AK69" s="119">
        <v>323</v>
      </c>
      <c r="AL69" s="122">
        <v>504</v>
      </c>
      <c r="AM69" s="121">
        <v>320</v>
      </c>
      <c r="AN69" s="124">
        <v>73</v>
      </c>
      <c r="AO69" s="117">
        <v>126</v>
      </c>
      <c r="AP69" s="118">
        <v>36</v>
      </c>
      <c r="AQ69" s="92"/>
      <c r="AR69" s="92"/>
      <c r="AS69" s="92"/>
      <c r="AT69" s="92"/>
      <c r="AU69" s="92"/>
      <c r="AV69" s="92"/>
    </row>
    <row r="70" spans="1:48" ht="30" x14ac:dyDescent="0.2">
      <c r="A70" s="84">
        <v>9</v>
      </c>
      <c r="B70" s="86" t="s">
        <v>87</v>
      </c>
      <c r="C70" s="87" t="s">
        <v>88</v>
      </c>
      <c r="D70" s="96">
        <v>0</v>
      </c>
      <c r="E70" s="96">
        <v>2</v>
      </c>
      <c r="F70" s="108">
        <v>0</v>
      </c>
      <c r="G70" s="102">
        <v>0</v>
      </c>
      <c r="H70" s="115">
        <v>12</v>
      </c>
      <c r="I70" s="97">
        <v>0</v>
      </c>
      <c r="J70" s="102">
        <v>0</v>
      </c>
      <c r="K70" s="96">
        <v>3</v>
      </c>
      <c r="L70" s="108">
        <v>0</v>
      </c>
      <c r="M70" s="102">
        <v>0</v>
      </c>
      <c r="N70" s="96">
        <v>3</v>
      </c>
      <c r="O70" s="108">
        <v>0</v>
      </c>
      <c r="P70" s="102">
        <v>0</v>
      </c>
      <c r="Q70" s="96">
        <v>3</v>
      </c>
      <c r="R70" s="108">
        <v>0</v>
      </c>
      <c r="S70" s="102">
        <v>0</v>
      </c>
      <c r="T70" s="96">
        <v>3</v>
      </c>
      <c r="U70" s="108">
        <v>0</v>
      </c>
      <c r="V70" s="102">
        <v>0</v>
      </c>
      <c r="W70" s="115">
        <v>12</v>
      </c>
      <c r="X70" s="97">
        <v>0</v>
      </c>
      <c r="Y70" s="102">
        <v>0</v>
      </c>
      <c r="Z70" s="96">
        <v>3</v>
      </c>
      <c r="AA70" s="108">
        <v>0</v>
      </c>
      <c r="AB70" s="102">
        <v>3</v>
      </c>
      <c r="AC70" s="96">
        <v>3</v>
      </c>
      <c r="AD70" s="108">
        <v>3</v>
      </c>
      <c r="AE70" s="102">
        <v>3</v>
      </c>
      <c r="AF70" s="96">
        <v>3</v>
      </c>
      <c r="AG70" s="108">
        <v>2</v>
      </c>
      <c r="AH70" s="102">
        <v>3</v>
      </c>
      <c r="AI70" s="96">
        <v>3</v>
      </c>
      <c r="AJ70" s="108">
        <v>3</v>
      </c>
      <c r="AK70" s="102">
        <v>9</v>
      </c>
      <c r="AL70" s="115">
        <v>12</v>
      </c>
      <c r="AM70" s="97">
        <v>8</v>
      </c>
      <c r="AN70" s="102">
        <v>2</v>
      </c>
      <c r="AO70" s="96">
        <v>3</v>
      </c>
      <c r="AP70" s="108">
        <v>1</v>
      </c>
      <c r="AQ70" s="89"/>
      <c r="AR70" s="89"/>
      <c r="AS70" s="89"/>
      <c r="AT70" s="89"/>
      <c r="AU70" s="89"/>
      <c r="AV70" s="89"/>
    </row>
    <row r="71" spans="1:48" ht="16" x14ac:dyDescent="0.2">
      <c r="A71" s="84"/>
      <c r="B71" s="486" t="s">
        <v>130</v>
      </c>
      <c r="C71" s="487"/>
      <c r="D71" s="96">
        <v>0</v>
      </c>
      <c r="E71" s="96">
        <v>2</v>
      </c>
      <c r="F71" s="108">
        <v>0</v>
      </c>
      <c r="G71" s="102">
        <v>0</v>
      </c>
      <c r="H71" s="115">
        <v>12</v>
      </c>
      <c r="I71" s="97">
        <v>0</v>
      </c>
      <c r="J71" s="102">
        <v>0</v>
      </c>
      <c r="K71" s="96">
        <v>3</v>
      </c>
      <c r="L71" s="108">
        <v>0</v>
      </c>
      <c r="M71" s="102">
        <v>0</v>
      </c>
      <c r="N71" s="96">
        <v>3</v>
      </c>
      <c r="O71" s="108">
        <v>0</v>
      </c>
      <c r="P71" s="102">
        <v>0</v>
      </c>
      <c r="Q71" s="96">
        <v>3</v>
      </c>
      <c r="R71" s="108">
        <v>0</v>
      </c>
      <c r="S71" s="102">
        <v>0</v>
      </c>
      <c r="T71" s="96">
        <v>3</v>
      </c>
      <c r="U71" s="108">
        <v>0</v>
      </c>
      <c r="V71" s="102">
        <v>0</v>
      </c>
      <c r="W71" s="115">
        <v>12</v>
      </c>
      <c r="X71" s="97">
        <v>0</v>
      </c>
      <c r="Y71" s="102">
        <v>0</v>
      </c>
      <c r="Z71" s="96">
        <v>3</v>
      </c>
      <c r="AA71" s="108">
        <v>0</v>
      </c>
      <c r="AB71" s="102">
        <v>3</v>
      </c>
      <c r="AC71" s="96">
        <v>3</v>
      </c>
      <c r="AD71" s="108">
        <v>3</v>
      </c>
      <c r="AE71" s="102">
        <v>3</v>
      </c>
      <c r="AF71" s="96">
        <v>3</v>
      </c>
      <c r="AG71" s="108">
        <v>2</v>
      </c>
      <c r="AH71" s="102">
        <v>3</v>
      </c>
      <c r="AI71" s="96">
        <v>3</v>
      </c>
      <c r="AJ71" s="108">
        <v>3</v>
      </c>
      <c r="AK71" s="102">
        <v>9</v>
      </c>
      <c r="AL71" s="115">
        <v>12</v>
      </c>
      <c r="AM71" s="97">
        <v>8</v>
      </c>
      <c r="AN71" s="102">
        <v>2</v>
      </c>
      <c r="AO71" s="96">
        <v>3</v>
      </c>
      <c r="AP71" s="108">
        <v>1</v>
      </c>
      <c r="AQ71" s="89"/>
      <c r="AR71" s="89"/>
      <c r="AS71" s="89"/>
      <c r="AT71" s="89"/>
      <c r="AU71" s="89"/>
      <c r="AV71" s="89"/>
    </row>
    <row r="72" spans="1:48" ht="30" x14ac:dyDescent="0.2">
      <c r="A72" s="84">
        <v>10</v>
      </c>
      <c r="B72" s="86" t="s">
        <v>89</v>
      </c>
      <c r="C72" s="87" t="s">
        <v>90</v>
      </c>
      <c r="D72" s="96">
        <v>2</v>
      </c>
      <c r="E72" s="96">
        <v>2</v>
      </c>
      <c r="F72" s="108">
        <v>2</v>
      </c>
      <c r="G72" s="102">
        <v>12</v>
      </c>
      <c r="H72" s="115">
        <v>12</v>
      </c>
      <c r="I72" s="97">
        <v>12</v>
      </c>
      <c r="J72" s="102">
        <v>3</v>
      </c>
      <c r="K72" s="96">
        <v>3</v>
      </c>
      <c r="L72" s="108">
        <v>3</v>
      </c>
      <c r="M72" s="102">
        <v>3</v>
      </c>
      <c r="N72" s="96">
        <v>3</v>
      </c>
      <c r="O72" s="108">
        <v>2</v>
      </c>
      <c r="P72" s="102">
        <v>3</v>
      </c>
      <c r="Q72" s="96">
        <v>3</v>
      </c>
      <c r="R72" s="108">
        <v>3</v>
      </c>
      <c r="S72" s="102">
        <v>3</v>
      </c>
      <c r="T72" s="96">
        <v>3</v>
      </c>
      <c r="U72" s="108">
        <v>1</v>
      </c>
      <c r="V72" s="102">
        <v>12</v>
      </c>
      <c r="W72" s="115">
        <v>12</v>
      </c>
      <c r="X72" s="97">
        <v>9</v>
      </c>
      <c r="Y72" s="102">
        <v>3</v>
      </c>
      <c r="Z72" s="96">
        <v>3</v>
      </c>
      <c r="AA72" s="108">
        <v>3</v>
      </c>
      <c r="AB72" s="102">
        <v>3</v>
      </c>
      <c r="AC72" s="96">
        <v>3</v>
      </c>
      <c r="AD72" s="108">
        <v>3</v>
      </c>
      <c r="AE72" s="102">
        <v>3</v>
      </c>
      <c r="AF72" s="96">
        <v>3</v>
      </c>
      <c r="AG72" s="108">
        <v>3</v>
      </c>
      <c r="AH72" s="102">
        <v>3</v>
      </c>
      <c r="AI72" s="96">
        <v>3</v>
      </c>
      <c r="AJ72" s="108">
        <v>3</v>
      </c>
      <c r="AK72" s="102">
        <v>12</v>
      </c>
      <c r="AL72" s="115">
        <v>12</v>
      </c>
      <c r="AM72" s="97">
        <v>12</v>
      </c>
      <c r="AN72" s="102">
        <v>2</v>
      </c>
      <c r="AO72" s="96">
        <v>3</v>
      </c>
      <c r="AP72" s="108">
        <v>1</v>
      </c>
      <c r="AQ72" s="89"/>
      <c r="AR72" s="89"/>
      <c r="AS72" s="89"/>
      <c r="AT72" s="89"/>
      <c r="AU72" s="89"/>
      <c r="AV72" s="89"/>
    </row>
    <row r="73" spans="1:48" ht="16" x14ac:dyDescent="0.2">
      <c r="A73" s="84"/>
      <c r="B73" s="486" t="s">
        <v>131</v>
      </c>
      <c r="C73" s="487"/>
      <c r="D73" s="96">
        <v>2</v>
      </c>
      <c r="E73" s="96">
        <v>2</v>
      </c>
      <c r="F73" s="108">
        <v>2</v>
      </c>
      <c r="G73" s="102">
        <v>12</v>
      </c>
      <c r="H73" s="115">
        <v>12</v>
      </c>
      <c r="I73" s="97">
        <v>12</v>
      </c>
      <c r="J73" s="102">
        <v>3</v>
      </c>
      <c r="K73" s="96">
        <v>3</v>
      </c>
      <c r="L73" s="108">
        <v>3</v>
      </c>
      <c r="M73" s="102">
        <v>3</v>
      </c>
      <c r="N73" s="96">
        <v>3</v>
      </c>
      <c r="O73" s="108">
        <v>2</v>
      </c>
      <c r="P73" s="102">
        <v>3</v>
      </c>
      <c r="Q73" s="96">
        <v>3</v>
      </c>
      <c r="R73" s="108">
        <v>3</v>
      </c>
      <c r="S73" s="102">
        <v>3</v>
      </c>
      <c r="T73" s="96">
        <v>3</v>
      </c>
      <c r="U73" s="108">
        <v>1</v>
      </c>
      <c r="V73" s="102">
        <v>12</v>
      </c>
      <c r="W73" s="115">
        <v>12</v>
      </c>
      <c r="X73" s="97">
        <v>9</v>
      </c>
      <c r="Y73" s="102">
        <v>3</v>
      </c>
      <c r="Z73" s="96">
        <v>3</v>
      </c>
      <c r="AA73" s="108">
        <v>3</v>
      </c>
      <c r="AB73" s="102">
        <v>3</v>
      </c>
      <c r="AC73" s="96">
        <v>3</v>
      </c>
      <c r="AD73" s="108">
        <v>3</v>
      </c>
      <c r="AE73" s="102">
        <v>3</v>
      </c>
      <c r="AF73" s="96">
        <v>3</v>
      </c>
      <c r="AG73" s="108">
        <v>3</v>
      </c>
      <c r="AH73" s="102">
        <v>3</v>
      </c>
      <c r="AI73" s="96">
        <v>3</v>
      </c>
      <c r="AJ73" s="108">
        <v>3</v>
      </c>
      <c r="AK73" s="102">
        <v>12</v>
      </c>
      <c r="AL73" s="115">
        <v>12</v>
      </c>
      <c r="AM73" s="97">
        <v>12</v>
      </c>
      <c r="AN73" s="102">
        <v>2</v>
      </c>
      <c r="AO73" s="96">
        <v>3</v>
      </c>
      <c r="AP73" s="108">
        <v>1</v>
      </c>
      <c r="AQ73" s="89"/>
      <c r="AR73" s="89"/>
      <c r="AS73" s="89"/>
      <c r="AT73" s="89"/>
      <c r="AU73" s="89"/>
      <c r="AV73" s="89"/>
    </row>
    <row r="74" spans="1:48" ht="47.5" customHeight="1" x14ac:dyDescent="0.2">
      <c r="A74" s="84">
        <v>11</v>
      </c>
      <c r="B74" s="86" t="s">
        <v>89</v>
      </c>
      <c r="C74" s="87" t="s">
        <v>91</v>
      </c>
      <c r="D74" s="96">
        <v>2</v>
      </c>
      <c r="E74" s="96">
        <v>2</v>
      </c>
      <c r="F74" s="108">
        <v>2</v>
      </c>
      <c r="G74" s="102">
        <v>24</v>
      </c>
      <c r="H74" s="96">
        <v>24</v>
      </c>
      <c r="I74" s="97">
        <v>22</v>
      </c>
      <c r="J74" s="102">
        <v>6</v>
      </c>
      <c r="K74" s="96">
        <v>6</v>
      </c>
      <c r="L74" s="108">
        <v>5</v>
      </c>
      <c r="M74" s="102">
        <v>6</v>
      </c>
      <c r="N74" s="96">
        <v>6</v>
      </c>
      <c r="O74" s="108">
        <v>4</v>
      </c>
      <c r="P74" s="102">
        <v>6</v>
      </c>
      <c r="Q74" s="96">
        <v>6</v>
      </c>
      <c r="R74" s="108">
        <v>6</v>
      </c>
      <c r="S74" s="102">
        <v>6</v>
      </c>
      <c r="T74" s="96">
        <v>6</v>
      </c>
      <c r="U74" s="108">
        <v>4</v>
      </c>
      <c r="V74" s="102">
        <v>24</v>
      </c>
      <c r="W74" s="96">
        <v>24</v>
      </c>
      <c r="X74" s="97">
        <v>19</v>
      </c>
      <c r="Y74" s="102">
        <v>6</v>
      </c>
      <c r="Z74" s="96">
        <v>6</v>
      </c>
      <c r="AA74" s="108">
        <v>6</v>
      </c>
      <c r="AB74" s="102">
        <v>6</v>
      </c>
      <c r="AC74" s="96">
        <v>6</v>
      </c>
      <c r="AD74" s="108">
        <v>6</v>
      </c>
      <c r="AE74" s="102">
        <v>6</v>
      </c>
      <c r="AF74" s="96">
        <v>6</v>
      </c>
      <c r="AG74" s="108">
        <v>6</v>
      </c>
      <c r="AH74" s="102">
        <v>6</v>
      </c>
      <c r="AI74" s="96">
        <v>6</v>
      </c>
      <c r="AJ74" s="108">
        <v>6</v>
      </c>
      <c r="AK74" s="102">
        <v>24</v>
      </c>
      <c r="AL74" s="96">
        <v>24</v>
      </c>
      <c r="AM74" s="97">
        <v>24</v>
      </c>
      <c r="AN74" s="102">
        <v>3</v>
      </c>
      <c r="AO74" s="96">
        <v>6</v>
      </c>
      <c r="AP74" s="108">
        <v>2</v>
      </c>
      <c r="AQ74" s="89"/>
      <c r="AR74" s="89"/>
      <c r="AS74" s="89"/>
      <c r="AT74" s="89"/>
      <c r="AU74" s="89"/>
      <c r="AV74" s="89"/>
    </row>
    <row r="75" spans="1:48" x14ac:dyDescent="0.2">
      <c r="A75" s="496" t="s">
        <v>113</v>
      </c>
      <c r="B75" s="497"/>
      <c r="C75" s="498"/>
      <c r="D75" s="96">
        <v>14</v>
      </c>
      <c r="E75" s="96">
        <v>72</v>
      </c>
      <c r="F75" s="108">
        <v>10</v>
      </c>
      <c r="G75" s="102">
        <v>64</v>
      </c>
      <c r="H75" s="115">
        <v>432</v>
      </c>
      <c r="I75" s="97">
        <v>60</v>
      </c>
      <c r="J75" s="102">
        <v>15</v>
      </c>
      <c r="K75" s="96">
        <v>108</v>
      </c>
      <c r="L75" s="108">
        <v>15</v>
      </c>
      <c r="M75" s="102">
        <v>14</v>
      </c>
      <c r="N75" s="96">
        <v>108</v>
      </c>
      <c r="O75" s="108">
        <v>14</v>
      </c>
      <c r="P75" s="102">
        <v>15</v>
      </c>
      <c r="Q75" s="96">
        <v>108</v>
      </c>
      <c r="R75" s="108">
        <v>5</v>
      </c>
      <c r="S75" s="102">
        <v>30</v>
      </c>
      <c r="T75" s="96">
        <v>108</v>
      </c>
      <c r="U75" s="108">
        <v>26</v>
      </c>
      <c r="V75" s="102">
        <v>74</v>
      </c>
      <c r="W75" s="96">
        <v>432</v>
      </c>
      <c r="X75" s="97">
        <v>60</v>
      </c>
      <c r="Y75" s="102">
        <v>92</v>
      </c>
      <c r="Z75" s="96">
        <v>108</v>
      </c>
      <c r="AA75" s="108">
        <v>92</v>
      </c>
      <c r="AB75" s="102">
        <v>79</v>
      </c>
      <c r="AC75" s="96">
        <v>108</v>
      </c>
      <c r="AD75" s="108">
        <v>79</v>
      </c>
      <c r="AE75" s="102">
        <v>97</v>
      </c>
      <c r="AF75" s="96">
        <v>108</v>
      </c>
      <c r="AG75" s="108">
        <v>97</v>
      </c>
      <c r="AH75" s="102">
        <v>57</v>
      </c>
      <c r="AI75" s="96">
        <v>108</v>
      </c>
      <c r="AJ75" s="108">
        <v>57</v>
      </c>
      <c r="AK75" s="102">
        <v>325</v>
      </c>
      <c r="AL75" s="96">
        <v>432</v>
      </c>
      <c r="AM75" s="97">
        <v>325</v>
      </c>
      <c r="AN75" s="102">
        <v>38</v>
      </c>
      <c r="AO75" s="96">
        <v>123</v>
      </c>
      <c r="AP75" s="108">
        <v>35</v>
      </c>
      <c r="AQ75" s="89"/>
      <c r="AR75" s="89"/>
      <c r="AS75" s="89"/>
      <c r="AT75" s="89"/>
      <c r="AU75" s="89"/>
      <c r="AV75" s="89"/>
    </row>
    <row r="76" spans="1:48" x14ac:dyDescent="0.2">
      <c r="A76" s="496" t="s">
        <v>114</v>
      </c>
      <c r="B76" s="497"/>
      <c r="C76" s="498"/>
      <c r="D76" s="96">
        <v>44</v>
      </c>
      <c r="E76" s="96">
        <v>64</v>
      </c>
      <c r="F76" s="108">
        <v>18</v>
      </c>
      <c r="G76" s="102">
        <v>272</v>
      </c>
      <c r="H76" s="115">
        <v>384</v>
      </c>
      <c r="I76" s="97">
        <v>158</v>
      </c>
      <c r="J76" s="102">
        <v>77</v>
      </c>
      <c r="K76" s="96">
        <v>96</v>
      </c>
      <c r="L76" s="108">
        <v>49</v>
      </c>
      <c r="M76" s="102">
        <v>74</v>
      </c>
      <c r="N76" s="96">
        <v>96</v>
      </c>
      <c r="O76" s="108">
        <v>44</v>
      </c>
      <c r="P76" s="102">
        <v>52</v>
      </c>
      <c r="Q76" s="96">
        <v>96</v>
      </c>
      <c r="R76" s="108">
        <v>22</v>
      </c>
      <c r="S76" s="102">
        <v>77</v>
      </c>
      <c r="T76" s="96">
        <v>99</v>
      </c>
      <c r="U76" s="108">
        <v>3</v>
      </c>
      <c r="V76" s="102">
        <v>280</v>
      </c>
      <c r="W76" s="96">
        <v>384</v>
      </c>
      <c r="X76" s="97">
        <v>118</v>
      </c>
      <c r="Y76" s="102">
        <v>87</v>
      </c>
      <c r="Z76" s="96">
        <v>99</v>
      </c>
      <c r="AA76" s="108">
        <v>74</v>
      </c>
      <c r="AB76" s="102">
        <v>93</v>
      </c>
      <c r="AC76" s="96">
        <v>99</v>
      </c>
      <c r="AD76" s="108">
        <v>91</v>
      </c>
      <c r="AE76" s="102">
        <v>97</v>
      </c>
      <c r="AF76" s="96">
        <v>99</v>
      </c>
      <c r="AG76" s="108">
        <v>96</v>
      </c>
      <c r="AH76" s="102">
        <v>59</v>
      </c>
      <c r="AI76" s="96">
        <v>99</v>
      </c>
      <c r="AJ76" s="108">
        <v>56</v>
      </c>
      <c r="AK76" s="102">
        <v>336</v>
      </c>
      <c r="AL76" s="96">
        <v>396</v>
      </c>
      <c r="AM76" s="97">
        <v>317</v>
      </c>
      <c r="AN76" s="102">
        <v>30</v>
      </c>
      <c r="AO76" s="96">
        <v>99</v>
      </c>
      <c r="AP76" s="108">
        <v>18</v>
      </c>
      <c r="AQ76" s="89"/>
      <c r="AR76" s="89"/>
      <c r="AS76" s="89"/>
      <c r="AT76" s="89"/>
      <c r="AU76" s="89"/>
      <c r="AV76" s="89"/>
    </row>
  </sheetData>
  <mergeCells count="79">
    <mergeCell ref="A3:C3"/>
    <mergeCell ref="A4:C4"/>
    <mergeCell ref="A7:C7"/>
    <mergeCell ref="A10:C10"/>
    <mergeCell ref="AB1:AD1"/>
    <mergeCell ref="V1:X1"/>
    <mergeCell ref="D1:F1"/>
    <mergeCell ref="J1:L1"/>
    <mergeCell ref="M1:O1"/>
    <mergeCell ref="P1:R1"/>
    <mergeCell ref="S1:U1"/>
    <mergeCell ref="Y1:AA1"/>
    <mergeCell ref="G1:I1"/>
    <mergeCell ref="D23:F23"/>
    <mergeCell ref="G23:I23"/>
    <mergeCell ref="AQ1:AS1"/>
    <mergeCell ref="AT1:AV1"/>
    <mergeCell ref="AE1:AG1"/>
    <mergeCell ref="AH1:AJ1"/>
    <mergeCell ref="AK1:AM1"/>
    <mergeCell ref="AN1:AP1"/>
    <mergeCell ref="AN23:AP23"/>
    <mergeCell ref="AQ23:AS23"/>
    <mergeCell ref="J23:L23"/>
    <mergeCell ref="M23:O23"/>
    <mergeCell ref="P23:R23"/>
    <mergeCell ref="S23:U23"/>
    <mergeCell ref="V23:X23"/>
    <mergeCell ref="Y23:AA23"/>
    <mergeCell ref="A25:C25"/>
    <mergeCell ref="A13:C13"/>
    <mergeCell ref="A16:C16"/>
    <mergeCell ref="A20:C20"/>
    <mergeCell ref="A21:C21"/>
    <mergeCell ref="A42:C42"/>
    <mergeCell ref="A26:C26"/>
    <mergeCell ref="A29:C29"/>
    <mergeCell ref="A32:C32"/>
    <mergeCell ref="A35:C35"/>
    <mergeCell ref="A38:C38"/>
    <mergeCell ref="AH23:AJ23"/>
    <mergeCell ref="AK23:AM23"/>
    <mergeCell ref="A75:C75"/>
    <mergeCell ref="A76:C76"/>
    <mergeCell ref="A43:C43"/>
    <mergeCell ref="A48:C48"/>
    <mergeCell ref="A49:C49"/>
    <mergeCell ref="A54:C54"/>
    <mergeCell ref="A59:C59"/>
    <mergeCell ref="A64:C64"/>
    <mergeCell ref="B51:C51"/>
    <mergeCell ref="B53:C53"/>
    <mergeCell ref="B56:C56"/>
    <mergeCell ref="B63:C63"/>
    <mergeCell ref="B58:C58"/>
    <mergeCell ref="B68:C68"/>
    <mergeCell ref="AN46:AP46"/>
    <mergeCell ref="B61:C61"/>
    <mergeCell ref="AQ46:AS46"/>
    <mergeCell ref="AT46:AV46"/>
    <mergeCell ref="AT23:AV23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B23:AD23"/>
    <mergeCell ref="AE23:AG23"/>
    <mergeCell ref="B73:C73"/>
    <mergeCell ref="A69:C69"/>
    <mergeCell ref="AE46:AG46"/>
    <mergeCell ref="AH46:AJ46"/>
    <mergeCell ref="AK46:AM46"/>
    <mergeCell ref="B66:C66"/>
    <mergeCell ref="B71:C71"/>
  </mergeCells>
  <phoneticPr fontId="9" type="noConversion"/>
  <conditionalFormatting sqref="G5:I6">
    <cfRule type="cellIs" dxfId="124" priority="118" operator="lessThan">
      <formula>12</formula>
    </cfRule>
  </conditionalFormatting>
  <conditionalFormatting sqref="G8:I9">
    <cfRule type="cellIs" dxfId="123" priority="117" operator="lessThan">
      <formula>12</formula>
    </cfRule>
  </conditionalFormatting>
  <conditionalFormatting sqref="G11:I12">
    <cfRule type="cellIs" dxfId="122" priority="116" operator="lessThan">
      <formula>12</formula>
    </cfRule>
  </conditionalFormatting>
  <conditionalFormatting sqref="G14:I15">
    <cfRule type="cellIs" dxfId="121" priority="115" operator="lessThan">
      <formula>12</formula>
    </cfRule>
  </conditionalFormatting>
  <conditionalFormatting sqref="G17:I19">
    <cfRule type="cellIs" dxfId="120" priority="114" operator="lessThan">
      <formula>12</formula>
    </cfRule>
  </conditionalFormatting>
  <conditionalFormatting sqref="G27:I28">
    <cfRule type="cellIs" dxfId="119" priority="103" operator="lessThan">
      <formula>12</formula>
    </cfRule>
  </conditionalFormatting>
  <conditionalFormatting sqref="G30:I31">
    <cfRule type="cellIs" dxfId="118" priority="102" operator="lessThan">
      <formula>12</formula>
    </cfRule>
  </conditionalFormatting>
  <conditionalFormatting sqref="G33:I34">
    <cfRule type="cellIs" dxfId="117" priority="101" operator="lessThan">
      <formula>12</formula>
    </cfRule>
  </conditionalFormatting>
  <conditionalFormatting sqref="G36:I37">
    <cfRule type="cellIs" dxfId="116" priority="100" operator="lessThan">
      <formula>12</formula>
    </cfRule>
  </conditionalFormatting>
  <conditionalFormatting sqref="G39:I41">
    <cfRule type="cellIs" dxfId="115" priority="99" operator="lessThan">
      <formula>12</formula>
    </cfRule>
  </conditionalFormatting>
  <conditionalFormatting sqref="G50:I50">
    <cfRule type="cellIs" dxfId="114" priority="31" operator="lessThan">
      <formula>36</formula>
    </cfRule>
  </conditionalFormatting>
  <conditionalFormatting sqref="G51:I51">
    <cfRule type="cellIs" dxfId="113" priority="30" operator="lessThan">
      <formula>12</formula>
    </cfRule>
  </conditionalFormatting>
  <conditionalFormatting sqref="G52:I52">
    <cfRule type="cellIs" dxfId="112" priority="32" operator="lessThan">
      <formula>48</formula>
    </cfRule>
  </conditionalFormatting>
  <conditionalFormatting sqref="G53:I53">
    <cfRule type="cellIs" dxfId="111" priority="33" operator="lessThan">
      <formula>12</formula>
    </cfRule>
  </conditionalFormatting>
  <conditionalFormatting sqref="G55:I55">
    <cfRule type="cellIs" dxfId="110" priority="27" operator="lessThan">
      <formula>48</formula>
    </cfRule>
  </conditionalFormatting>
  <conditionalFormatting sqref="G56:I58">
    <cfRule type="cellIs" dxfId="109" priority="28" operator="lessThan">
      <formula>12</formula>
    </cfRule>
  </conditionalFormatting>
  <conditionalFormatting sqref="G60:I61">
    <cfRule type="cellIs" dxfId="108" priority="26" operator="lessThan">
      <formula>12</formula>
    </cfRule>
  </conditionalFormatting>
  <conditionalFormatting sqref="G62:I62">
    <cfRule type="cellIs" dxfId="107" priority="24" operator="lessThan">
      <formula>36</formula>
    </cfRule>
  </conditionalFormatting>
  <conditionalFormatting sqref="G63:I63">
    <cfRule type="cellIs" dxfId="106" priority="25" operator="lessThan">
      <formula>12</formula>
    </cfRule>
  </conditionalFormatting>
  <conditionalFormatting sqref="G65:I68">
    <cfRule type="cellIs" dxfId="105" priority="23" operator="lessThan">
      <formula>12</formula>
    </cfRule>
  </conditionalFormatting>
  <conditionalFormatting sqref="G70:I73">
    <cfRule type="cellIs" dxfId="104" priority="22" operator="lessThan">
      <formula>12</formula>
    </cfRule>
  </conditionalFormatting>
  <conditionalFormatting sqref="G74:I74">
    <cfRule type="cellIs" dxfId="103" priority="21" operator="lessThan">
      <formula>24</formula>
    </cfRule>
  </conditionalFormatting>
  <conditionalFormatting sqref="J5:U6">
    <cfRule type="cellIs" dxfId="102" priority="128" operator="lessThan">
      <formula>3</formula>
    </cfRule>
  </conditionalFormatting>
  <conditionalFormatting sqref="J8:U9">
    <cfRule type="cellIs" dxfId="101" priority="127" operator="lessThan">
      <formula>3</formula>
    </cfRule>
  </conditionalFormatting>
  <conditionalFormatting sqref="J11:U12">
    <cfRule type="cellIs" dxfId="100" priority="126" operator="lessThan">
      <formula>3</formula>
    </cfRule>
  </conditionalFormatting>
  <conditionalFormatting sqref="J14:U15">
    <cfRule type="cellIs" dxfId="99" priority="125" operator="lessThan">
      <formula>3</formula>
    </cfRule>
  </conditionalFormatting>
  <conditionalFormatting sqref="J17:U19">
    <cfRule type="cellIs" dxfId="98" priority="124" operator="lessThan">
      <formula>3</formula>
    </cfRule>
  </conditionalFormatting>
  <conditionalFormatting sqref="J27:U28">
    <cfRule type="cellIs" dxfId="97" priority="123" operator="lessThan">
      <formula>3</formula>
    </cfRule>
  </conditionalFormatting>
  <conditionalFormatting sqref="J30:U31">
    <cfRule type="cellIs" dxfId="96" priority="122" operator="lessThan">
      <formula>3</formula>
    </cfRule>
  </conditionalFormatting>
  <conditionalFormatting sqref="J33:U34">
    <cfRule type="cellIs" dxfId="95" priority="121" operator="lessThan">
      <formula>3</formula>
    </cfRule>
  </conditionalFormatting>
  <conditionalFormatting sqref="J36:U37">
    <cfRule type="cellIs" dxfId="94" priority="120" operator="lessThan">
      <formula>3</formula>
    </cfRule>
  </conditionalFormatting>
  <conditionalFormatting sqref="J39:U41">
    <cfRule type="cellIs" dxfId="93" priority="119" operator="lessThan">
      <formula>3</formula>
    </cfRule>
  </conditionalFormatting>
  <conditionalFormatting sqref="J50:U50">
    <cfRule type="cellIs" dxfId="92" priority="38" operator="lessThan">
      <formula>9</formula>
    </cfRule>
  </conditionalFormatting>
  <conditionalFormatting sqref="J51:U51 J53:U53">
    <cfRule type="cellIs" dxfId="91" priority="40" operator="lessThan">
      <formula>3</formula>
    </cfRule>
  </conditionalFormatting>
  <conditionalFormatting sqref="J52:U52">
    <cfRule type="cellIs" dxfId="90" priority="39" operator="lessThan">
      <formula>12</formula>
    </cfRule>
  </conditionalFormatting>
  <conditionalFormatting sqref="J55:U55">
    <cfRule type="cellIs" dxfId="89" priority="44" operator="lessThan">
      <formula>12</formula>
    </cfRule>
  </conditionalFormatting>
  <conditionalFormatting sqref="J56:U58">
    <cfRule type="cellIs" dxfId="88" priority="45" operator="lessThan">
      <formula>3</formula>
    </cfRule>
  </conditionalFormatting>
  <conditionalFormatting sqref="J60:U61 J63:U63">
    <cfRule type="cellIs" dxfId="87" priority="50" operator="lessThan">
      <formula>3</formula>
    </cfRule>
  </conditionalFormatting>
  <conditionalFormatting sqref="J62:U62">
    <cfRule type="cellIs" dxfId="86" priority="49" operator="lessThan">
      <formula>9</formula>
    </cfRule>
  </conditionalFormatting>
  <conditionalFormatting sqref="J65:U68">
    <cfRule type="cellIs" dxfId="85" priority="53" operator="lessThan">
      <formula>3</formula>
    </cfRule>
  </conditionalFormatting>
  <conditionalFormatting sqref="J70:U73">
    <cfRule type="cellIs" dxfId="84" priority="56" operator="lessThan">
      <formula>3</formula>
    </cfRule>
  </conditionalFormatting>
  <conditionalFormatting sqref="J74:U74">
    <cfRule type="cellIs" dxfId="83" priority="55" operator="lessThan">
      <formula>6</formula>
    </cfRule>
  </conditionalFormatting>
  <conditionalFormatting sqref="V5:X6">
    <cfRule type="cellIs" dxfId="82" priority="113" operator="lessThan">
      <formula>12</formula>
    </cfRule>
  </conditionalFormatting>
  <conditionalFormatting sqref="V8:X9">
    <cfRule type="cellIs" dxfId="81" priority="112" operator="lessThan">
      <formula>12</formula>
    </cfRule>
  </conditionalFormatting>
  <conditionalFormatting sqref="V11:X12">
    <cfRule type="cellIs" dxfId="80" priority="111" operator="lessThan">
      <formula>12</formula>
    </cfRule>
  </conditionalFormatting>
  <conditionalFormatting sqref="V14:X15">
    <cfRule type="cellIs" dxfId="79" priority="110" operator="lessThan">
      <formula>12</formula>
    </cfRule>
  </conditionalFormatting>
  <conditionalFormatting sqref="V17:X19">
    <cfRule type="cellIs" dxfId="78" priority="109" operator="lessThan">
      <formula>12</formula>
    </cfRule>
  </conditionalFormatting>
  <conditionalFormatting sqref="V27:X28">
    <cfRule type="cellIs" dxfId="77" priority="98" operator="lessThan">
      <formula>12</formula>
    </cfRule>
  </conditionalFormatting>
  <conditionalFormatting sqref="V30:X31">
    <cfRule type="cellIs" dxfId="76" priority="97" operator="lessThan">
      <formula>12</formula>
    </cfRule>
  </conditionalFormatting>
  <conditionalFormatting sqref="V33:X34">
    <cfRule type="cellIs" dxfId="75" priority="96" operator="lessThan">
      <formula>12</formula>
    </cfRule>
  </conditionalFormatting>
  <conditionalFormatting sqref="V36:X37">
    <cfRule type="cellIs" dxfId="74" priority="95" operator="lessThan">
      <formula>12</formula>
    </cfRule>
  </conditionalFormatting>
  <conditionalFormatting sqref="V39:X41">
    <cfRule type="cellIs" dxfId="73" priority="94" operator="lessThan">
      <formula>12</formula>
    </cfRule>
  </conditionalFormatting>
  <conditionalFormatting sqref="V50:X50">
    <cfRule type="cellIs" dxfId="72" priority="36" operator="lessThan">
      <formula>36</formula>
    </cfRule>
  </conditionalFormatting>
  <conditionalFormatting sqref="V51:X51">
    <cfRule type="cellIs" dxfId="71" priority="35" operator="lessThan">
      <formula>12</formula>
    </cfRule>
  </conditionalFormatting>
  <conditionalFormatting sqref="V52:X52">
    <cfRule type="cellIs" dxfId="70" priority="37" operator="lessThan">
      <formula>48</formula>
    </cfRule>
  </conditionalFormatting>
  <conditionalFormatting sqref="V53:X53">
    <cfRule type="cellIs" dxfId="69" priority="41" operator="lessThan">
      <formula>12</formula>
    </cfRule>
  </conditionalFormatting>
  <conditionalFormatting sqref="V55:X55">
    <cfRule type="cellIs" dxfId="68" priority="43" operator="lessThan">
      <formula>48</formula>
    </cfRule>
  </conditionalFormatting>
  <conditionalFormatting sqref="V56:X58">
    <cfRule type="cellIs" dxfId="67" priority="46" operator="lessThan">
      <formula>12</formula>
    </cfRule>
  </conditionalFormatting>
  <conditionalFormatting sqref="V60:X61">
    <cfRule type="cellIs" dxfId="66" priority="52" operator="lessThan">
      <formula>12</formula>
    </cfRule>
  </conditionalFormatting>
  <conditionalFormatting sqref="V62:X62">
    <cfRule type="cellIs" dxfId="65" priority="48" operator="lessThan">
      <formula>36</formula>
    </cfRule>
  </conditionalFormatting>
  <conditionalFormatting sqref="V63:X63">
    <cfRule type="cellIs" dxfId="64" priority="51" operator="lessThan">
      <formula>12</formula>
    </cfRule>
  </conditionalFormatting>
  <conditionalFormatting sqref="V65:X68">
    <cfRule type="cellIs" dxfId="63" priority="54" operator="lessThan">
      <formula>12</formula>
    </cfRule>
  </conditionalFormatting>
  <conditionalFormatting sqref="V70:X73">
    <cfRule type="cellIs" dxfId="62" priority="58" operator="lessThan">
      <formula>12</formula>
    </cfRule>
  </conditionalFormatting>
  <conditionalFormatting sqref="V74:X74">
    <cfRule type="cellIs" dxfId="61" priority="57" operator="lessThan">
      <formula>24</formula>
    </cfRule>
  </conditionalFormatting>
  <conditionalFormatting sqref="Y5:AJ6">
    <cfRule type="cellIs" dxfId="60" priority="133" operator="lessThan">
      <formula>3</formula>
    </cfRule>
  </conditionalFormatting>
  <conditionalFormatting sqref="Y8:AJ9">
    <cfRule type="cellIs" dxfId="59" priority="132" operator="lessThan">
      <formula>3</formula>
    </cfRule>
  </conditionalFormatting>
  <conditionalFormatting sqref="Y11:AJ12">
    <cfRule type="cellIs" dxfId="58" priority="131" operator="lessThan">
      <formula>3</formula>
    </cfRule>
  </conditionalFormatting>
  <conditionalFormatting sqref="Y14:AJ15">
    <cfRule type="cellIs" dxfId="57" priority="130" operator="lessThan">
      <formula>3</formula>
    </cfRule>
  </conditionalFormatting>
  <conditionalFormatting sqref="Y17:AJ19">
    <cfRule type="cellIs" dxfId="56" priority="129" operator="lessThan">
      <formula>3</formula>
    </cfRule>
  </conditionalFormatting>
  <conditionalFormatting sqref="Y27:AJ28">
    <cfRule type="cellIs" dxfId="55" priority="134" operator="lessThan">
      <formula>3</formula>
    </cfRule>
  </conditionalFormatting>
  <conditionalFormatting sqref="Y30:AJ31">
    <cfRule type="cellIs" dxfId="54" priority="135" operator="lessThan">
      <formula>3</formula>
    </cfRule>
  </conditionalFormatting>
  <conditionalFormatting sqref="Y33:AJ34">
    <cfRule type="cellIs" dxfId="53" priority="136" operator="lessThan">
      <formula>3</formula>
    </cfRule>
  </conditionalFormatting>
  <conditionalFormatting sqref="Y36:AJ37">
    <cfRule type="cellIs" dxfId="52" priority="137" operator="lessThan">
      <formula>3</formula>
    </cfRule>
  </conditionalFormatting>
  <conditionalFormatting sqref="Y39:AJ41">
    <cfRule type="cellIs" dxfId="51" priority="138" operator="lessThan">
      <formula>3</formula>
    </cfRule>
  </conditionalFormatting>
  <conditionalFormatting sqref="Y50:AJ50">
    <cfRule type="cellIs" dxfId="50" priority="63" operator="lessThan">
      <formula>9</formula>
    </cfRule>
  </conditionalFormatting>
  <conditionalFormatting sqref="Y51:AJ51 Y53:AJ53">
    <cfRule type="cellIs" dxfId="49" priority="65" operator="lessThan">
      <formula>3</formula>
    </cfRule>
  </conditionalFormatting>
  <conditionalFormatting sqref="Y52:AJ52">
    <cfRule type="cellIs" dxfId="48" priority="64" operator="lessThan">
      <formula>12</formula>
    </cfRule>
  </conditionalFormatting>
  <conditionalFormatting sqref="Y55:AJ55">
    <cfRule type="cellIs" dxfId="47" priority="66" operator="lessThan">
      <formula>12</formula>
    </cfRule>
  </conditionalFormatting>
  <conditionalFormatting sqref="Y56:AJ58">
    <cfRule type="cellIs" dxfId="46" priority="67" operator="lessThan">
      <formula>3</formula>
    </cfRule>
  </conditionalFormatting>
  <conditionalFormatting sqref="Y60:AJ61 Y63:AJ63">
    <cfRule type="cellIs" dxfId="45" priority="69" operator="lessThan">
      <formula>3</formula>
    </cfRule>
  </conditionalFormatting>
  <conditionalFormatting sqref="Y62:AJ62">
    <cfRule type="cellIs" dxfId="44" priority="68" operator="lessThan">
      <formula>9</formula>
    </cfRule>
  </conditionalFormatting>
  <conditionalFormatting sqref="Y65:AJ68">
    <cfRule type="cellIs" dxfId="43" priority="70" operator="lessThan">
      <formula>3</formula>
    </cfRule>
  </conditionalFormatting>
  <conditionalFormatting sqref="Y70:AJ73">
    <cfRule type="cellIs" dxfId="42" priority="72" operator="lessThan">
      <formula>3</formula>
    </cfRule>
  </conditionalFormatting>
  <conditionalFormatting sqref="Y74:AJ74">
    <cfRule type="cellIs" dxfId="41" priority="71" operator="lessThan">
      <formula>6</formula>
    </cfRule>
  </conditionalFormatting>
  <conditionalFormatting sqref="AK5:AM6">
    <cfRule type="cellIs" dxfId="40" priority="108" operator="lessThan">
      <formula>12</formula>
    </cfRule>
  </conditionalFormatting>
  <conditionalFormatting sqref="AK8:AM9">
    <cfRule type="cellIs" dxfId="39" priority="107" operator="lessThan">
      <formula>12</formula>
    </cfRule>
  </conditionalFormatting>
  <conditionalFormatting sqref="AK11:AM12">
    <cfRule type="cellIs" dxfId="38" priority="106" operator="lessThan">
      <formula>12</formula>
    </cfRule>
  </conditionalFormatting>
  <conditionalFormatting sqref="AK14:AM15">
    <cfRule type="cellIs" dxfId="37" priority="105" operator="lessThan">
      <formula>12</formula>
    </cfRule>
  </conditionalFormatting>
  <conditionalFormatting sqref="AK17:AM19">
    <cfRule type="cellIs" dxfId="36" priority="104" operator="lessThan">
      <formula>12</formula>
    </cfRule>
  </conditionalFormatting>
  <conditionalFormatting sqref="AK27:AM28">
    <cfRule type="cellIs" dxfId="35" priority="93" operator="lessThan">
      <formula>12</formula>
    </cfRule>
  </conditionalFormatting>
  <conditionalFormatting sqref="AK30:AM31">
    <cfRule type="cellIs" dxfId="34" priority="92" operator="lessThan">
      <formula>12</formula>
    </cfRule>
  </conditionalFormatting>
  <conditionalFormatting sqref="AK33:AM34">
    <cfRule type="cellIs" dxfId="33" priority="91" operator="lessThan">
      <formula>12</formula>
    </cfRule>
  </conditionalFormatting>
  <conditionalFormatting sqref="AK36:AM37">
    <cfRule type="cellIs" dxfId="32" priority="90" operator="lessThan">
      <formula>12</formula>
    </cfRule>
  </conditionalFormatting>
  <conditionalFormatting sqref="AK39:AM41">
    <cfRule type="cellIs" dxfId="31" priority="89" operator="lessThan">
      <formula>12</formula>
    </cfRule>
  </conditionalFormatting>
  <conditionalFormatting sqref="AK50:AM50 AK62:AM62">
    <cfRule type="cellIs" dxfId="30" priority="61" operator="lessThan">
      <formula>36</formula>
    </cfRule>
  </conditionalFormatting>
  <conditionalFormatting sqref="AK51:AM51">
    <cfRule type="cellIs" dxfId="29" priority="59" operator="lessThan">
      <formula>12</formula>
    </cfRule>
  </conditionalFormatting>
  <conditionalFormatting sqref="AK52:AM52">
    <cfRule type="cellIs" dxfId="28" priority="62" operator="lessThan">
      <formula>48</formula>
    </cfRule>
  </conditionalFormatting>
  <conditionalFormatting sqref="AK53:AM53">
    <cfRule type="cellIs" dxfId="27" priority="87" operator="lessThan">
      <formula>12</formula>
    </cfRule>
  </conditionalFormatting>
  <conditionalFormatting sqref="AK55:AM55">
    <cfRule type="cellIs" dxfId="26" priority="60" operator="lessThan">
      <formula>48</formula>
    </cfRule>
  </conditionalFormatting>
  <conditionalFormatting sqref="AK56:AM58">
    <cfRule type="cellIs" dxfId="25" priority="85" operator="lessThan">
      <formula>12</formula>
    </cfRule>
  </conditionalFormatting>
  <conditionalFormatting sqref="AK60:AM61">
    <cfRule type="cellIs" dxfId="24" priority="84" operator="lessThan">
      <formula>12</formula>
    </cfRule>
  </conditionalFormatting>
  <conditionalFormatting sqref="AK63:AM63">
    <cfRule type="cellIs" dxfId="23" priority="83" operator="lessThan">
      <formula>12</formula>
    </cfRule>
  </conditionalFormatting>
  <conditionalFormatting sqref="AK65:AM68">
    <cfRule type="cellIs" dxfId="22" priority="82" operator="lessThan">
      <formula>12</formula>
    </cfRule>
  </conditionalFormatting>
  <conditionalFormatting sqref="AK70:AM73">
    <cfRule type="cellIs" dxfId="21" priority="81" operator="lessThan">
      <formula>12</formula>
    </cfRule>
  </conditionalFormatting>
  <conditionalFormatting sqref="AK74:AM74">
    <cfRule type="cellIs" dxfId="20" priority="73" operator="lessThan">
      <formula>24</formula>
    </cfRule>
  </conditionalFormatting>
  <conditionalFormatting sqref="AN5:AP6">
    <cfRule type="cellIs" dxfId="19" priority="20" operator="lessThan">
      <formula>3</formula>
    </cfRule>
  </conditionalFormatting>
  <conditionalFormatting sqref="AN8:AP9">
    <cfRule type="cellIs" dxfId="18" priority="19" operator="lessThan">
      <formula>3</formula>
    </cfRule>
  </conditionalFormatting>
  <conditionalFormatting sqref="AN11:AP12">
    <cfRule type="cellIs" dxfId="17" priority="18" operator="lessThan">
      <formula>3</formula>
    </cfRule>
  </conditionalFormatting>
  <conditionalFormatting sqref="AN14:AP15">
    <cfRule type="cellIs" dxfId="16" priority="17" operator="lessThan">
      <formula>3</formula>
    </cfRule>
  </conditionalFormatting>
  <conditionalFormatting sqref="AN17:AP19">
    <cfRule type="cellIs" dxfId="15" priority="16" operator="lessThan">
      <formula>3</formula>
    </cfRule>
  </conditionalFormatting>
  <conditionalFormatting sqref="AN27:AP28">
    <cfRule type="cellIs" dxfId="14" priority="11" operator="lessThan">
      <formula>3</formula>
    </cfRule>
  </conditionalFormatting>
  <conditionalFormatting sqref="AN30:AP31">
    <cfRule type="cellIs" dxfId="13" priority="12" operator="lessThan">
      <formula>3</formula>
    </cfRule>
  </conditionalFormatting>
  <conditionalFormatting sqref="AN33:AP34">
    <cfRule type="cellIs" dxfId="12" priority="13" operator="lessThan">
      <formula>3</formula>
    </cfRule>
  </conditionalFormatting>
  <conditionalFormatting sqref="AN36:AP37">
    <cfRule type="cellIs" dxfId="11" priority="14" operator="lessThan">
      <formula>3</formula>
    </cfRule>
  </conditionalFormatting>
  <conditionalFormatting sqref="AN39:AP41">
    <cfRule type="cellIs" dxfId="10" priority="15" operator="lessThan">
      <formula>3</formula>
    </cfRule>
  </conditionalFormatting>
  <conditionalFormatting sqref="AN50:AP50">
    <cfRule type="cellIs" dxfId="9" priority="1" operator="lessThan">
      <formula>9</formula>
    </cfRule>
  </conditionalFormatting>
  <conditionalFormatting sqref="AN51:AP51 AN53:AP53">
    <cfRule type="cellIs" dxfId="8" priority="3" operator="lessThan">
      <formula>3</formula>
    </cfRule>
  </conditionalFormatting>
  <conditionalFormatting sqref="AN52:AP52">
    <cfRule type="cellIs" dxfId="7" priority="2" operator="lessThan">
      <formula>12</formula>
    </cfRule>
  </conditionalFormatting>
  <conditionalFormatting sqref="AN55:AP55">
    <cfRule type="cellIs" dxfId="6" priority="4" operator="lessThan">
      <formula>12</formula>
    </cfRule>
  </conditionalFormatting>
  <conditionalFormatting sqref="AN56:AP58">
    <cfRule type="cellIs" dxfId="5" priority="5" operator="lessThan">
      <formula>3</formula>
    </cfRule>
  </conditionalFormatting>
  <conditionalFormatting sqref="AN60:AP61 AN63:AP63">
    <cfRule type="cellIs" dxfId="4" priority="7" operator="lessThan">
      <formula>3</formula>
    </cfRule>
  </conditionalFormatting>
  <conditionalFormatting sqref="AN62:AP62">
    <cfRule type="cellIs" dxfId="3" priority="6" operator="lessThan">
      <formula>9</formula>
    </cfRule>
  </conditionalFormatting>
  <conditionalFormatting sqref="AN65:AP68">
    <cfRule type="cellIs" dxfId="2" priority="8" operator="lessThan">
      <formula>3</formula>
    </cfRule>
  </conditionalFormatting>
  <conditionalFormatting sqref="AN70:AP73">
    <cfRule type="cellIs" dxfId="1" priority="10" operator="lessThan">
      <formula>3</formula>
    </cfRule>
  </conditionalFormatting>
  <conditionalFormatting sqref="AN74:AP74">
    <cfRule type="cellIs" dxfId="0" priority="9" operator="lessThan">
      <formula>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30F6-D2F7-1942-9F0D-2D624A586780}">
  <dimension ref="A1:G181"/>
  <sheetViews>
    <sheetView tabSelected="1" workbookViewId="0">
      <selection activeCell="R36" sqref="R36"/>
    </sheetView>
  </sheetViews>
  <sheetFormatPr baseColWidth="10" defaultRowHeight="15" x14ac:dyDescent="0.2"/>
  <cols>
    <col min="1" max="1" width="9.83203125" bestFit="1" customWidth="1"/>
    <col min="2" max="2" width="9.5" bestFit="1" customWidth="1"/>
    <col min="3" max="3" width="9.83203125" bestFit="1" customWidth="1"/>
  </cols>
  <sheetData>
    <row r="1" spans="1:7" ht="16" x14ac:dyDescent="0.2">
      <c r="A1" s="508" t="s">
        <v>303</v>
      </c>
      <c r="B1" s="508" t="s">
        <v>304</v>
      </c>
      <c r="C1" s="508" t="s">
        <v>305</v>
      </c>
      <c r="D1" s="508" t="s">
        <v>306</v>
      </c>
      <c r="E1" s="508" t="s">
        <v>307</v>
      </c>
      <c r="F1" s="508" t="s">
        <v>308</v>
      </c>
      <c r="G1" s="508" t="s">
        <v>309</v>
      </c>
    </row>
    <row r="2" spans="1:7" x14ac:dyDescent="0.2">
      <c r="A2" t="s">
        <v>71</v>
      </c>
      <c r="B2" t="s">
        <v>310</v>
      </c>
      <c r="C2" t="s">
        <v>311</v>
      </c>
      <c r="D2">
        <v>2024</v>
      </c>
      <c r="E2" t="s">
        <v>312</v>
      </c>
      <c r="F2" t="s">
        <v>313</v>
      </c>
      <c r="G2">
        <v>3</v>
      </c>
    </row>
    <row r="3" spans="1:7" x14ac:dyDescent="0.2">
      <c r="A3" t="s">
        <v>71</v>
      </c>
      <c r="B3" t="s">
        <v>310</v>
      </c>
      <c r="C3" t="s">
        <v>311</v>
      </c>
      <c r="D3">
        <v>2024</v>
      </c>
      <c r="E3" t="s">
        <v>312</v>
      </c>
      <c r="F3" t="s">
        <v>314</v>
      </c>
      <c r="G3">
        <v>3</v>
      </c>
    </row>
    <row r="4" spans="1:7" x14ac:dyDescent="0.2">
      <c r="A4" t="s">
        <v>71</v>
      </c>
      <c r="B4" t="s">
        <v>310</v>
      </c>
      <c r="C4" t="s">
        <v>311</v>
      </c>
      <c r="D4">
        <v>2024</v>
      </c>
      <c r="E4" t="s">
        <v>315</v>
      </c>
      <c r="F4" t="s">
        <v>313</v>
      </c>
      <c r="G4">
        <v>3</v>
      </c>
    </row>
    <row r="5" spans="1:7" x14ac:dyDescent="0.2">
      <c r="A5" t="s">
        <v>71</v>
      </c>
      <c r="B5" t="s">
        <v>310</v>
      </c>
      <c r="C5" t="s">
        <v>311</v>
      </c>
      <c r="D5">
        <v>2024</v>
      </c>
      <c r="E5" t="s">
        <v>315</v>
      </c>
      <c r="F5" t="s">
        <v>314</v>
      </c>
      <c r="G5">
        <v>3</v>
      </c>
    </row>
    <row r="6" spans="1:7" x14ac:dyDescent="0.2">
      <c r="A6" t="s">
        <v>71</v>
      </c>
      <c r="B6" t="s">
        <v>310</v>
      </c>
      <c r="C6" t="s">
        <v>311</v>
      </c>
      <c r="D6">
        <v>2025</v>
      </c>
      <c r="E6" t="s">
        <v>316</v>
      </c>
      <c r="F6" t="s">
        <v>313</v>
      </c>
      <c r="G6">
        <v>2</v>
      </c>
    </row>
    <row r="7" spans="1:7" x14ac:dyDescent="0.2">
      <c r="A7" t="s">
        <v>71</v>
      </c>
      <c r="B7" t="s">
        <v>310</v>
      </c>
      <c r="C7" t="s">
        <v>311</v>
      </c>
      <c r="D7">
        <v>2025</v>
      </c>
      <c r="E7" t="s">
        <v>316</v>
      </c>
      <c r="F7" t="s">
        <v>314</v>
      </c>
      <c r="G7">
        <v>3</v>
      </c>
    </row>
    <row r="8" spans="1:7" x14ac:dyDescent="0.2">
      <c r="A8" t="s">
        <v>71</v>
      </c>
      <c r="B8" t="s">
        <v>310</v>
      </c>
      <c r="C8" t="s">
        <v>317</v>
      </c>
      <c r="D8">
        <v>2024</v>
      </c>
      <c r="E8" t="s">
        <v>312</v>
      </c>
      <c r="F8" t="s">
        <v>313</v>
      </c>
      <c r="G8">
        <v>3</v>
      </c>
    </row>
    <row r="9" spans="1:7" x14ac:dyDescent="0.2">
      <c r="A9" t="s">
        <v>71</v>
      </c>
      <c r="B9" t="s">
        <v>310</v>
      </c>
      <c r="C9" t="s">
        <v>317</v>
      </c>
      <c r="D9">
        <v>2024</v>
      </c>
      <c r="E9" t="s">
        <v>312</v>
      </c>
      <c r="F9" t="s">
        <v>314</v>
      </c>
      <c r="G9">
        <v>3</v>
      </c>
    </row>
    <row r="10" spans="1:7" x14ac:dyDescent="0.2">
      <c r="A10" t="s">
        <v>71</v>
      </c>
      <c r="B10" t="s">
        <v>310</v>
      </c>
      <c r="C10" t="s">
        <v>317</v>
      </c>
      <c r="D10">
        <v>2024</v>
      </c>
      <c r="E10" t="s">
        <v>315</v>
      </c>
      <c r="F10" t="s">
        <v>313</v>
      </c>
      <c r="G10">
        <v>3</v>
      </c>
    </row>
    <row r="11" spans="1:7" x14ac:dyDescent="0.2">
      <c r="A11" t="s">
        <v>71</v>
      </c>
      <c r="B11" t="s">
        <v>310</v>
      </c>
      <c r="C11" t="s">
        <v>317</v>
      </c>
      <c r="D11">
        <v>2024</v>
      </c>
      <c r="E11" t="s">
        <v>315</v>
      </c>
      <c r="F11" t="s">
        <v>314</v>
      </c>
      <c r="G11">
        <v>3</v>
      </c>
    </row>
    <row r="12" spans="1:7" x14ac:dyDescent="0.2">
      <c r="A12" t="s">
        <v>71</v>
      </c>
      <c r="B12" t="s">
        <v>310</v>
      </c>
      <c r="C12" t="s">
        <v>317</v>
      </c>
      <c r="D12">
        <v>2025</v>
      </c>
      <c r="E12" t="s">
        <v>316</v>
      </c>
      <c r="F12" t="s">
        <v>313</v>
      </c>
      <c r="G12">
        <v>2</v>
      </c>
    </row>
    <row r="13" spans="1:7" x14ac:dyDescent="0.2">
      <c r="A13" t="s">
        <v>71</v>
      </c>
      <c r="B13" t="s">
        <v>310</v>
      </c>
      <c r="C13" t="s">
        <v>317</v>
      </c>
      <c r="D13">
        <v>2025</v>
      </c>
      <c r="E13" t="s">
        <v>316</v>
      </c>
      <c r="F13" t="s">
        <v>314</v>
      </c>
      <c r="G13">
        <v>3</v>
      </c>
    </row>
    <row r="14" spans="1:7" x14ac:dyDescent="0.2">
      <c r="A14" t="s">
        <v>71</v>
      </c>
      <c r="B14" t="s">
        <v>310</v>
      </c>
      <c r="C14" t="s">
        <v>318</v>
      </c>
      <c r="D14">
        <v>2024</v>
      </c>
      <c r="E14" t="s">
        <v>312</v>
      </c>
      <c r="F14" t="s">
        <v>313</v>
      </c>
      <c r="G14">
        <v>9</v>
      </c>
    </row>
    <row r="15" spans="1:7" x14ac:dyDescent="0.2">
      <c r="A15" t="s">
        <v>71</v>
      </c>
      <c r="B15" t="s">
        <v>310</v>
      </c>
      <c r="C15" t="s">
        <v>318</v>
      </c>
      <c r="D15">
        <v>2024</v>
      </c>
      <c r="E15" t="s">
        <v>312</v>
      </c>
      <c r="F15" t="s">
        <v>314</v>
      </c>
      <c r="G15">
        <v>9</v>
      </c>
    </row>
    <row r="16" spans="1:7" x14ac:dyDescent="0.2">
      <c r="A16" t="s">
        <v>71</v>
      </c>
      <c r="B16" t="s">
        <v>310</v>
      </c>
      <c r="C16" t="s">
        <v>318</v>
      </c>
      <c r="D16">
        <v>2024</v>
      </c>
      <c r="E16" t="s">
        <v>315</v>
      </c>
      <c r="F16" t="s">
        <v>313</v>
      </c>
      <c r="G16">
        <v>9</v>
      </c>
    </row>
    <row r="17" spans="1:7" x14ac:dyDescent="0.2">
      <c r="A17" t="s">
        <v>71</v>
      </c>
      <c r="B17" t="s">
        <v>310</v>
      </c>
      <c r="C17" t="s">
        <v>318</v>
      </c>
      <c r="D17">
        <v>2024</v>
      </c>
      <c r="E17" t="s">
        <v>315</v>
      </c>
      <c r="F17" t="s">
        <v>314</v>
      </c>
      <c r="G17">
        <v>9</v>
      </c>
    </row>
    <row r="18" spans="1:7" x14ac:dyDescent="0.2">
      <c r="A18" t="s">
        <v>71</v>
      </c>
      <c r="B18" t="s">
        <v>310</v>
      </c>
      <c r="C18" t="s">
        <v>318</v>
      </c>
      <c r="D18">
        <v>2025</v>
      </c>
      <c r="E18" t="s">
        <v>316</v>
      </c>
      <c r="F18" t="s">
        <v>313</v>
      </c>
      <c r="G18">
        <v>3</v>
      </c>
    </row>
    <row r="19" spans="1:7" x14ac:dyDescent="0.2">
      <c r="A19" t="s">
        <v>71</v>
      </c>
      <c r="B19" t="s">
        <v>310</v>
      </c>
      <c r="C19" t="s">
        <v>318</v>
      </c>
      <c r="D19">
        <v>2025</v>
      </c>
      <c r="E19" t="s">
        <v>316</v>
      </c>
      <c r="F19" t="s">
        <v>314</v>
      </c>
      <c r="G19">
        <v>9</v>
      </c>
    </row>
    <row r="20" spans="1:7" x14ac:dyDescent="0.2">
      <c r="A20" t="s">
        <v>71</v>
      </c>
      <c r="B20" t="s">
        <v>73</v>
      </c>
      <c r="C20" t="s">
        <v>311</v>
      </c>
      <c r="D20">
        <v>2024</v>
      </c>
      <c r="E20" t="s">
        <v>312</v>
      </c>
      <c r="F20" t="s">
        <v>313</v>
      </c>
      <c r="G20">
        <v>3</v>
      </c>
    </row>
    <row r="21" spans="1:7" x14ac:dyDescent="0.2">
      <c r="A21" t="s">
        <v>71</v>
      </c>
      <c r="B21" t="s">
        <v>73</v>
      </c>
      <c r="C21" t="s">
        <v>311</v>
      </c>
      <c r="D21">
        <v>2024</v>
      </c>
      <c r="E21" t="s">
        <v>312</v>
      </c>
      <c r="F21" t="s">
        <v>314</v>
      </c>
      <c r="G21">
        <v>3</v>
      </c>
    </row>
    <row r="22" spans="1:7" x14ac:dyDescent="0.2">
      <c r="A22" t="s">
        <v>71</v>
      </c>
      <c r="B22" t="s">
        <v>73</v>
      </c>
      <c r="C22" t="s">
        <v>311</v>
      </c>
      <c r="D22">
        <v>2024</v>
      </c>
      <c r="E22" t="s">
        <v>315</v>
      </c>
      <c r="F22" t="s">
        <v>313</v>
      </c>
      <c r="G22">
        <v>3</v>
      </c>
    </row>
    <row r="23" spans="1:7" x14ac:dyDescent="0.2">
      <c r="A23" t="s">
        <v>71</v>
      </c>
      <c r="B23" t="s">
        <v>73</v>
      </c>
      <c r="C23" t="s">
        <v>311</v>
      </c>
      <c r="D23">
        <v>2024</v>
      </c>
      <c r="E23" t="s">
        <v>315</v>
      </c>
      <c r="F23" t="s">
        <v>314</v>
      </c>
      <c r="G23">
        <v>3</v>
      </c>
    </row>
    <row r="24" spans="1:7" x14ac:dyDescent="0.2">
      <c r="A24" t="s">
        <v>71</v>
      </c>
      <c r="B24" t="s">
        <v>73</v>
      </c>
      <c r="C24" t="s">
        <v>311</v>
      </c>
      <c r="D24">
        <v>2025</v>
      </c>
      <c r="E24" t="s">
        <v>316</v>
      </c>
      <c r="F24" t="s">
        <v>313</v>
      </c>
      <c r="G24">
        <v>2</v>
      </c>
    </row>
    <row r="25" spans="1:7" x14ac:dyDescent="0.2">
      <c r="A25" t="s">
        <v>71</v>
      </c>
      <c r="B25" t="s">
        <v>73</v>
      </c>
      <c r="C25" t="s">
        <v>311</v>
      </c>
      <c r="D25">
        <v>2025</v>
      </c>
      <c r="E25" t="s">
        <v>316</v>
      </c>
      <c r="F25" t="s">
        <v>314</v>
      </c>
      <c r="G25">
        <v>3</v>
      </c>
    </row>
    <row r="26" spans="1:7" x14ac:dyDescent="0.2">
      <c r="A26" t="s">
        <v>71</v>
      </c>
      <c r="B26" t="s">
        <v>73</v>
      </c>
      <c r="C26" t="s">
        <v>317</v>
      </c>
      <c r="D26">
        <v>2024</v>
      </c>
      <c r="E26" t="s">
        <v>312</v>
      </c>
      <c r="F26" t="s">
        <v>313</v>
      </c>
      <c r="G26">
        <v>3</v>
      </c>
    </row>
    <row r="27" spans="1:7" x14ac:dyDescent="0.2">
      <c r="A27" t="s">
        <v>71</v>
      </c>
      <c r="B27" t="s">
        <v>73</v>
      </c>
      <c r="C27" t="s">
        <v>317</v>
      </c>
      <c r="D27">
        <v>2024</v>
      </c>
      <c r="E27" t="s">
        <v>312</v>
      </c>
      <c r="F27" t="s">
        <v>314</v>
      </c>
      <c r="G27">
        <v>3</v>
      </c>
    </row>
    <row r="28" spans="1:7" x14ac:dyDescent="0.2">
      <c r="A28" t="s">
        <v>71</v>
      </c>
      <c r="B28" t="s">
        <v>73</v>
      </c>
      <c r="C28" t="s">
        <v>317</v>
      </c>
      <c r="D28">
        <v>2024</v>
      </c>
      <c r="E28" t="s">
        <v>315</v>
      </c>
      <c r="F28" t="s">
        <v>313</v>
      </c>
      <c r="G28">
        <v>3</v>
      </c>
    </row>
    <row r="29" spans="1:7" x14ac:dyDescent="0.2">
      <c r="A29" t="s">
        <v>71</v>
      </c>
      <c r="B29" t="s">
        <v>73</v>
      </c>
      <c r="C29" t="s">
        <v>317</v>
      </c>
      <c r="D29">
        <v>2024</v>
      </c>
      <c r="E29" t="s">
        <v>315</v>
      </c>
      <c r="F29" t="s">
        <v>314</v>
      </c>
      <c r="G29">
        <v>3</v>
      </c>
    </row>
    <row r="30" spans="1:7" x14ac:dyDescent="0.2">
      <c r="A30" t="s">
        <v>71</v>
      </c>
      <c r="B30" t="s">
        <v>73</v>
      </c>
      <c r="C30" t="s">
        <v>317</v>
      </c>
      <c r="D30">
        <v>2025</v>
      </c>
      <c r="E30" t="s">
        <v>316</v>
      </c>
      <c r="F30" t="s">
        <v>313</v>
      </c>
      <c r="G30">
        <v>2</v>
      </c>
    </row>
    <row r="31" spans="1:7" x14ac:dyDescent="0.2">
      <c r="A31" t="s">
        <v>71</v>
      </c>
      <c r="B31" t="s">
        <v>73</v>
      </c>
      <c r="C31" t="s">
        <v>317</v>
      </c>
      <c r="D31">
        <v>2025</v>
      </c>
      <c r="E31" t="s">
        <v>316</v>
      </c>
      <c r="F31" t="s">
        <v>314</v>
      </c>
      <c r="G31">
        <v>3</v>
      </c>
    </row>
    <row r="32" spans="1:7" x14ac:dyDescent="0.2">
      <c r="A32" t="s">
        <v>71</v>
      </c>
      <c r="B32" t="s">
        <v>73</v>
      </c>
      <c r="C32" t="s">
        <v>318</v>
      </c>
      <c r="D32">
        <v>2024</v>
      </c>
      <c r="E32" t="s">
        <v>312</v>
      </c>
      <c r="F32" t="s">
        <v>313</v>
      </c>
      <c r="G32">
        <v>12</v>
      </c>
    </row>
    <row r="33" spans="1:7" x14ac:dyDescent="0.2">
      <c r="A33" t="s">
        <v>71</v>
      </c>
      <c r="B33" t="s">
        <v>73</v>
      </c>
      <c r="C33" t="s">
        <v>319</v>
      </c>
      <c r="D33">
        <v>2024</v>
      </c>
      <c r="E33" t="s">
        <v>312</v>
      </c>
      <c r="F33" t="s">
        <v>314</v>
      </c>
      <c r="G33">
        <v>12</v>
      </c>
    </row>
    <row r="34" spans="1:7" x14ac:dyDescent="0.2">
      <c r="A34" t="s">
        <v>71</v>
      </c>
      <c r="B34" t="s">
        <v>73</v>
      </c>
      <c r="C34" t="s">
        <v>320</v>
      </c>
      <c r="D34">
        <v>2024</v>
      </c>
      <c r="E34" t="s">
        <v>315</v>
      </c>
      <c r="F34" t="s">
        <v>313</v>
      </c>
      <c r="G34">
        <v>12</v>
      </c>
    </row>
    <row r="35" spans="1:7" x14ac:dyDescent="0.2">
      <c r="A35" t="s">
        <v>71</v>
      </c>
      <c r="B35" t="s">
        <v>73</v>
      </c>
      <c r="C35" t="s">
        <v>321</v>
      </c>
      <c r="D35">
        <v>2024</v>
      </c>
      <c r="E35" t="s">
        <v>315</v>
      </c>
      <c r="F35" t="s">
        <v>314</v>
      </c>
      <c r="G35">
        <v>12</v>
      </c>
    </row>
    <row r="36" spans="1:7" x14ac:dyDescent="0.2">
      <c r="A36" t="s">
        <v>71</v>
      </c>
      <c r="B36" t="s">
        <v>73</v>
      </c>
      <c r="C36" t="s">
        <v>322</v>
      </c>
      <c r="D36">
        <v>2025</v>
      </c>
      <c r="E36" t="s">
        <v>316</v>
      </c>
      <c r="F36" t="s">
        <v>313</v>
      </c>
      <c r="G36">
        <v>4</v>
      </c>
    </row>
    <row r="37" spans="1:7" x14ac:dyDescent="0.2">
      <c r="A37" t="s">
        <v>71</v>
      </c>
      <c r="B37" t="s">
        <v>73</v>
      </c>
      <c r="C37" t="s">
        <v>323</v>
      </c>
      <c r="D37">
        <v>2025</v>
      </c>
      <c r="E37" t="s">
        <v>316</v>
      </c>
      <c r="F37" t="s">
        <v>314</v>
      </c>
      <c r="G37">
        <v>12</v>
      </c>
    </row>
    <row r="38" spans="1:7" x14ac:dyDescent="0.2">
      <c r="A38" t="s">
        <v>324</v>
      </c>
      <c r="B38" t="s">
        <v>325</v>
      </c>
      <c r="C38" t="s">
        <v>311</v>
      </c>
      <c r="D38">
        <v>2024</v>
      </c>
      <c r="E38" t="s">
        <v>312</v>
      </c>
      <c r="F38" t="s">
        <v>313</v>
      </c>
      <c r="G38">
        <v>3</v>
      </c>
    </row>
    <row r="39" spans="1:7" x14ac:dyDescent="0.2">
      <c r="A39" t="s">
        <v>324</v>
      </c>
      <c r="B39" t="s">
        <v>325</v>
      </c>
      <c r="C39" t="s">
        <v>311</v>
      </c>
      <c r="D39">
        <v>2024</v>
      </c>
      <c r="E39" t="s">
        <v>312</v>
      </c>
      <c r="F39" t="s">
        <v>314</v>
      </c>
      <c r="G39">
        <v>3</v>
      </c>
    </row>
    <row r="40" spans="1:7" x14ac:dyDescent="0.2">
      <c r="A40" t="s">
        <v>324</v>
      </c>
      <c r="B40" t="s">
        <v>325</v>
      </c>
      <c r="C40" t="s">
        <v>311</v>
      </c>
      <c r="D40">
        <v>2024</v>
      </c>
      <c r="E40" t="s">
        <v>315</v>
      </c>
      <c r="F40" t="s">
        <v>313</v>
      </c>
      <c r="G40">
        <v>3</v>
      </c>
    </row>
    <row r="41" spans="1:7" x14ac:dyDescent="0.2">
      <c r="A41" t="s">
        <v>324</v>
      </c>
      <c r="B41" t="s">
        <v>325</v>
      </c>
      <c r="C41" t="s">
        <v>311</v>
      </c>
      <c r="D41">
        <v>2024</v>
      </c>
      <c r="E41" t="s">
        <v>315</v>
      </c>
      <c r="F41" t="s">
        <v>314</v>
      </c>
      <c r="G41">
        <v>3</v>
      </c>
    </row>
    <row r="42" spans="1:7" x14ac:dyDescent="0.2">
      <c r="A42" t="s">
        <v>324</v>
      </c>
      <c r="B42" t="s">
        <v>325</v>
      </c>
      <c r="C42" t="s">
        <v>311</v>
      </c>
      <c r="D42">
        <v>2025</v>
      </c>
      <c r="E42" t="s">
        <v>316</v>
      </c>
      <c r="F42" t="s">
        <v>313</v>
      </c>
      <c r="G42">
        <v>2</v>
      </c>
    </row>
    <row r="43" spans="1:7" x14ac:dyDescent="0.2">
      <c r="A43" t="s">
        <v>324</v>
      </c>
      <c r="B43" t="s">
        <v>325</v>
      </c>
      <c r="C43" t="s">
        <v>311</v>
      </c>
      <c r="D43">
        <v>2025</v>
      </c>
      <c r="E43" t="s">
        <v>316</v>
      </c>
      <c r="F43" t="s">
        <v>314</v>
      </c>
      <c r="G43">
        <v>3</v>
      </c>
    </row>
    <row r="44" spans="1:7" x14ac:dyDescent="0.2">
      <c r="A44" t="s">
        <v>324</v>
      </c>
      <c r="B44" t="s">
        <v>325</v>
      </c>
      <c r="C44" t="s">
        <v>317</v>
      </c>
      <c r="D44">
        <v>2024</v>
      </c>
      <c r="E44" t="s">
        <v>312</v>
      </c>
      <c r="F44" t="s">
        <v>313</v>
      </c>
      <c r="G44">
        <v>3</v>
      </c>
    </row>
    <row r="45" spans="1:7" x14ac:dyDescent="0.2">
      <c r="A45" t="s">
        <v>324</v>
      </c>
      <c r="B45" t="s">
        <v>325</v>
      </c>
      <c r="C45" t="s">
        <v>317</v>
      </c>
      <c r="D45">
        <v>2024</v>
      </c>
      <c r="E45" t="s">
        <v>312</v>
      </c>
      <c r="F45" t="s">
        <v>314</v>
      </c>
      <c r="G45">
        <v>3</v>
      </c>
    </row>
    <row r="46" spans="1:7" x14ac:dyDescent="0.2">
      <c r="A46" t="s">
        <v>324</v>
      </c>
      <c r="B46" t="s">
        <v>325</v>
      </c>
      <c r="C46" t="s">
        <v>317</v>
      </c>
      <c r="D46">
        <v>2024</v>
      </c>
      <c r="E46" t="s">
        <v>315</v>
      </c>
      <c r="F46" t="s">
        <v>313</v>
      </c>
      <c r="G46">
        <v>3</v>
      </c>
    </row>
    <row r="47" spans="1:7" x14ac:dyDescent="0.2">
      <c r="A47" t="s">
        <v>324</v>
      </c>
      <c r="B47" t="s">
        <v>325</v>
      </c>
      <c r="C47" t="s">
        <v>317</v>
      </c>
      <c r="D47">
        <v>2024</v>
      </c>
      <c r="E47" t="s">
        <v>315</v>
      </c>
      <c r="F47" t="s">
        <v>314</v>
      </c>
      <c r="G47">
        <v>3</v>
      </c>
    </row>
    <row r="48" spans="1:7" x14ac:dyDescent="0.2">
      <c r="A48" t="s">
        <v>324</v>
      </c>
      <c r="B48" t="s">
        <v>325</v>
      </c>
      <c r="C48" t="s">
        <v>317</v>
      </c>
      <c r="D48">
        <v>2025</v>
      </c>
      <c r="E48" t="s">
        <v>316</v>
      </c>
      <c r="F48" t="s">
        <v>313</v>
      </c>
      <c r="G48">
        <v>2</v>
      </c>
    </row>
    <row r="49" spans="1:7" x14ac:dyDescent="0.2">
      <c r="A49" t="s">
        <v>324</v>
      </c>
      <c r="B49" t="s">
        <v>325</v>
      </c>
      <c r="C49" t="s">
        <v>317</v>
      </c>
      <c r="D49">
        <v>2025</v>
      </c>
      <c r="E49" t="s">
        <v>316</v>
      </c>
      <c r="F49" t="s">
        <v>314</v>
      </c>
      <c r="G49">
        <v>3</v>
      </c>
    </row>
    <row r="50" spans="1:7" x14ac:dyDescent="0.2">
      <c r="A50" t="s">
        <v>324</v>
      </c>
      <c r="B50" t="s">
        <v>325</v>
      </c>
      <c r="C50" t="s">
        <v>318</v>
      </c>
      <c r="D50">
        <v>2024</v>
      </c>
      <c r="E50" t="s">
        <v>312</v>
      </c>
      <c r="F50" t="s">
        <v>313</v>
      </c>
      <c r="G50">
        <v>12</v>
      </c>
    </row>
    <row r="51" spans="1:7" x14ac:dyDescent="0.2">
      <c r="A51" t="s">
        <v>324</v>
      </c>
      <c r="B51" t="s">
        <v>325</v>
      </c>
      <c r="C51" t="s">
        <v>318</v>
      </c>
      <c r="D51">
        <v>2024</v>
      </c>
      <c r="E51" t="s">
        <v>312</v>
      </c>
      <c r="F51" t="s">
        <v>314</v>
      </c>
      <c r="G51">
        <v>12</v>
      </c>
    </row>
    <row r="52" spans="1:7" x14ac:dyDescent="0.2">
      <c r="A52" t="s">
        <v>324</v>
      </c>
      <c r="B52" t="s">
        <v>325</v>
      </c>
      <c r="C52" t="s">
        <v>318</v>
      </c>
      <c r="D52">
        <v>2024</v>
      </c>
      <c r="E52" t="s">
        <v>315</v>
      </c>
      <c r="F52" t="s">
        <v>313</v>
      </c>
      <c r="G52">
        <v>12</v>
      </c>
    </row>
    <row r="53" spans="1:7" x14ac:dyDescent="0.2">
      <c r="A53" t="s">
        <v>324</v>
      </c>
      <c r="B53" t="s">
        <v>325</v>
      </c>
      <c r="C53" t="s">
        <v>318</v>
      </c>
      <c r="D53">
        <v>2024</v>
      </c>
      <c r="E53" t="s">
        <v>315</v>
      </c>
      <c r="F53" t="s">
        <v>314</v>
      </c>
      <c r="G53">
        <v>12</v>
      </c>
    </row>
    <row r="54" spans="1:7" x14ac:dyDescent="0.2">
      <c r="A54" t="s">
        <v>324</v>
      </c>
      <c r="B54" t="s">
        <v>325</v>
      </c>
      <c r="C54" t="s">
        <v>318</v>
      </c>
      <c r="D54">
        <v>2025</v>
      </c>
      <c r="E54" t="s">
        <v>316</v>
      </c>
      <c r="F54" t="s">
        <v>313</v>
      </c>
      <c r="G54">
        <v>4</v>
      </c>
    </row>
    <row r="55" spans="1:7" x14ac:dyDescent="0.2">
      <c r="A55" t="s">
        <v>324</v>
      </c>
      <c r="B55" t="s">
        <v>325</v>
      </c>
      <c r="C55" t="s">
        <v>318</v>
      </c>
      <c r="D55">
        <v>2025</v>
      </c>
      <c r="E55" t="s">
        <v>316</v>
      </c>
      <c r="F55" t="s">
        <v>314</v>
      </c>
      <c r="G55">
        <v>12</v>
      </c>
    </row>
    <row r="56" spans="1:7" x14ac:dyDescent="0.2">
      <c r="A56" t="s">
        <v>324</v>
      </c>
      <c r="B56" t="s">
        <v>326</v>
      </c>
      <c r="C56" t="s">
        <v>311</v>
      </c>
      <c r="D56">
        <v>2024</v>
      </c>
      <c r="E56" t="s">
        <v>312</v>
      </c>
      <c r="F56" t="s">
        <v>313</v>
      </c>
      <c r="G56">
        <v>3</v>
      </c>
    </row>
    <row r="57" spans="1:7" x14ac:dyDescent="0.2">
      <c r="A57" t="s">
        <v>324</v>
      </c>
      <c r="B57" t="s">
        <v>326</v>
      </c>
      <c r="C57" t="s">
        <v>311</v>
      </c>
      <c r="D57">
        <v>2024</v>
      </c>
      <c r="E57" t="s">
        <v>312</v>
      </c>
      <c r="F57" t="s">
        <v>314</v>
      </c>
      <c r="G57">
        <v>3</v>
      </c>
    </row>
    <row r="58" spans="1:7" x14ac:dyDescent="0.2">
      <c r="A58" t="s">
        <v>324</v>
      </c>
      <c r="B58" t="s">
        <v>326</v>
      </c>
      <c r="C58" t="s">
        <v>311</v>
      </c>
      <c r="D58">
        <v>2024</v>
      </c>
      <c r="E58" t="s">
        <v>315</v>
      </c>
      <c r="F58" t="s">
        <v>313</v>
      </c>
      <c r="G58">
        <v>3</v>
      </c>
    </row>
    <row r="59" spans="1:7" x14ac:dyDescent="0.2">
      <c r="A59" t="s">
        <v>324</v>
      </c>
      <c r="B59" t="s">
        <v>326</v>
      </c>
      <c r="C59" t="s">
        <v>311</v>
      </c>
      <c r="D59">
        <v>2024</v>
      </c>
      <c r="E59" t="s">
        <v>315</v>
      </c>
      <c r="F59" t="s">
        <v>314</v>
      </c>
      <c r="G59">
        <v>3</v>
      </c>
    </row>
    <row r="60" spans="1:7" x14ac:dyDescent="0.2">
      <c r="A60" t="s">
        <v>324</v>
      </c>
      <c r="B60" t="s">
        <v>326</v>
      </c>
      <c r="C60" t="s">
        <v>311</v>
      </c>
      <c r="D60">
        <v>2025</v>
      </c>
      <c r="E60" t="s">
        <v>316</v>
      </c>
      <c r="F60" t="s">
        <v>313</v>
      </c>
      <c r="G60">
        <v>2</v>
      </c>
    </row>
    <row r="61" spans="1:7" x14ac:dyDescent="0.2">
      <c r="A61" t="s">
        <v>324</v>
      </c>
      <c r="B61" t="s">
        <v>326</v>
      </c>
      <c r="C61" t="s">
        <v>311</v>
      </c>
      <c r="D61">
        <v>2025</v>
      </c>
      <c r="E61" t="s">
        <v>316</v>
      </c>
      <c r="F61" t="s">
        <v>314</v>
      </c>
      <c r="G61">
        <v>3</v>
      </c>
    </row>
    <row r="62" spans="1:7" x14ac:dyDescent="0.2">
      <c r="A62" t="s">
        <v>324</v>
      </c>
      <c r="B62" t="s">
        <v>326</v>
      </c>
      <c r="C62" t="s">
        <v>317</v>
      </c>
      <c r="D62">
        <v>2024</v>
      </c>
      <c r="E62" t="s">
        <v>312</v>
      </c>
      <c r="F62" t="s">
        <v>313</v>
      </c>
      <c r="G62">
        <v>3</v>
      </c>
    </row>
    <row r="63" spans="1:7" x14ac:dyDescent="0.2">
      <c r="A63" t="s">
        <v>324</v>
      </c>
      <c r="B63" t="s">
        <v>326</v>
      </c>
      <c r="C63" t="s">
        <v>317</v>
      </c>
      <c r="D63">
        <v>2024</v>
      </c>
      <c r="E63" t="s">
        <v>312</v>
      </c>
      <c r="F63" t="s">
        <v>314</v>
      </c>
      <c r="G63">
        <v>3</v>
      </c>
    </row>
    <row r="64" spans="1:7" x14ac:dyDescent="0.2">
      <c r="A64" t="s">
        <v>324</v>
      </c>
      <c r="B64" t="s">
        <v>326</v>
      </c>
      <c r="C64" t="s">
        <v>317</v>
      </c>
      <c r="D64">
        <v>2024</v>
      </c>
      <c r="E64" t="s">
        <v>315</v>
      </c>
      <c r="F64" t="s">
        <v>313</v>
      </c>
      <c r="G64">
        <v>3</v>
      </c>
    </row>
    <row r="65" spans="1:7" x14ac:dyDescent="0.2">
      <c r="A65" t="s">
        <v>324</v>
      </c>
      <c r="B65" t="s">
        <v>326</v>
      </c>
      <c r="C65" t="s">
        <v>317</v>
      </c>
      <c r="D65">
        <v>2024</v>
      </c>
      <c r="E65" t="s">
        <v>315</v>
      </c>
      <c r="F65" t="s">
        <v>314</v>
      </c>
      <c r="G65">
        <v>3</v>
      </c>
    </row>
    <row r="66" spans="1:7" x14ac:dyDescent="0.2">
      <c r="A66" t="s">
        <v>324</v>
      </c>
      <c r="B66" t="s">
        <v>326</v>
      </c>
      <c r="C66" t="s">
        <v>317</v>
      </c>
      <c r="D66">
        <v>2025</v>
      </c>
      <c r="E66" t="s">
        <v>316</v>
      </c>
      <c r="F66" t="s">
        <v>313</v>
      </c>
      <c r="G66">
        <v>2</v>
      </c>
    </row>
    <row r="67" spans="1:7" x14ac:dyDescent="0.2">
      <c r="A67" t="s">
        <v>324</v>
      </c>
      <c r="B67" t="s">
        <v>326</v>
      </c>
      <c r="C67" t="s">
        <v>317</v>
      </c>
      <c r="D67">
        <v>2025</v>
      </c>
      <c r="E67" t="s">
        <v>316</v>
      </c>
      <c r="F67" t="s">
        <v>314</v>
      </c>
      <c r="G67">
        <v>3</v>
      </c>
    </row>
    <row r="68" spans="1:7" x14ac:dyDescent="0.2">
      <c r="A68" t="s">
        <v>324</v>
      </c>
      <c r="B68" t="s">
        <v>326</v>
      </c>
      <c r="C68" t="s">
        <v>318</v>
      </c>
      <c r="D68">
        <v>2024</v>
      </c>
      <c r="E68" t="s">
        <v>312</v>
      </c>
      <c r="F68" t="s">
        <v>313</v>
      </c>
      <c r="G68">
        <v>3</v>
      </c>
    </row>
    <row r="69" spans="1:7" x14ac:dyDescent="0.2">
      <c r="A69" t="s">
        <v>324</v>
      </c>
      <c r="B69" t="s">
        <v>326</v>
      </c>
      <c r="C69" t="s">
        <v>318</v>
      </c>
      <c r="D69">
        <v>2024</v>
      </c>
      <c r="E69" t="s">
        <v>312</v>
      </c>
      <c r="F69" t="s">
        <v>314</v>
      </c>
      <c r="G69">
        <v>3</v>
      </c>
    </row>
    <row r="70" spans="1:7" x14ac:dyDescent="0.2">
      <c r="A70" t="s">
        <v>324</v>
      </c>
      <c r="B70" t="s">
        <v>326</v>
      </c>
      <c r="C70" t="s">
        <v>318</v>
      </c>
      <c r="D70">
        <v>2024</v>
      </c>
      <c r="E70" t="s">
        <v>315</v>
      </c>
      <c r="F70" t="s">
        <v>313</v>
      </c>
      <c r="G70">
        <v>3</v>
      </c>
    </row>
    <row r="71" spans="1:7" x14ac:dyDescent="0.2">
      <c r="A71" t="s">
        <v>324</v>
      </c>
      <c r="B71" t="s">
        <v>326</v>
      </c>
      <c r="C71" t="s">
        <v>318</v>
      </c>
      <c r="D71">
        <v>2024</v>
      </c>
      <c r="E71" t="s">
        <v>315</v>
      </c>
      <c r="F71" t="s">
        <v>314</v>
      </c>
      <c r="G71">
        <v>3</v>
      </c>
    </row>
    <row r="72" spans="1:7" x14ac:dyDescent="0.2">
      <c r="A72" t="s">
        <v>324</v>
      </c>
      <c r="B72" t="s">
        <v>326</v>
      </c>
      <c r="C72" t="s">
        <v>318</v>
      </c>
      <c r="D72">
        <v>2025</v>
      </c>
      <c r="E72" t="s">
        <v>316</v>
      </c>
      <c r="F72" t="s">
        <v>313</v>
      </c>
      <c r="G72">
        <v>1</v>
      </c>
    </row>
    <row r="73" spans="1:7" x14ac:dyDescent="0.2">
      <c r="A73" t="s">
        <v>324</v>
      </c>
      <c r="B73" t="s">
        <v>326</v>
      </c>
      <c r="C73" t="s">
        <v>318</v>
      </c>
      <c r="D73">
        <v>2025</v>
      </c>
      <c r="E73" t="s">
        <v>316</v>
      </c>
      <c r="F73" t="s">
        <v>314</v>
      </c>
      <c r="G73">
        <v>3</v>
      </c>
    </row>
    <row r="74" spans="1:7" x14ac:dyDescent="0.2">
      <c r="A74" t="s">
        <v>327</v>
      </c>
      <c r="B74" t="s">
        <v>328</v>
      </c>
      <c r="C74" t="s">
        <v>311</v>
      </c>
      <c r="D74">
        <v>2024</v>
      </c>
      <c r="E74" t="s">
        <v>312</v>
      </c>
      <c r="F74" t="s">
        <v>313</v>
      </c>
      <c r="G74">
        <v>3</v>
      </c>
    </row>
    <row r="75" spans="1:7" x14ac:dyDescent="0.2">
      <c r="A75" t="s">
        <v>327</v>
      </c>
      <c r="B75" t="s">
        <v>328</v>
      </c>
      <c r="C75" t="s">
        <v>311</v>
      </c>
      <c r="D75">
        <v>2024</v>
      </c>
      <c r="E75" t="s">
        <v>312</v>
      </c>
      <c r="F75" t="s">
        <v>314</v>
      </c>
      <c r="G75">
        <v>3</v>
      </c>
    </row>
    <row r="76" spans="1:7" x14ac:dyDescent="0.2">
      <c r="A76" t="s">
        <v>327</v>
      </c>
      <c r="B76" t="s">
        <v>328</v>
      </c>
      <c r="C76" t="s">
        <v>311</v>
      </c>
      <c r="D76">
        <v>2024</v>
      </c>
      <c r="E76" t="s">
        <v>315</v>
      </c>
      <c r="F76" t="s">
        <v>313</v>
      </c>
      <c r="G76">
        <v>3</v>
      </c>
    </row>
    <row r="77" spans="1:7" x14ac:dyDescent="0.2">
      <c r="A77" t="s">
        <v>327</v>
      </c>
      <c r="B77" t="s">
        <v>328</v>
      </c>
      <c r="C77" t="s">
        <v>311</v>
      </c>
      <c r="D77">
        <v>2024</v>
      </c>
      <c r="E77" t="s">
        <v>315</v>
      </c>
      <c r="F77" t="s">
        <v>314</v>
      </c>
      <c r="G77">
        <v>3</v>
      </c>
    </row>
    <row r="78" spans="1:7" x14ac:dyDescent="0.2">
      <c r="A78" t="s">
        <v>327</v>
      </c>
      <c r="B78" t="s">
        <v>328</v>
      </c>
      <c r="C78" t="s">
        <v>311</v>
      </c>
      <c r="D78">
        <v>2025</v>
      </c>
      <c r="E78" t="s">
        <v>316</v>
      </c>
      <c r="F78" t="s">
        <v>313</v>
      </c>
      <c r="G78">
        <v>1</v>
      </c>
    </row>
    <row r="79" spans="1:7" x14ac:dyDescent="0.2">
      <c r="A79" t="s">
        <v>327</v>
      </c>
      <c r="B79" t="s">
        <v>328</v>
      </c>
      <c r="C79" t="s">
        <v>311</v>
      </c>
      <c r="D79">
        <v>2025</v>
      </c>
      <c r="E79" t="s">
        <v>316</v>
      </c>
      <c r="F79" t="s">
        <v>314</v>
      </c>
      <c r="G79">
        <v>3</v>
      </c>
    </row>
    <row r="80" spans="1:7" x14ac:dyDescent="0.2">
      <c r="A80" t="s">
        <v>327</v>
      </c>
      <c r="B80" t="s">
        <v>328</v>
      </c>
      <c r="C80" t="s">
        <v>317</v>
      </c>
      <c r="D80">
        <v>2024</v>
      </c>
      <c r="E80" t="s">
        <v>312</v>
      </c>
      <c r="F80" t="s">
        <v>313</v>
      </c>
      <c r="G80">
        <v>3</v>
      </c>
    </row>
    <row r="81" spans="1:7" x14ac:dyDescent="0.2">
      <c r="A81" t="s">
        <v>327</v>
      </c>
      <c r="B81" t="s">
        <v>328</v>
      </c>
      <c r="C81" t="s">
        <v>317</v>
      </c>
      <c r="D81">
        <v>2024</v>
      </c>
      <c r="E81" t="s">
        <v>312</v>
      </c>
      <c r="F81" t="s">
        <v>314</v>
      </c>
      <c r="G81">
        <v>3</v>
      </c>
    </row>
    <row r="82" spans="1:7" x14ac:dyDescent="0.2">
      <c r="A82" t="s">
        <v>327</v>
      </c>
      <c r="B82" t="s">
        <v>328</v>
      </c>
      <c r="C82" t="s">
        <v>317</v>
      </c>
      <c r="D82">
        <v>2024</v>
      </c>
      <c r="E82" t="s">
        <v>315</v>
      </c>
      <c r="F82" t="s">
        <v>313</v>
      </c>
      <c r="G82">
        <v>3</v>
      </c>
    </row>
    <row r="83" spans="1:7" x14ac:dyDescent="0.2">
      <c r="A83" t="s">
        <v>327</v>
      </c>
      <c r="B83" t="s">
        <v>328</v>
      </c>
      <c r="C83" t="s">
        <v>317</v>
      </c>
      <c r="D83">
        <v>2024</v>
      </c>
      <c r="E83" t="s">
        <v>315</v>
      </c>
      <c r="F83" t="s">
        <v>314</v>
      </c>
      <c r="G83">
        <v>3</v>
      </c>
    </row>
    <row r="84" spans="1:7" x14ac:dyDescent="0.2">
      <c r="A84" t="s">
        <v>327</v>
      </c>
      <c r="B84" t="s">
        <v>328</v>
      </c>
      <c r="C84" t="s">
        <v>317</v>
      </c>
      <c r="D84">
        <v>2025</v>
      </c>
      <c r="E84" t="s">
        <v>316</v>
      </c>
      <c r="F84" t="s">
        <v>313</v>
      </c>
      <c r="G84">
        <v>1</v>
      </c>
    </row>
    <row r="85" spans="1:7" x14ac:dyDescent="0.2">
      <c r="A85" t="s">
        <v>327</v>
      </c>
      <c r="B85" t="s">
        <v>328</v>
      </c>
      <c r="C85" t="s">
        <v>317</v>
      </c>
      <c r="D85">
        <v>2025</v>
      </c>
      <c r="E85" t="s">
        <v>316</v>
      </c>
      <c r="F85" t="s">
        <v>314</v>
      </c>
      <c r="G85">
        <v>3</v>
      </c>
    </row>
    <row r="86" spans="1:7" x14ac:dyDescent="0.2">
      <c r="A86" t="s">
        <v>327</v>
      </c>
      <c r="B86" t="s">
        <v>328</v>
      </c>
      <c r="C86" t="s">
        <v>318</v>
      </c>
      <c r="D86">
        <v>2024</v>
      </c>
      <c r="E86" t="s">
        <v>312</v>
      </c>
      <c r="F86" t="s">
        <v>313</v>
      </c>
      <c r="G86">
        <v>2</v>
      </c>
    </row>
    <row r="87" spans="1:7" x14ac:dyDescent="0.2">
      <c r="A87" t="s">
        <v>327</v>
      </c>
      <c r="B87" t="s">
        <v>328</v>
      </c>
      <c r="C87" t="s">
        <v>318</v>
      </c>
      <c r="D87">
        <v>2024</v>
      </c>
      <c r="E87" t="s">
        <v>312</v>
      </c>
      <c r="F87" t="s">
        <v>314</v>
      </c>
      <c r="G87">
        <v>3</v>
      </c>
    </row>
    <row r="88" spans="1:7" x14ac:dyDescent="0.2">
      <c r="A88" t="s">
        <v>327</v>
      </c>
      <c r="B88" t="s">
        <v>328</v>
      </c>
      <c r="C88" t="s">
        <v>318</v>
      </c>
      <c r="D88">
        <v>2024</v>
      </c>
      <c r="E88" t="s">
        <v>315</v>
      </c>
      <c r="F88" t="s">
        <v>313</v>
      </c>
      <c r="G88">
        <v>3</v>
      </c>
    </row>
    <row r="89" spans="1:7" x14ac:dyDescent="0.2">
      <c r="A89" t="s">
        <v>327</v>
      </c>
      <c r="B89" t="s">
        <v>328</v>
      </c>
      <c r="C89" t="s">
        <v>318</v>
      </c>
      <c r="D89">
        <v>2024</v>
      </c>
      <c r="E89" t="s">
        <v>315</v>
      </c>
      <c r="F89" t="s">
        <v>314</v>
      </c>
      <c r="G89">
        <v>3</v>
      </c>
    </row>
    <row r="90" spans="1:7" x14ac:dyDescent="0.2">
      <c r="A90" t="s">
        <v>327</v>
      </c>
      <c r="B90" t="s">
        <v>328</v>
      </c>
      <c r="C90" t="s">
        <v>318</v>
      </c>
      <c r="D90">
        <v>2025</v>
      </c>
      <c r="E90" t="s">
        <v>316</v>
      </c>
      <c r="F90" t="s">
        <v>313</v>
      </c>
      <c r="G90">
        <v>2</v>
      </c>
    </row>
    <row r="91" spans="1:7" x14ac:dyDescent="0.2">
      <c r="A91" t="s">
        <v>327</v>
      </c>
      <c r="B91" t="s">
        <v>328</v>
      </c>
      <c r="C91" t="s">
        <v>318</v>
      </c>
      <c r="D91">
        <v>2025</v>
      </c>
      <c r="E91" t="s">
        <v>316</v>
      </c>
      <c r="F91" t="s">
        <v>314</v>
      </c>
      <c r="G91">
        <v>3</v>
      </c>
    </row>
    <row r="92" spans="1:7" x14ac:dyDescent="0.2">
      <c r="A92" t="s">
        <v>327</v>
      </c>
      <c r="B92" t="s">
        <v>329</v>
      </c>
      <c r="C92" t="s">
        <v>311</v>
      </c>
      <c r="D92">
        <v>2024</v>
      </c>
      <c r="E92" t="s">
        <v>312</v>
      </c>
      <c r="F92" t="s">
        <v>313</v>
      </c>
      <c r="G92">
        <v>3</v>
      </c>
    </row>
    <row r="93" spans="1:7" x14ac:dyDescent="0.2">
      <c r="A93" t="s">
        <v>327</v>
      </c>
      <c r="B93" t="s">
        <v>329</v>
      </c>
      <c r="C93" t="s">
        <v>311</v>
      </c>
      <c r="D93">
        <v>2024</v>
      </c>
      <c r="E93" t="s">
        <v>312</v>
      </c>
      <c r="F93" t="s">
        <v>314</v>
      </c>
      <c r="G93">
        <v>3</v>
      </c>
    </row>
    <row r="94" spans="1:7" x14ac:dyDescent="0.2">
      <c r="A94" t="s">
        <v>327</v>
      </c>
      <c r="B94" t="s">
        <v>329</v>
      </c>
      <c r="C94" t="s">
        <v>311</v>
      </c>
      <c r="D94">
        <v>2024</v>
      </c>
      <c r="E94" t="s">
        <v>315</v>
      </c>
      <c r="F94" t="s">
        <v>313</v>
      </c>
      <c r="G94">
        <v>3</v>
      </c>
    </row>
    <row r="95" spans="1:7" x14ac:dyDescent="0.2">
      <c r="A95" t="s">
        <v>327</v>
      </c>
      <c r="B95" t="s">
        <v>329</v>
      </c>
      <c r="C95" t="s">
        <v>311</v>
      </c>
      <c r="D95">
        <v>2024</v>
      </c>
      <c r="E95" t="s">
        <v>315</v>
      </c>
      <c r="F95" t="s">
        <v>314</v>
      </c>
      <c r="G95">
        <v>3</v>
      </c>
    </row>
    <row r="96" spans="1:7" x14ac:dyDescent="0.2">
      <c r="A96" t="s">
        <v>327</v>
      </c>
      <c r="B96" t="s">
        <v>329</v>
      </c>
      <c r="C96" t="s">
        <v>311</v>
      </c>
      <c r="D96">
        <v>2025</v>
      </c>
      <c r="E96" t="s">
        <v>316</v>
      </c>
      <c r="F96" t="s">
        <v>313</v>
      </c>
      <c r="G96">
        <v>1</v>
      </c>
    </row>
    <row r="97" spans="1:7" x14ac:dyDescent="0.2">
      <c r="A97" t="s">
        <v>327</v>
      </c>
      <c r="B97" t="s">
        <v>329</v>
      </c>
      <c r="C97" t="s">
        <v>311</v>
      </c>
      <c r="D97">
        <v>2025</v>
      </c>
      <c r="E97" t="s">
        <v>316</v>
      </c>
      <c r="F97" t="s">
        <v>314</v>
      </c>
      <c r="G97">
        <v>3</v>
      </c>
    </row>
    <row r="98" spans="1:7" x14ac:dyDescent="0.2">
      <c r="A98" t="s">
        <v>327</v>
      </c>
      <c r="B98" t="s">
        <v>329</v>
      </c>
      <c r="C98" t="s">
        <v>317</v>
      </c>
      <c r="D98">
        <v>2024</v>
      </c>
      <c r="E98" t="s">
        <v>312</v>
      </c>
      <c r="F98" t="s">
        <v>313</v>
      </c>
      <c r="G98">
        <v>3</v>
      </c>
    </row>
    <row r="99" spans="1:7" x14ac:dyDescent="0.2">
      <c r="A99" t="s">
        <v>327</v>
      </c>
      <c r="B99" t="s">
        <v>329</v>
      </c>
      <c r="C99" t="s">
        <v>317</v>
      </c>
      <c r="D99">
        <v>2024</v>
      </c>
      <c r="E99" t="s">
        <v>312</v>
      </c>
      <c r="F99" t="s">
        <v>314</v>
      </c>
      <c r="G99">
        <v>3</v>
      </c>
    </row>
    <row r="100" spans="1:7" x14ac:dyDescent="0.2">
      <c r="A100" t="s">
        <v>327</v>
      </c>
      <c r="B100" t="s">
        <v>329</v>
      </c>
      <c r="C100" t="s">
        <v>317</v>
      </c>
      <c r="D100">
        <v>2024</v>
      </c>
      <c r="E100" t="s">
        <v>315</v>
      </c>
      <c r="F100" t="s">
        <v>313</v>
      </c>
      <c r="G100">
        <v>3</v>
      </c>
    </row>
    <row r="101" spans="1:7" x14ac:dyDescent="0.2">
      <c r="A101" t="s">
        <v>327</v>
      </c>
      <c r="B101" t="s">
        <v>329</v>
      </c>
      <c r="C101" t="s">
        <v>317</v>
      </c>
      <c r="D101">
        <v>2024</v>
      </c>
      <c r="E101" t="s">
        <v>315</v>
      </c>
      <c r="F101" t="s">
        <v>314</v>
      </c>
      <c r="G101">
        <v>3</v>
      </c>
    </row>
    <row r="102" spans="1:7" x14ac:dyDescent="0.2">
      <c r="A102" t="s">
        <v>327</v>
      </c>
      <c r="B102" t="s">
        <v>329</v>
      </c>
      <c r="C102" t="s">
        <v>317</v>
      </c>
      <c r="D102">
        <v>2025</v>
      </c>
      <c r="E102" t="s">
        <v>316</v>
      </c>
      <c r="F102" t="s">
        <v>313</v>
      </c>
      <c r="G102">
        <v>1</v>
      </c>
    </row>
    <row r="103" spans="1:7" x14ac:dyDescent="0.2">
      <c r="A103" t="s">
        <v>327</v>
      </c>
      <c r="B103" t="s">
        <v>329</v>
      </c>
      <c r="C103" t="s">
        <v>317</v>
      </c>
      <c r="D103">
        <v>2025</v>
      </c>
      <c r="E103" t="s">
        <v>316</v>
      </c>
      <c r="F103" t="s">
        <v>314</v>
      </c>
      <c r="G103">
        <v>3</v>
      </c>
    </row>
    <row r="104" spans="1:7" x14ac:dyDescent="0.2">
      <c r="A104" t="s">
        <v>327</v>
      </c>
      <c r="B104" t="s">
        <v>329</v>
      </c>
      <c r="C104" t="s">
        <v>318</v>
      </c>
      <c r="D104">
        <v>2024</v>
      </c>
      <c r="E104" t="s">
        <v>312</v>
      </c>
      <c r="F104" t="s">
        <v>313</v>
      </c>
      <c r="G104">
        <v>8</v>
      </c>
    </row>
    <row r="105" spans="1:7" x14ac:dyDescent="0.2">
      <c r="A105" t="s">
        <v>327</v>
      </c>
      <c r="B105" t="s">
        <v>329</v>
      </c>
      <c r="C105" t="s">
        <v>318</v>
      </c>
      <c r="D105">
        <v>2024</v>
      </c>
      <c r="E105" t="s">
        <v>312</v>
      </c>
      <c r="F105" t="s">
        <v>314</v>
      </c>
      <c r="G105">
        <v>9</v>
      </c>
    </row>
    <row r="106" spans="1:7" x14ac:dyDescent="0.2">
      <c r="A106" t="s">
        <v>327</v>
      </c>
      <c r="B106" t="s">
        <v>329</v>
      </c>
      <c r="C106" t="s">
        <v>318</v>
      </c>
      <c r="D106">
        <v>2024</v>
      </c>
      <c r="E106" t="s">
        <v>315</v>
      </c>
      <c r="F106" t="s">
        <v>313</v>
      </c>
      <c r="G106">
        <v>7</v>
      </c>
    </row>
    <row r="107" spans="1:7" x14ac:dyDescent="0.2">
      <c r="A107" t="s">
        <v>327</v>
      </c>
      <c r="B107" t="s">
        <v>329</v>
      </c>
      <c r="C107" t="s">
        <v>318</v>
      </c>
      <c r="D107">
        <v>2024</v>
      </c>
      <c r="E107" t="s">
        <v>315</v>
      </c>
      <c r="F107" t="s">
        <v>314</v>
      </c>
      <c r="G107">
        <v>9</v>
      </c>
    </row>
    <row r="108" spans="1:7" x14ac:dyDescent="0.2">
      <c r="A108" t="s">
        <v>327</v>
      </c>
      <c r="B108" t="s">
        <v>329</v>
      </c>
      <c r="C108" t="s">
        <v>318</v>
      </c>
      <c r="D108">
        <v>2025</v>
      </c>
      <c r="E108" t="s">
        <v>316</v>
      </c>
      <c r="F108" t="s">
        <v>313</v>
      </c>
      <c r="G108">
        <v>6</v>
      </c>
    </row>
    <row r="109" spans="1:7" x14ac:dyDescent="0.2">
      <c r="A109" t="s">
        <v>327</v>
      </c>
      <c r="B109" t="s">
        <v>329</v>
      </c>
      <c r="C109" t="s">
        <v>318</v>
      </c>
      <c r="D109">
        <v>2025</v>
      </c>
      <c r="E109" t="s">
        <v>316</v>
      </c>
      <c r="F109" t="s">
        <v>314</v>
      </c>
      <c r="G109">
        <v>9</v>
      </c>
    </row>
    <row r="110" spans="1:7" x14ac:dyDescent="0.2">
      <c r="A110" t="s">
        <v>330</v>
      </c>
      <c r="B110" t="s">
        <v>331</v>
      </c>
      <c r="C110" s="509" t="s">
        <v>311</v>
      </c>
      <c r="D110" s="509">
        <v>2024</v>
      </c>
      <c r="E110" s="509" t="s">
        <v>312</v>
      </c>
      <c r="F110" s="509" t="s">
        <v>313</v>
      </c>
      <c r="G110">
        <v>3</v>
      </c>
    </row>
    <row r="111" spans="1:7" x14ac:dyDescent="0.2">
      <c r="A111" t="s">
        <v>330</v>
      </c>
      <c r="B111" t="s">
        <v>331</v>
      </c>
      <c r="C111" s="509" t="s">
        <v>311</v>
      </c>
      <c r="D111" s="509">
        <v>2024</v>
      </c>
      <c r="E111" s="509" t="s">
        <v>312</v>
      </c>
      <c r="F111" s="509" t="s">
        <v>314</v>
      </c>
      <c r="G111">
        <v>3</v>
      </c>
    </row>
    <row r="112" spans="1:7" x14ac:dyDescent="0.2">
      <c r="A112" t="s">
        <v>330</v>
      </c>
      <c r="B112" t="s">
        <v>331</v>
      </c>
      <c r="C112" s="509" t="s">
        <v>311</v>
      </c>
      <c r="D112" s="509">
        <v>2024</v>
      </c>
      <c r="E112" s="509" t="s">
        <v>315</v>
      </c>
      <c r="F112" s="509" t="s">
        <v>313</v>
      </c>
      <c r="G112">
        <v>3</v>
      </c>
    </row>
    <row r="113" spans="1:7" x14ac:dyDescent="0.2">
      <c r="A113" t="s">
        <v>330</v>
      </c>
      <c r="B113" t="s">
        <v>331</v>
      </c>
      <c r="C113" s="509" t="s">
        <v>311</v>
      </c>
      <c r="D113" s="509">
        <v>2024</v>
      </c>
      <c r="E113" s="509" t="s">
        <v>315</v>
      </c>
      <c r="F113" s="509" t="s">
        <v>314</v>
      </c>
      <c r="G113">
        <v>3</v>
      </c>
    </row>
    <row r="114" spans="1:7" x14ac:dyDescent="0.2">
      <c r="A114" t="s">
        <v>330</v>
      </c>
      <c r="B114" t="s">
        <v>331</v>
      </c>
      <c r="C114" s="509" t="s">
        <v>311</v>
      </c>
      <c r="D114" s="509">
        <v>2025</v>
      </c>
      <c r="E114" s="509" t="s">
        <v>316</v>
      </c>
      <c r="F114" s="509" t="s">
        <v>313</v>
      </c>
      <c r="G114">
        <v>2</v>
      </c>
    </row>
    <row r="115" spans="1:7" x14ac:dyDescent="0.2">
      <c r="A115" t="s">
        <v>330</v>
      </c>
      <c r="B115" t="s">
        <v>331</v>
      </c>
      <c r="C115" s="509" t="s">
        <v>311</v>
      </c>
      <c r="D115" s="509">
        <v>2025</v>
      </c>
      <c r="E115" s="509" t="s">
        <v>316</v>
      </c>
      <c r="F115" s="509" t="s">
        <v>314</v>
      </c>
      <c r="G115">
        <v>3</v>
      </c>
    </row>
    <row r="116" spans="1:7" x14ac:dyDescent="0.2">
      <c r="A116" t="s">
        <v>330</v>
      </c>
      <c r="B116" t="s">
        <v>331</v>
      </c>
      <c r="C116" s="509" t="s">
        <v>317</v>
      </c>
      <c r="D116" s="509">
        <v>2024</v>
      </c>
      <c r="E116" s="509" t="s">
        <v>312</v>
      </c>
      <c r="F116" s="509" t="s">
        <v>313</v>
      </c>
      <c r="G116">
        <v>3</v>
      </c>
    </row>
    <row r="117" spans="1:7" x14ac:dyDescent="0.2">
      <c r="A117" t="s">
        <v>330</v>
      </c>
      <c r="B117" t="s">
        <v>331</v>
      </c>
      <c r="C117" s="509" t="s">
        <v>317</v>
      </c>
      <c r="D117" s="509">
        <v>2024</v>
      </c>
      <c r="E117" s="509" t="s">
        <v>312</v>
      </c>
      <c r="F117" s="509" t="s">
        <v>314</v>
      </c>
      <c r="G117">
        <v>3</v>
      </c>
    </row>
    <row r="118" spans="1:7" x14ac:dyDescent="0.2">
      <c r="A118" t="s">
        <v>330</v>
      </c>
      <c r="B118" t="s">
        <v>331</v>
      </c>
      <c r="C118" s="509" t="s">
        <v>317</v>
      </c>
      <c r="D118" s="509">
        <v>2024</v>
      </c>
      <c r="E118" s="509" t="s">
        <v>315</v>
      </c>
      <c r="F118" s="509" t="s">
        <v>313</v>
      </c>
      <c r="G118">
        <v>3</v>
      </c>
    </row>
    <row r="119" spans="1:7" x14ac:dyDescent="0.2">
      <c r="A119" t="s">
        <v>330</v>
      </c>
      <c r="B119" t="s">
        <v>331</v>
      </c>
      <c r="C119" s="509" t="s">
        <v>317</v>
      </c>
      <c r="D119" s="509">
        <v>2024</v>
      </c>
      <c r="E119" s="509" t="s">
        <v>315</v>
      </c>
      <c r="F119" s="509" t="s">
        <v>314</v>
      </c>
      <c r="G119">
        <v>3</v>
      </c>
    </row>
    <row r="120" spans="1:7" x14ac:dyDescent="0.2">
      <c r="A120" t="s">
        <v>330</v>
      </c>
      <c r="B120" t="s">
        <v>331</v>
      </c>
      <c r="C120" s="509" t="s">
        <v>317</v>
      </c>
      <c r="D120" s="509">
        <v>2025</v>
      </c>
      <c r="E120" s="509" t="s">
        <v>316</v>
      </c>
      <c r="F120" s="509" t="s">
        <v>313</v>
      </c>
      <c r="G120">
        <v>2</v>
      </c>
    </row>
    <row r="121" spans="1:7" x14ac:dyDescent="0.2">
      <c r="A121" t="s">
        <v>330</v>
      </c>
      <c r="B121" t="s">
        <v>331</v>
      </c>
      <c r="C121" s="509" t="s">
        <v>317</v>
      </c>
      <c r="D121" s="509">
        <v>2025</v>
      </c>
      <c r="E121" s="509" t="s">
        <v>316</v>
      </c>
      <c r="F121" s="509" t="s">
        <v>314</v>
      </c>
      <c r="G121">
        <v>3</v>
      </c>
    </row>
    <row r="122" spans="1:7" x14ac:dyDescent="0.2">
      <c r="A122" t="s">
        <v>330</v>
      </c>
      <c r="B122" t="s">
        <v>331</v>
      </c>
      <c r="C122" s="509" t="s">
        <v>318</v>
      </c>
      <c r="D122" s="509">
        <v>2024</v>
      </c>
      <c r="E122" s="509" t="s">
        <v>312</v>
      </c>
      <c r="F122" s="509" t="s">
        <v>313</v>
      </c>
      <c r="G122">
        <v>3</v>
      </c>
    </row>
    <row r="123" spans="1:7" x14ac:dyDescent="0.2">
      <c r="A123" t="s">
        <v>330</v>
      </c>
      <c r="B123" t="s">
        <v>331</v>
      </c>
      <c r="C123" s="509" t="s">
        <v>318</v>
      </c>
      <c r="D123" s="509">
        <v>2024</v>
      </c>
      <c r="E123" s="509" t="s">
        <v>312</v>
      </c>
      <c r="F123" s="509" t="s">
        <v>314</v>
      </c>
      <c r="G123">
        <v>3</v>
      </c>
    </row>
    <row r="124" spans="1:7" x14ac:dyDescent="0.2">
      <c r="A124" t="s">
        <v>330</v>
      </c>
      <c r="B124" t="s">
        <v>331</v>
      </c>
      <c r="C124" s="509" t="s">
        <v>318</v>
      </c>
      <c r="D124" s="509">
        <v>2024</v>
      </c>
      <c r="E124" s="509" t="s">
        <v>315</v>
      </c>
      <c r="F124" s="509" t="s">
        <v>313</v>
      </c>
      <c r="G124">
        <v>3</v>
      </c>
    </row>
    <row r="125" spans="1:7" x14ac:dyDescent="0.2">
      <c r="A125" t="s">
        <v>330</v>
      </c>
      <c r="B125" t="s">
        <v>331</v>
      </c>
      <c r="C125" s="509" t="s">
        <v>318</v>
      </c>
      <c r="D125" s="509">
        <v>2024</v>
      </c>
      <c r="E125" s="509" t="s">
        <v>315</v>
      </c>
      <c r="F125" s="509" t="s">
        <v>314</v>
      </c>
      <c r="G125">
        <v>3</v>
      </c>
    </row>
    <row r="126" spans="1:7" x14ac:dyDescent="0.2">
      <c r="A126" t="s">
        <v>330</v>
      </c>
      <c r="B126" t="s">
        <v>331</v>
      </c>
      <c r="C126" s="509" t="s">
        <v>318</v>
      </c>
      <c r="D126" s="509">
        <v>2025</v>
      </c>
      <c r="E126" s="509" t="s">
        <v>316</v>
      </c>
      <c r="F126" s="509" t="s">
        <v>313</v>
      </c>
      <c r="G126">
        <v>2</v>
      </c>
    </row>
    <row r="127" spans="1:7" x14ac:dyDescent="0.2">
      <c r="A127" t="s">
        <v>330</v>
      </c>
      <c r="B127" t="s">
        <v>331</v>
      </c>
      <c r="C127" s="509" t="s">
        <v>318</v>
      </c>
      <c r="D127" s="509">
        <v>2025</v>
      </c>
      <c r="E127" s="509" t="s">
        <v>316</v>
      </c>
      <c r="F127" s="509" t="s">
        <v>314</v>
      </c>
      <c r="G127">
        <v>3</v>
      </c>
    </row>
    <row r="128" spans="1:7" x14ac:dyDescent="0.2">
      <c r="A128" t="s">
        <v>330</v>
      </c>
      <c r="B128" t="s">
        <v>332</v>
      </c>
      <c r="C128" s="509" t="s">
        <v>311</v>
      </c>
      <c r="D128" s="509">
        <v>2024</v>
      </c>
      <c r="E128" s="509" t="s">
        <v>312</v>
      </c>
      <c r="F128" s="509" t="s">
        <v>313</v>
      </c>
      <c r="G128">
        <v>3</v>
      </c>
    </row>
    <row r="129" spans="1:7" x14ac:dyDescent="0.2">
      <c r="A129" t="s">
        <v>330</v>
      </c>
      <c r="B129" t="s">
        <v>332</v>
      </c>
      <c r="C129" s="509" t="s">
        <v>311</v>
      </c>
      <c r="D129" s="509">
        <v>2024</v>
      </c>
      <c r="E129" s="509" t="s">
        <v>312</v>
      </c>
      <c r="F129" s="509" t="s">
        <v>314</v>
      </c>
      <c r="G129">
        <v>3</v>
      </c>
    </row>
    <row r="130" spans="1:7" x14ac:dyDescent="0.2">
      <c r="A130" t="s">
        <v>330</v>
      </c>
      <c r="B130" t="s">
        <v>332</v>
      </c>
      <c r="C130" s="509" t="s">
        <v>311</v>
      </c>
      <c r="D130" s="509">
        <v>2024</v>
      </c>
      <c r="E130" s="509" t="s">
        <v>315</v>
      </c>
      <c r="F130" s="509" t="s">
        <v>313</v>
      </c>
      <c r="G130">
        <v>3</v>
      </c>
    </row>
    <row r="131" spans="1:7" x14ac:dyDescent="0.2">
      <c r="A131" t="s">
        <v>330</v>
      </c>
      <c r="B131" t="s">
        <v>332</v>
      </c>
      <c r="C131" s="509" t="s">
        <v>311</v>
      </c>
      <c r="D131" s="509">
        <v>2024</v>
      </c>
      <c r="E131" s="509" t="s">
        <v>315</v>
      </c>
      <c r="F131" s="509" t="s">
        <v>314</v>
      </c>
      <c r="G131">
        <v>3</v>
      </c>
    </row>
    <row r="132" spans="1:7" x14ac:dyDescent="0.2">
      <c r="A132" t="s">
        <v>330</v>
      </c>
      <c r="B132" t="s">
        <v>332</v>
      </c>
      <c r="C132" s="509" t="s">
        <v>311</v>
      </c>
      <c r="D132" s="509">
        <v>2025</v>
      </c>
      <c r="E132" s="509" t="s">
        <v>316</v>
      </c>
      <c r="F132" s="509" t="s">
        <v>313</v>
      </c>
      <c r="G132">
        <v>2</v>
      </c>
    </row>
    <row r="133" spans="1:7" x14ac:dyDescent="0.2">
      <c r="A133" t="s">
        <v>330</v>
      </c>
      <c r="B133" t="s">
        <v>332</v>
      </c>
      <c r="C133" s="509" t="s">
        <v>311</v>
      </c>
      <c r="D133" s="509">
        <v>2025</v>
      </c>
      <c r="E133" s="509" t="s">
        <v>316</v>
      </c>
      <c r="F133" s="509" t="s">
        <v>314</v>
      </c>
      <c r="G133">
        <v>3</v>
      </c>
    </row>
    <row r="134" spans="1:7" x14ac:dyDescent="0.2">
      <c r="A134" t="s">
        <v>330</v>
      </c>
      <c r="B134" t="s">
        <v>332</v>
      </c>
      <c r="C134" s="509" t="s">
        <v>317</v>
      </c>
      <c r="D134" s="509">
        <v>2024</v>
      </c>
      <c r="E134" s="509" t="s">
        <v>312</v>
      </c>
      <c r="F134" s="509" t="s">
        <v>313</v>
      </c>
      <c r="G134">
        <v>3</v>
      </c>
    </row>
    <row r="135" spans="1:7" x14ac:dyDescent="0.2">
      <c r="A135" t="s">
        <v>330</v>
      </c>
      <c r="B135" t="s">
        <v>332</v>
      </c>
      <c r="C135" s="509" t="s">
        <v>317</v>
      </c>
      <c r="D135" s="509">
        <v>2024</v>
      </c>
      <c r="E135" s="509" t="s">
        <v>312</v>
      </c>
      <c r="F135" s="509" t="s">
        <v>314</v>
      </c>
      <c r="G135">
        <v>3</v>
      </c>
    </row>
    <row r="136" spans="1:7" x14ac:dyDescent="0.2">
      <c r="A136" t="s">
        <v>330</v>
      </c>
      <c r="B136" t="s">
        <v>332</v>
      </c>
      <c r="C136" s="509" t="s">
        <v>317</v>
      </c>
      <c r="D136" s="509">
        <v>2024</v>
      </c>
      <c r="E136" s="509" t="s">
        <v>315</v>
      </c>
      <c r="F136" s="509" t="s">
        <v>313</v>
      </c>
      <c r="G136">
        <v>3</v>
      </c>
    </row>
    <row r="137" spans="1:7" x14ac:dyDescent="0.2">
      <c r="A137" t="s">
        <v>330</v>
      </c>
      <c r="B137" t="s">
        <v>332</v>
      </c>
      <c r="C137" s="509" t="s">
        <v>317</v>
      </c>
      <c r="D137" s="509">
        <v>2024</v>
      </c>
      <c r="E137" s="509" t="s">
        <v>315</v>
      </c>
      <c r="F137" s="509" t="s">
        <v>314</v>
      </c>
      <c r="G137">
        <v>3</v>
      </c>
    </row>
    <row r="138" spans="1:7" x14ac:dyDescent="0.2">
      <c r="A138" t="s">
        <v>330</v>
      </c>
      <c r="B138" t="s">
        <v>332</v>
      </c>
      <c r="C138" s="509" t="s">
        <v>317</v>
      </c>
      <c r="D138" s="509">
        <v>2025</v>
      </c>
      <c r="E138" s="509" t="s">
        <v>316</v>
      </c>
      <c r="F138" s="509" t="s">
        <v>313</v>
      </c>
      <c r="G138">
        <v>1</v>
      </c>
    </row>
    <row r="139" spans="1:7" x14ac:dyDescent="0.2">
      <c r="A139" t="s">
        <v>330</v>
      </c>
      <c r="B139" t="s">
        <v>332</v>
      </c>
      <c r="C139" s="509" t="s">
        <v>317</v>
      </c>
      <c r="D139" s="509">
        <v>2025</v>
      </c>
      <c r="E139" s="509" t="s">
        <v>316</v>
      </c>
      <c r="F139" s="509" t="s">
        <v>314</v>
      </c>
      <c r="G139">
        <v>3</v>
      </c>
    </row>
    <row r="140" spans="1:7" x14ac:dyDescent="0.2">
      <c r="A140" t="s">
        <v>330</v>
      </c>
      <c r="B140" t="s">
        <v>332</v>
      </c>
      <c r="C140" s="509" t="s">
        <v>318</v>
      </c>
      <c r="D140" s="509">
        <v>2024</v>
      </c>
      <c r="E140" s="509" t="s">
        <v>312</v>
      </c>
      <c r="F140" s="509" t="s">
        <v>313</v>
      </c>
      <c r="G140">
        <v>3</v>
      </c>
    </row>
    <row r="141" spans="1:7" x14ac:dyDescent="0.2">
      <c r="A141" t="s">
        <v>330</v>
      </c>
      <c r="B141" t="s">
        <v>332</v>
      </c>
      <c r="C141" s="509" t="s">
        <v>318</v>
      </c>
      <c r="D141" s="509">
        <v>2024</v>
      </c>
      <c r="E141" s="509" t="s">
        <v>312</v>
      </c>
      <c r="F141" s="509" t="s">
        <v>314</v>
      </c>
      <c r="G141">
        <v>3</v>
      </c>
    </row>
    <row r="142" spans="1:7" x14ac:dyDescent="0.2">
      <c r="A142" t="s">
        <v>330</v>
      </c>
      <c r="B142" t="s">
        <v>332</v>
      </c>
      <c r="C142" s="509" t="s">
        <v>318</v>
      </c>
      <c r="D142" s="509">
        <v>2024</v>
      </c>
      <c r="E142" s="509" t="s">
        <v>315</v>
      </c>
      <c r="F142" s="509" t="s">
        <v>313</v>
      </c>
      <c r="G142">
        <v>3</v>
      </c>
    </row>
    <row r="143" spans="1:7" x14ac:dyDescent="0.2">
      <c r="A143" t="s">
        <v>330</v>
      </c>
      <c r="B143" t="s">
        <v>332</v>
      </c>
      <c r="C143" s="509" t="s">
        <v>318</v>
      </c>
      <c r="D143" s="509">
        <v>2024</v>
      </c>
      <c r="E143" s="509" t="s">
        <v>315</v>
      </c>
      <c r="F143" s="509" t="s">
        <v>314</v>
      </c>
      <c r="G143">
        <v>3</v>
      </c>
    </row>
    <row r="144" spans="1:7" x14ac:dyDescent="0.2">
      <c r="A144" t="s">
        <v>330</v>
      </c>
      <c r="B144" t="s">
        <v>332</v>
      </c>
      <c r="C144" s="509" t="s">
        <v>318</v>
      </c>
      <c r="D144" s="509">
        <v>2025</v>
      </c>
      <c r="E144" s="509" t="s">
        <v>316</v>
      </c>
      <c r="F144" s="509" t="s">
        <v>313</v>
      </c>
      <c r="G144">
        <v>2</v>
      </c>
    </row>
    <row r="145" spans="1:7" x14ac:dyDescent="0.2">
      <c r="A145" t="s">
        <v>330</v>
      </c>
      <c r="B145" t="s">
        <v>332</v>
      </c>
      <c r="C145" s="509" t="s">
        <v>318</v>
      </c>
      <c r="D145" s="509">
        <v>2025</v>
      </c>
      <c r="E145" s="509" t="s">
        <v>316</v>
      </c>
      <c r="F145" s="509" t="s">
        <v>314</v>
      </c>
      <c r="G145">
        <v>3</v>
      </c>
    </row>
    <row r="146" spans="1:7" x14ac:dyDescent="0.2">
      <c r="A146" t="s">
        <v>333</v>
      </c>
      <c r="B146" t="s">
        <v>247</v>
      </c>
      <c r="C146" s="509" t="s">
        <v>311</v>
      </c>
      <c r="D146" s="509">
        <v>2024</v>
      </c>
      <c r="E146" s="509" t="s">
        <v>312</v>
      </c>
      <c r="F146" s="509" t="s">
        <v>313</v>
      </c>
      <c r="G146">
        <v>3</v>
      </c>
    </row>
    <row r="147" spans="1:7" x14ac:dyDescent="0.2">
      <c r="A147" t="s">
        <v>333</v>
      </c>
      <c r="B147" t="s">
        <v>247</v>
      </c>
      <c r="C147" s="509" t="s">
        <v>311</v>
      </c>
      <c r="D147" s="509">
        <v>2024</v>
      </c>
      <c r="E147" s="509" t="s">
        <v>312</v>
      </c>
      <c r="F147" s="509" t="s">
        <v>314</v>
      </c>
      <c r="G147">
        <v>3</v>
      </c>
    </row>
    <row r="148" spans="1:7" x14ac:dyDescent="0.2">
      <c r="A148" t="s">
        <v>333</v>
      </c>
      <c r="B148" t="s">
        <v>247</v>
      </c>
      <c r="C148" s="509" t="s">
        <v>311</v>
      </c>
      <c r="D148" s="509">
        <v>2024</v>
      </c>
      <c r="E148" s="509" t="s">
        <v>315</v>
      </c>
      <c r="F148" s="509" t="s">
        <v>313</v>
      </c>
      <c r="G148">
        <v>3</v>
      </c>
    </row>
    <row r="149" spans="1:7" x14ac:dyDescent="0.2">
      <c r="A149" t="s">
        <v>333</v>
      </c>
      <c r="B149" t="s">
        <v>247</v>
      </c>
      <c r="C149" s="509" t="s">
        <v>311</v>
      </c>
      <c r="D149" s="509">
        <v>2024</v>
      </c>
      <c r="E149" s="509" t="s">
        <v>315</v>
      </c>
      <c r="F149" s="509" t="s">
        <v>314</v>
      </c>
      <c r="G149">
        <v>3</v>
      </c>
    </row>
    <row r="150" spans="1:7" x14ac:dyDescent="0.2">
      <c r="A150" t="s">
        <v>333</v>
      </c>
      <c r="B150" t="s">
        <v>247</v>
      </c>
      <c r="C150" s="509" t="s">
        <v>311</v>
      </c>
      <c r="D150" s="509">
        <v>2025</v>
      </c>
      <c r="E150" s="509" t="s">
        <v>316</v>
      </c>
      <c r="F150" s="509" t="s">
        <v>313</v>
      </c>
      <c r="G150">
        <v>2</v>
      </c>
    </row>
    <row r="151" spans="1:7" x14ac:dyDescent="0.2">
      <c r="A151" t="s">
        <v>333</v>
      </c>
      <c r="B151" t="s">
        <v>247</v>
      </c>
      <c r="C151" s="509" t="s">
        <v>311</v>
      </c>
      <c r="D151" s="509">
        <v>2025</v>
      </c>
      <c r="E151" s="509" t="s">
        <v>316</v>
      </c>
      <c r="F151" s="509" t="s">
        <v>314</v>
      </c>
      <c r="G151">
        <v>3</v>
      </c>
    </row>
    <row r="152" spans="1:7" x14ac:dyDescent="0.2">
      <c r="A152" t="s">
        <v>333</v>
      </c>
      <c r="B152" t="s">
        <v>247</v>
      </c>
      <c r="C152" s="509" t="s">
        <v>317</v>
      </c>
      <c r="D152" s="509">
        <v>2024</v>
      </c>
      <c r="E152" s="509" t="s">
        <v>312</v>
      </c>
      <c r="F152" s="509" t="s">
        <v>313</v>
      </c>
      <c r="G152">
        <v>2</v>
      </c>
    </row>
    <row r="153" spans="1:7" x14ac:dyDescent="0.2">
      <c r="A153" t="s">
        <v>333</v>
      </c>
      <c r="B153" t="s">
        <v>247</v>
      </c>
      <c r="C153" s="509" t="s">
        <v>317</v>
      </c>
      <c r="D153" s="509">
        <v>2024</v>
      </c>
      <c r="E153" s="509" t="s">
        <v>312</v>
      </c>
      <c r="F153" s="509" t="s">
        <v>314</v>
      </c>
      <c r="G153">
        <v>3</v>
      </c>
    </row>
    <row r="154" spans="1:7" x14ac:dyDescent="0.2">
      <c r="A154" t="s">
        <v>333</v>
      </c>
      <c r="B154" t="s">
        <v>247</v>
      </c>
      <c r="C154" s="509" t="s">
        <v>317</v>
      </c>
      <c r="D154" s="509">
        <v>2024</v>
      </c>
      <c r="E154" s="509" t="s">
        <v>315</v>
      </c>
      <c r="F154" s="509" t="s">
        <v>313</v>
      </c>
      <c r="G154">
        <v>3</v>
      </c>
    </row>
    <row r="155" spans="1:7" x14ac:dyDescent="0.2">
      <c r="A155" t="s">
        <v>333</v>
      </c>
      <c r="B155" t="s">
        <v>247</v>
      </c>
      <c r="C155" s="509" t="s">
        <v>317</v>
      </c>
      <c r="D155" s="509">
        <v>2024</v>
      </c>
      <c r="E155" s="509" t="s">
        <v>315</v>
      </c>
      <c r="F155" s="509" t="s">
        <v>314</v>
      </c>
      <c r="G155">
        <v>3</v>
      </c>
    </row>
    <row r="156" spans="1:7" x14ac:dyDescent="0.2">
      <c r="A156" t="s">
        <v>333</v>
      </c>
      <c r="B156" t="s">
        <v>247</v>
      </c>
      <c r="C156" s="509" t="s">
        <v>317</v>
      </c>
      <c r="D156" s="509">
        <v>2025</v>
      </c>
      <c r="E156" s="509" t="s">
        <v>316</v>
      </c>
      <c r="F156" s="509" t="s">
        <v>313</v>
      </c>
      <c r="G156">
        <v>2</v>
      </c>
    </row>
    <row r="157" spans="1:7" x14ac:dyDescent="0.2">
      <c r="A157" t="s">
        <v>333</v>
      </c>
      <c r="B157" t="s">
        <v>247</v>
      </c>
      <c r="C157" s="509" t="s">
        <v>317</v>
      </c>
      <c r="D157" s="509">
        <v>2025</v>
      </c>
      <c r="E157" s="509" t="s">
        <v>316</v>
      </c>
      <c r="F157" s="509" t="s">
        <v>314</v>
      </c>
      <c r="G157">
        <v>3</v>
      </c>
    </row>
    <row r="158" spans="1:7" x14ac:dyDescent="0.2">
      <c r="A158" t="s">
        <v>333</v>
      </c>
      <c r="B158" t="s">
        <v>247</v>
      </c>
      <c r="C158" s="509" t="s">
        <v>318</v>
      </c>
      <c r="D158" s="509">
        <v>2024</v>
      </c>
      <c r="E158" s="509" t="s">
        <v>312</v>
      </c>
      <c r="F158" s="509" t="s">
        <v>313</v>
      </c>
      <c r="G158">
        <v>3</v>
      </c>
    </row>
    <row r="159" spans="1:7" x14ac:dyDescent="0.2">
      <c r="A159" t="s">
        <v>333</v>
      </c>
      <c r="B159" t="s">
        <v>247</v>
      </c>
      <c r="C159" s="509" t="s">
        <v>318</v>
      </c>
      <c r="D159" s="509">
        <v>2024</v>
      </c>
      <c r="E159" s="509" t="s">
        <v>312</v>
      </c>
      <c r="F159" s="509" t="s">
        <v>314</v>
      </c>
      <c r="G159">
        <v>3</v>
      </c>
    </row>
    <row r="160" spans="1:7" x14ac:dyDescent="0.2">
      <c r="A160" t="s">
        <v>333</v>
      </c>
      <c r="B160" t="s">
        <v>247</v>
      </c>
      <c r="C160" s="509" t="s">
        <v>318</v>
      </c>
      <c r="D160" s="509">
        <v>2024</v>
      </c>
      <c r="E160" s="509" t="s">
        <v>315</v>
      </c>
      <c r="F160" s="509" t="s">
        <v>313</v>
      </c>
      <c r="G160">
        <v>3</v>
      </c>
    </row>
    <row r="161" spans="1:7" x14ac:dyDescent="0.2">
      <c r="A161" t="s">
        <v>333</v>
      </c>
      <c r="B161" t="s">
        <v>247</v>
      </c>
      <c r="C161" s="509" t="s">
        <v>318</v>
      </c>
      <c r="D161" s="509">
        <v>2024</v>
      </c>
      <c r="E161" s="509" t="s">
        <v>315</v>
      </c>
      <c r="F161" s="509" t="s">
        <v>314</v>
      </c>
      <c r="G161">
        <v>3</v>
      </c>
    </row>
    <row r="162" spans="1:7" x14ac:dyDescent="0.2">
      <c r="A162" t="s">
        <v>333</v>
      </c>
      <c r="B162" t="s">
        <v>247</v>
      </c>
      <c r="C162" s="509" t="s">
        <v>318</v>
      </c>
      <c r="D162" s="509">
        <v>2025</v>
      </c>
      <c r="E162" s="509" t="s">
        <v>316</v>
      </c>
      <c r="F162" s="509" t="s">
        <v>313</v>
      </c>
      <c r="G162">
        <v>3</v>
      </c>
    </row>
    <row r="163" spans="1:7" x14ac:dyDescent="0.2">
      <c r="A163" t="s">
        <v>333</v>
      </c>
      <c r="B163" t="s">
        <v>247</v>
      </c>
      <c r="C163" s="509" t="s">
        <v>318</v>
      </c>
      <c r="D163" s="509">
        <v>2025</v>
      </c>
      <c r="E163" s="509" t="s">
        <v>316</v>
      </c>
      <c r="F163" s="509" t="s">
        <v>314</v>
      </c>
      <c r="G163">
        <v>3</v>
      </c>
    </row>
    <row r="164" spans="1:7" x14ac:dyDescent="0.2">
      <c r="A164" t="s">
        <v>333</v>
      </c>
      <c r="B164" t="s">
        <v>248</v>
      </c>
      <c r="C164" s="509" t="s">
        <v>311</v>
      </c>
      <c r="D164" s="509">
        <v>2024</v>
      </c>
      <c r="E164" s="509" t="s">
        <v>312</v>
      </c>
      <c r="F164" s="509" t="s">
        <v>313</v>
      </c>
      <c r="G164">
        <v>3</v>
      </c>
    </row>
    <row r="165" spans="1:7" x14ac:dyDescent="0.2">
      <c r="A165" t="s">
        <v>333</v>
      </c>
      <c r="B165" t="s">
        <v>248</v>
      </c>
      <c r="C165" s="509" t="s">
        <v>311</v>
      </c>
      <c r="D165" s="509">
        <v>2024</v>
      </c>
      <c r="E165" s="509" t="s">
        <v>312</v>
      </c>
      <c r="F165" s="509" t="s">
        <v>314</v>
      </c>
      <c r="G165">
        <v>3</v>
      </c>
    </row>
    <row r="166" spans="1:7" x14ac:dyDescent="0.2">
      <c r="A166" t="s">
        <v>333</v>
      </c>
      <c r="B166" t="s">
        <v>248</v>
      </c>
      <c r="C166" s="509" t="s">
        <v>311</v>
      </c>
      <c r="D166" s="509">
        <v>2024</v>
      </c>
      <c r="E166" s="509" t="s">
        <v>315</v>
      </c>
      <c r="F166" s="509" t="s">
        <v>313</v>
      </c>
      <c r="G166">
        <v>3</v>
      </c>
    </row>
    <row r="167" spans="1:7" x14ac:dyDescent="0.2">
      <c r="A167" t="s">
        <v>333</v>
      </c>
      <c r="B167" t="s">
        <v>248</v>
      </c>
      <c r="C167" s="509" t="s">
        <v>311</v>
      </c>
      <c r="D167" s="509">
        <v>2024</v>
      </c>
      <c r="E167" s="509" t="s">
        <v>315</v>
      </c>
      <c r="F167" s="509" t="s">
        <v>314</v>
      </c>
      <c r="G167">
        <v>3</v>
      </c>
    </row>
    <row r="168" spans="1:7" x14ac:dyDescent="0.2">
      <c r="A168" t="s">
        <v>333</v>
      </c>
      <c r="B168" t="s">
        <v>248</v>
      </c>
      <c r="C168" s="509" t="s">
        <v>311</v>
      </c>
      <c r="D168" s="509">
        <v>2025</v>
      </c>
      <c r="E168" s="509" t="s">
        <v>316</v>
      </c>
      <c r="F168" s="509" t="s">
        <v>313</v>
      </c>
      <c r="G168">
        <v>3</v>
      </c>
    </row>
    <row r="169" spans="1:7" x14ac:dyDescent="0.2">
      <c r="A169" t="s">
        <v>333</v>
      </c>
      <c r="B169" t="s">
        <v>248</v>
      </c>
      <c r="C169" s="509" t="s">
        <v>311</v>
      </c>
      <c r="D169" s="509">
        <v>2025</v>
      </c>
      <c r="E169" s="509" t="s">
        <v>316</v>
      </c>
      <c r="F169" s="509" t="s">
        <v>314</v>
      </c>
      <c r="G169">
        <v>3</v>
      </c>
    </row>
    <row r="170" spans="1:7" x14ac:dyDescent="0.2">
      <c r="A170" t="s">
        <v>333</v>
      </c>
      <c r="B170" t="s">
        <v>248</v>
      </c>
      <c r="C170" s="509" t="s">
        <v>317</v>
      </c>
      <c r="D170" s="509">
        <v>2024</v>
      </c>
      <c r="E170" s="509" t="s">
        <v>312</v>
      </c>
      <c r="F170" s="509" t="s">
        <v>313</v>
      </c>
      <c r="G170">
        <v>3</v>
      </c>
    </row>
    <row r="171" spans="1:7" x14ac:dyDescent="0.2">
      <c r="A171" t="s">
        <v>333</v>
      </c>
      <c r="B171" t="s">
        <v>248</v>
      </c>
      <c r="C171" s="509" t="s">
        <v>317</v>
      </c>
      <c r="D171" s="509">
        <v>2024</v>
      </c>
      <c r="E171" s="509" t="s">
        <v>312</v>
      </c>
      <c r="F171" s="509" t="s">
        <v>314</v>
      </c>
      <c r="G171">
        <v>3</v>
      </c>
    </row>
    <row r="172" spans="1:7" x14ac:dyDescent="0.2">
      <c r="A172" t="s">
        <v>333</v>
      </c>
      <c r="B172" t="s">
        <v>248</v>
      </c>
      <c r="C172" s="509" t="s">
        <v>317</v>
      </c>
      <c r="D172" s="509">
        <v>2024</v>
      </c>
      <c r="E172" s="509" t="s">
        <v>315</v>
      </c>
      <c r="F172" s="509" t="s">
        <v>313</v>
      </c>
      <c r="G172">
        <v>3</v>
      </c>
    </row>
    <row r="173" spans="1:7" x14ac:dyDescent="0.2">
      <c r="A173" t="s">
        <v>333</v>
      </c>
      <c r="B173" t="s">
        <v>248</v>
      </c>
      <c r="C173" s="509" t="s">
        <v>317</v>
      </c>
      <c r="D173" s="509">
        <v>2024</v>
      </c>
      <c r="E173" s="509" t="s">
        <v>315</v>
      </c>
      <c r="F173" s="509" t="s">
        <v>314</v>
      </c>
      <c r="G173">
        <v>3</v>
      </c>
    </row>
    <row r="174" spans="1:7" x14ac:dyDescent="0.2">
      <c r="A174" t="s">
        <v>333</v>
      </c>
      <c r="B174" t="s">
        <v>248</v>
      </c>
      <c r="C174" s="509" t="s">
        <v>317</v>
      </c>
      <c r="D174" s="509">
        <v>2025</v>
      </c>
      <c r="E174" s="509" t="s">
        <v>316</v>
      </c>
      <c r="F174" s="509" t="s">
        <v>313</v>
      </c>
      <c r="G174">
        <v>3</v>
      </c>
    </row>
    <row r="175" spans="1:7" x14ac:dyDescent="0.2">
      <c r="A175" t="s">
        <v>333</v>
      </c>
      <c r="B175" t="s">
        <v>248</v>
      </c>
      <c r="C175" s="509" t="s">
        <v>317</v>
      </c>
      <c r="D175" s="509">
        <v>2025</v>
      </c>
      <c r="E175" s="509" t="s">
        <v>316</v>
      </c>
      <c r="F175" s="509" t="s">
        <v>314</v>
      </c>
      <c r="G175">
        <v>3</v>
      </c>
    </row>
    <row r="176" spans="1:7" x14ac:dyDescent="0.2">
      <c r="A176" t="s">
        <v>333</v>
      </c>
      <c r="B176" t="s">
        <v>248</v>
      </c>
      <c r="C176" s="509" t="s">
        <v>318</v>
      </c>
      <c r="D176" s="509">
        <v>2024</v>
      </c>
      <c r="E176" s="509" t="s">
        <v>312</v>
      </c>
      <c r="F176" s="509" t="s">
        <v>313</v>
      </c>
      <c r="G176">
        <v>3</v>
      </c>
    </row>
    <row r="177" spans="1:7" x14ac:dyDescent="0.2">
      <c r="A177" t="s">
        <v>333</v>
      </c>
      <c r="B177" t="s">
        <v>248</v>
      </c>
      <c r="C177" s="509" t="s">
        <v>318</v>
      </c>
      <c r="D177" s="509">
        <v>2024</v>
      </c>
      <c r="E177" s="509" t="s">
        <v>312</v>
      </c>
      <c r="F177" s="509" t="s">
        <v>314</v>
      </c>
      <c r="G177">
        <v>3</v>
      </c>
    </row>
    <row r="178" spans="1:7" x14ac:dyDescent="0.2">
      <c r="A178" t="s">
        <v>333</v>
      </c>
      <c r="B178" t="s">
        <v>248</v>
      </c>
      <c r="C178" s="509" t="s">
        <v>318</v>
      </c>
      <c r="D178" s="509">
        <v>2024</v>
      </c>
      <c r="E178" s="509" t="s">
        <v>315</v>
      </c>
      <c r="F178" s="509" t="s">
        <v>313</v>
      </c>
      <c r="G178">
        <v>3</v>
      </c>
    </row>
    <row r="179" spans="1:7" x14ac:dyDescent="0.2">
      <c r="A179" t="s">
        <v>333</v>
      </c>
      <c r="B179" t="s">
        <v>248</v>
      </c>
      <c r="C179" s="509" t="s">
        <v>318</v>
      </c>
      <c r="D179" s="509">
        <v>2024</v>
      </c>
      <c r="E179" s="509" t="s">
        <v>315</v>
      </c>
      <c r="F179" s="509" t="s">
        <v>314</v>
      </c>
      <c r="G179">
        <v>3</v>
      </c>
    </row>
    <row r="180" spans="1:7" x14ac:dyDescent="0.2">
      <c r="A180" t="s">
        <v>333</v>
      </c>
      <c r="B180" t="s">
        <v>248</v>
      </c>
      <c r="C180" s="509" t="s">
        <v>318</v>
      </c>
      <c r="D180" s="509">
        <v>2025</v>
      </c>
      <c r="E180" s="509" t="s">
        <v>316</v>
      </c>
      <c r="F180" s="509" t="s">
        <v>313</v>
      </c>
      <c r="G180">
        <v>3</v>
      </c>
    </row>
    <row r="181" spans="1:7" x14ac:dyDescent="0.2">
      <c r="A181" t="s">
        <v>333</v>
      </c>
      <c r="B181" t="s">
        <v>248</v>
      </c>
      <c r="C181" s="509" t="s">
        <v>318</v>
      </c>
      <c r="D181" s="509">
        <v>2025</v>
      </c>
      <c r="E181" s="509" t="s">
        <v>316</v>
      </c>
      <c r="F181" s="509" t="s">
        <v>314</v>
      </c>
      <c r="G18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X u X W v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N 1 7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5 d a K I p H u A 4 A A A A R A A A A E w A c A E Z v c m 1 1 b G F z L 1 N l Y 3 R p b 2 4 x L m 0 g o h g A K K A U A A A A A A A A A A A A A A A A A A A A A A A A A A A A K 0 5 N L s n M z 1 M I h t C G 1 g B Q S w E C L Q A U A A I A C A D d e 5 d a 9 h Z r c 6 U A A A D 2 A A A A E g A A A A A A A A A A A A A A A A A A A A A A Q 2 9 u Z m l n L 1 B h Y 2 t h Z 2 U u e G 1 s U E s B A i 0 A F A A C A A g A 3 X u X W g / K 6 a u k A A A A 6 Q A A A B M A A A A A A A A A A A A A A A A A 8 Q A A A F t D b 2 5 0 Z W 5 0 X 1 R 5 c G V z X S 5 4 b W x Q S w E C L Q A U A A I A C A D d e 5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w m u J B v v N U G U O V t E m Y J 1 1 w A A A A A C A A A A A A A Q Z g A A A A E A A C A A A A C 9 m y 4 H D M O C G 7 + S X X 6 w m R 6 s U f M k q b O + e Y J p 8 X b 1 g g 0 B T A A A A A A O g A A A A A I A A C A A A A C 6 x h U e P F I a 8 3 S F p p h y w g k F H d 1 Y a V s 8 f 8 O T g j H W e 0 I d R F A A A A D d R Z 0 n X 2 m Q C Z n 6 R S F 3 m H / O O N E 4 t R z G t c + K y A 7 k F q J J 7 c c j 5 L 7 i 4 y d n O i g 3 W r N F u c o 9 4 2 t + z e J L U o X 2 5 9 l K q p b c a u p 8 + s m 3 K z w M e k 7 N 5 I T G n k A A A A C A / N t n o c b Z 1 8 j f P D a R 2 x i 7 R o i j 4 r 9 + 1 K i Y 8 R 0 2 p W y i q i u P S U J A e y P + g t Y g Z o r S d x 0 s L c 8 a x 5 J a F f 1 F P F 5 a W N P p < / D a t a M a s h u p > 
</file>

<file path=customXml/itemProps1.xml><?xml version="1.0" encoding="utf-8"?>
<ds:datastoreItem xmlns:ds="http://schemas.openxmlformats.org/officeDocument/2006/customXml" ds:itemID="{20C7ADAF-BBCC-4506-8702-69C2D5108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MOH DATA COUNTY</vt:lpstr>
      <vt:lpstr>RECAP_TOTALS INDICATORS</vt:lpstr>
      <vt:lpstr>MOH DATA KF NORTH</vt:lpstr>
      <vt:lpstr>MOH DATA KF SUD</vt:lpstr>
      <vt:lpstr>MOH DATA RABAI</vt:lpstr>
      <vt:lpstr>MOH DATA KALOLENI</vt:lpstr>
      <vt:lpstr>MOH DATA GANZE</vt:lpstr>
      <vt:lpstr>Act_Exp REPORTS</vt:lpstr>
      <vt:lpstr>moh_forms_report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Paone</dc:creator>
  <cp:lastModifiedBy>Moses Chapa Kiti</cp:lastModifiedBy>
  <dcterms:created xsi:type="dcterms:W3CDTF">2015-06-05T18:17:20Z</dcterms:created>
  <dcterms:modified xsi:type="dcterms:W3CDTF">2025-05-21T20:20:59Z</dcterms:modified>
</cp:coreProperties>
</file>