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https://d.docs.live.net/ac10015420146cc7/Consultancies/WorldFriends/analysis/website/data/WF/clean/"/>
    </mc:Choice>
  </mc:AlternateContent>
  <xr:revisionPtr revIDLastSave="484" documentId="8_{4D943908-27A4-4D4E-B5D7-CF1F130D3FFC}" xr6:coauthVersionLast="47" xr6:coauthVersionMax="47" xr10:uidLastSave="{AF00833B-F2F1-0642-8EA9-74F39895AEFE}"/>
  <bookViews>
    <workbookView xWindow="28800" yWindow="500" windowWidth="38400" windowHeight="21100" activeTab="3" xr2:uid="{00000000-000D-0000-FFFF-FFFF00000000}"/>
  </bookViews>
  <sheets>
    <sheet name="WF Monitoring Tool" sheetId="1" r:id="rId1"/>
    <sheet name="ganze" sheetId="7" r:id="rId2"/>
    <sheet name="kaloleni" sheetId="6" r:id="rId3"/>
    <sheet name="klf_north" sheetId="3" r:id="rId4"/>
    <sheet name="klf_south" sheetId="4" r:id="rId5"/>
    <sheet name="rabai" sheetId="5" r:id="rId6"/>
    <sheet name="var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6" l="1"/>
  <c r="L6" i="6"/>
  <c r="L7" i="6"/>
  <c r="L10" i="6"/>
  <c r="L14" i="6"/>
  <c r="L15" i="6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F11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Q15" i="6"/>
  <c r="P15" i="6"/>
  <c r="O15" i="6"/>
  <c r="N15" i="6"/>
  <c r="M15" i="6"/>
  <c r="K15" i="6"/>
  <c r="J15" i="6"/>
  <c r="I15" i="6"/>
  <c r="H15" i="6"/>
  <c r="G15" i="6"/>
  <c r="F15" i="6"/>
  <c r="E15" i="6"/>
  <c r="D15" i="6"/>
  <c r="Q14" i="6"/>
  <c r="P14" i="6"/>
  <c r="O14" i="6"/>
  <c r="N14" i="6"/>
  <c r="M14" i="6"/>
  <c r="K14" i="6"/>
  <c r="J14" i="6"/>
  <c r="I14" i="6"/>
  <c r="H14" i="6"/>
  <c r="G14" i="6"/>
  <c r="F14" i="6"/>
  <c r="E14" i="6"/>
  <c r="D14" i="6"/>
  <c r="Q10" i="6"/>
  <c r="P10" i="6"/>
  <c r="O10" i="6"/>
  <c r="N10" i="6"/>
  <c r="M10" i="6"/>
  <c r="K10" i="6"/>
  <c r="J10" i="6"/>
  <c r="I10" i="6"/>
  <c r="H10" i="6"/>
  <c r="G10" i="6"/>
  <c r="F10" i="6"/>
  <c r="E10" i="6"/>
  <c r="D10" i="6"/>
  <c r="D9" i="6"/>
  <c r="Q7" i="6"/>
  <c r="P7" i="6"/>
  <c r="O7" i="6"/>
  <c r="N7" i="6"/>
  <c r="M7" i="6"/>
  <c r="K7" i="6"/>
  <c r="J7" i="6"/>
  <c r="I7" i="6"/>
  <c r="H7" i="6"/>
  <c r="G7" i="6"/>
  <c r="F7" i="6"/>
  <c r="E7" i="6"/>
  <c r="D7" i="6"/>
  <c r="Q6" i="6"/>
  <c r="P6" i="6"/>
  <c r="O6" i="6"/>
  <c r="N6" i="6"/>
  <c r="M6" i="6"/>
  <c r="K6" i="6"/>
  <c r="J6" i="6"/>
  <c r="I6" i="6"/>
  <c r="H6" i="6"/>
  <c r="G6" i="6"/>
  <c r="F6" i="6"/>
  <c r="E6" i="6"/>
  <c r="D6" i="6"/>
  <c r="Q2" i="6"/>
  <c r="P2" i="6"/>
  <c r="O2" i="6"/>
  <c r="N2" i="6"/>
  <c r="M2" i="6"/>
  <c r="K2" i="6"/>
  <c r="J2" i="6"/>
  <c r="I2" i="6"/>
  <c r="H2" i="6"/>
  <c r="G2" i="6"/>
  <c r="F2" i="6"/>
  <c r="E2" i="6"/>
  <c r="D2" i="6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J95" i="1" a="1"/>
  <c r="J95" i="1" s="1"/>
  <c r="J94" i="1" a="1"/>
  <c r="J94" i="1"/>
  <c r="J93" i="1" a="1"/>
  <c r="J93" i="1" s="1"/>
  <c r="J92" i="1" a="1"/>
  <c r="J92" i="1" s="1"/>
  <c r="J91" i="1" a="1"/>
  <c r="J91" i="1" s="1"/>
  <c r="H95" i="1" a="1"/>
  <c r="H95" i="1" s="1"/>
  <c r="H94" i="1" a="1"/>
  <c r="H94" i="1"/>
  <c r="H93" i="1" a="1"/>
  <c r="H93" i="1" s="1"/>
  <c r="H92" i="1" a="1"/>
  <c r="H92" i="1" s="1"/>
  <c r="H91" i="1" a="1"/>
  <c r="H91" i="1" s="1"/>
  <c r="B95" i="1" a="1"/>
  <c r="B95" i="1" s="1"/>
  <c r="B94" i="1" a="1"/>
  <c r="B94" i="1"/>
  <c r="B93" i="1" a="1"/>
  <c r="B93" i="1"/>
  <c r="B92" i="1" a="1"/>
  <c r="B92" i="1" s="1"/>
  <c r="B91" i="1" a="1"/>
  <c r="B91" i="1" s="1"/>
  <c r="AD82" i="1"/>
  <c r="AD81" i="1"/>
  <c r="AD77" i="1"/>
  <c r="AD74" i="1"/>
  <c r="AD73" i="1"/>
  <c r="AD69" i="1"/>
  <c r="AD66" i="1"/>
  <c r="AD65" i="1"/>
  <c r="AD61" i="1"/>
  <c r="AD58" i="1"/>
  <c r="AD57" i="1"/>
  <c r="AD53" i="1"/>
  <c r="AD50" i="1"/>
  <c r="AD49" i="1"/>
  <c r="AD45" i="1"/>
  <c r="AD42" i="1"/>
  <c r="AD41" i="1"/>
  <c r="AD37" i="1"/>
  <c r="AD34" i="1"/>
  <c r="AD33" i="1"/>
  <c r="AD29" i="1"/>
  <c r="AD26" i="1"/>
  <c r="AD25" i="1"/>
  <c r="AD21" i="1"/>
  <c r="AD18" i="1"/>
  <c r="AD17" i="1"/>
  <c r="AD13" i="1"/>
  <c r="AD10" i="1"/>
  <c r="AD9" i="1"/>
  <c r="AD5" i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L101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AB74" i="1"/>
  <c r="AB73" i="1"/>
  <c r="AB69" i="1"/>
  <c r="AB26" i="1"/>
  <c r="AB25" i="1"/>
  <c r="AB21" i="1"/>
  <c r="AB18" i="1"/>
  <c r="AB17" i="1"/>
  <c r="AB13" i="1"/>
  <c r="AB10" i="1"/>
  <c r="AB9" i="1"/>
  <c r="AB5" i="1"/>
  <c r="AB82" i="1"/>
  <c r="AB81" i="1"/>
  <c r="AB77" i="1"/>
  <c r="AB66" i="1"/>
  <c r="AB65" i="1"/>
  <c r="AB61" i="1"/>
  <c r="AB58" i="1"/>
  <c r="AB57" i="1"/>
  <c r="AB53" i="1"/>
  <c r="AB50" i="1"/>
  <c r="AB49" i="1"/>
  <c r="AB45" i="1"/>
  <c r="AB42" i="1"/>
  <c r="AB41" i="1"/>
  <c r="AB37" i="1"/>
  <c r="AB34" i="1"/>
  <c r="AB33" i="1"/>
  <c r="AB29" i="1"/>
  <c r="Z82" i="1"/>
  <c r="Z81" i="1"/>
  <c r="Z77" i="1"/>
  <c r="Z74" i="1"/>
  <c r="Z73" i="1"/>
  <c r="Z69" i="1"/>
  <c r="Z66" i="1"/>
  <c r="Z65" i="1"/>
  <c r="Z61" i="1"/>
  <c r="Z58" i="1"/>
  <c r="Z57" i="1"/>
  <c r="Z53" i="1"/>
  <c r="Z50" i="1"/>
  <c r="Z49" i="1"/>
  <c r="Z45" i="1"/>
  <c r="Z42" i="1"/>
  <c r="Z41" i="1"/>
  <c r="Z37" i="1"/>
  <c r="Z34" i="1"/>
  <c r="Z33" i="1"/>
  <c r="Z29" i="1"/>
  <c r="Z26" i="1"/>
  <c r="Z25" i="1"/>
  <c r="Z21" i="1"/>
  <c r="Z18" i="1"/>
  <c r="Z17" i="1"/>
  <c r="Z13" i="1"/>
  <c r="Z10" i="1"/>
  <c r="Z9" i="1"/>
  <c r="Z5" i="1"/>
  <c r="L102" i="1" l="1"/>
  <c r="H106" i="1"/>
  <c r="M101" i="1"/>
  <c r="J106" i="1"/>
  <c r="M102" i="1"/>
  <c r="L103" i="1"/>
  <c r="M103" i="1"/>
  <c r="L104" i="1"/>
  <c r="M104" i="1"/>
  <c r="L105" i="1"/>
  <c r="B106" i="1"/>
  <c r="M105" i="1"/>
  <c r="X82" i="1"/>
  <c r="X81" i="1"/>
  <c r="X77" i="1"/>
  <c r="X74" i="1"/>
  <c r="X73" i="1"/>
  <c r="X69" i="1"/>
  <c r="X66" i="1"/>
  <c r="X65" i="1"/>
  <c r="X61" i="1"/>
  <c r="X58" i="1"/>
  <c r="X57" i="1"/>
  <c r="X53" i="1"/>
  <c r="X50" i="1"/>
  <c r="X49" i="1"/>
  <c r="X45" i="1"/>
  <c r="X42" i="1"/>
  <c r="X41" i="1"/>
  <c r="X37" i="1"/>
  <c r="X34" i="1"/>
  <c r="X33" i="1"/>
  <c r="X29" i="1"/>
  <c r="X26" i="1"/>
  <c r="X25" i="1"/>
  <c r="X21" i="1"/>
  <c r="X18" i="1"/>
  <c r="X17" i="1"/>
  <c r="M106" i="1" l="1"/>
  <c r="L106" i="1"/>
  <c r="X13" i="1"/>
  <c r="X10" i="1"/>
  <c r="X9" i="1"/>
  <c r="X5" i="1"/>
  <c r="V82" i="1"/>
  <c r="V81" i="1"/>
  <c r="V77" i="1"/>
  <c r="V74" i="1"/>
  <c r="V73" i="1"/>
  <c r="V69" i="1"/>
  <c r="V5" i="1"/>
  <c r="V9" i="1"/>
  <c r="V10" i="1"/>
  <c r="V13" i="1"/>
  <c r="V17" i="1"/>
  <c r="V18" i="1"/>
  <c r="V21" i="1"/>
  <c r="V25" i="1"/>
  <c r="V26" i="1"/>
  <c r="V29" i="1"/>
  <c r="V33" i="1"/>
  <c r="V34" i="1"/>
  <c r="V37" i="1"/>
  <c r="V41" i="1"/>
  <c r="V42" i="1"/>
  <c r="V45" i="1"/>
  <c r="V49" i="1"/>
  <c r="V50" i="1"/>
  <c r="V53" i="1"/>
  <c r="V57" i="1"/>
  <c r="V58" i="1"/>
  <c r="V61" i="1"/>
  <c r="V65" i="1"/>
  <c r="V66" i="1"/>
  <c r="T82" i="1" l="1"/>
  <c r="T81" i="1"/>
  <c r="T77" i="1"/>
  <c r="T74" i="1"/>
  <c r="T73" i="1"/>
  <c r="T69" i="1"/>
  <c r="T66" i="1"/>
  <c r="T65" i="1"/>
  <c r="T61" i="1"/>
  <c r="T58" i="1"/>
  <c r="T57" i="1"/>
  <c r="T53" i="1"/>
  <c r="T50" i="1"/>
  <c r="T49" i="1"/>
  <c r="T45" i="1"/>
  <c r="T42" i="1"/>
  <c r="T41" i="1"/>
  <c r="T37" i="1"/>
  <c r="T34" i="1"/>
  <c r="T33" i="1"/>
  <c r="T29" i="1"/>
  <c r="T26" i="1"/>
  <c r="T25" i="1"/>
  <c r="T21" i="1"/>
  <c r="T18" i="1"/>
  <c r="T17" i="1"/>
  <c r="T13" i="1"/>
  <c r="T10" i="1"/>
  <c r="T9" i="1"/>
  <c r="T5" i="1"/>
  <c r="R82" i="1" l="1"/>
  <c r="R81" i="1"/>
  <c r="R77" i="1"/>
  <c r="R74" i="1"/>
  <c r="R73" i="1"/>
  <c r="R69" i="1"/>
  <c r="R66" i="1"/>
  <c r="R65" i="1"/>
  <c r="R61" i="1"/>
  <c r="R58" i="1"/>
  <c r="R57" i="1"/>
  <c r="R53" i="1"/>
  <c r="R50" i="1"/>
  <c r="R49" i="1"/>
  <c r="R45" i="1"/>
  <c r="R42" i="1"/>
  <c r="R41" i="1"/>
  <c r="R37" i="1"/>
  <c r="R34" i="1"/>
  <c r="R33" i="1"/>
  <c r="R29" i="1"/>
  <c r="R26" i="1"/>
  <c r="R25" i="1"/>
  <c r="R21" i="1"/>
  <c r="R18" i="1"/>
  <c r="R17" i="1"/>
  <c r="R13" i="1"/>
  <c r="R10" i="1"/>
  <c r="R9" i="1"/>
  <c r="R5" i="1"/>
  <c r="P82" i="1" l="1"/>
  <c r="P81" i="1"/>
  <c r="P77" i="1"/>
  <c r="P74" i="1"/>
  <c r="P73" i="1"/>
  <c r="P69" i="1"/>
  <c r="P66" i="1"/>
  <c r="P65" i="1"/>
  <c r="P61" i="1"/>
  <c r="P57" i="1"/>
  <c r="P58" i="1"/>
  <c r="P53" i="1"/>
  <c r="P50" i="1"/>
  <c r="P49" i="1"/>
  <c r="P45" i="1"/>
  <c r="P42" i="1"/>
  <c r="P41" i="1"/>
  <c r="P37" i="1"/>
  <c r="P34" i="1"/>
  <c r="P33" i="1"/>
  <c r="P29" i="1"/>
  <c r="P26" i="1"/>
  <c r="P25" i="1"/>
  <c r="P21" i="1"/>
  <c r="P18" i="1"/>
  <c r="P17" i="1"/>
  <c r="P13" i="1"/>
  <c r="P10" i="1"/>
  <c r="P9" i="1"/>
  <c r="P5" i="1"/>
  <c r="N42" i="1"/>
  <c r="N41" i="1"/>
  <c r="N37" i="1"/>
  <c r="N50" i="1"/>
  <c r="N49" i="1"/>
  <c r="N45" i="1"/>
  <c r="N66" i="1"/>
  <c r="N65" i="1"/>
  <c r="N61" i="1"/>
  <c r="N58" i="1"/>
  <c r="N57" i="1"/>
  <c r="N53" i="1"/>
  <c r="N74" i="1"/>
  <c r="N73" i="1"/>
  <c r="N69" i="1"/>
  <c r="N82" i="1"/>
  <c r="N81" i="1"/>
  <c r="N77" i="1"/>
  <c r="N10" i="1"/>
  <c r="N9" i="1"/>
  <c r="N5" i="1"/>
  <c r="N18" i="1"/>
  <c r="N17" i="1"/>
  <c r="N13" i="1"/>
  <c r="N34" i="1"/>
  <c r="N33" i="1"/>
  <c r="N29" i="1"/>
  <c r="N26" i="1"/>
  <c r="N25" i="1"/>
  <c r="N21" i="1"/>
  <c r="L82" i="1"/>
  <c r="L81" i="1"/>
  <c r="L77" i="1"/>
  <c r="L74" i="1"/>
  <c r="L73" i="1"/>
  <c r="L69" i="1"/>
  <c r="L66" i="1"/>
  <c r="L65" i="1"/>
  <c r="L61" i="1"/>
  <c r="L58" i="1"/>
  <c r="L57" i="1"/>
  <c r="L53" i="1"/>
  <c r="L50" i="1"/>
  <c r="L49" i="1"/>
  <c r="L45" i="1"/>
  <c r="D60" i="1"/>
  <c r="J58" i="1"/>
  <c r="H58" i="1"/>
  <c r="F58" i="1"/>
  <c r="D58" i="1"/>
  <c r="J57" i="1"/>
  <c r="H57" i="1"/>
  <c r="F57" i="1"/>
  <c r="D57" i="1"/>
  <c r="J53" i="1"/>
  <c r="H53" i="1"/>
  <c r="F53" i="1"/>
  <c r="D53" i="1"/>
  <c r="J50" i="1"/>
  <c r="H50" i="1"/>
  <c r="F50" i="1"/>
  <c r="D50" i="1"/>
  <c r="J49" i="1"/>
  <c r="H49" i="1"/>
  <c r="F49" i="1"/>
  <c r="D49" i="1"/>
  <c r="H46" i="1"/>
  <c r="J45" i="1"/>
  <c r="H45" i="1"/>
  <c r="F45" i="1"/>
  <c r="D45" i="1"/>
  <c r="L42" i="1"/>
  <c r="L41" i="1"/>
  <c r="L37" i="1"/>
  <c r="L34" i="1"/>
  <c r="L33" i="1"/>
  <c r="L29" i="1"/>
  <c r="L26" i="1"/>
  <c r="L25" i="1"/>
  <c r="L21" i="1"/>
  <c r="L18" i="1"/>
  <c r="L17" i="1"/>
  <c r="L13" i="1"/>
  <c r="L10" i="1"/>
  <c r="L9" i="1"/>
  <c r="L5" i="1"/>
  <c r="J10" i="1"/>
  <c r="J9" i="1"/>
  <c r="J5" i="1"/>
  <c r="J18" i="1"/>
  <c r="J17" i="1"/>
  <c r="J13" i="1"/>
  <c r="J82" i="1"/>
  <c r="J81" i="1"/>
  <c r="J77" i="1"/>
  <c r="J74" i="1"/>
  <c r="J73" i="1"/>
  <c r="J69" i="1"/>
  <c r="J34" i="1"/>
  <c r="J33" i="1"/>
  <c r="J29" i="1"/>
  <c r="J26" i="1"/>
  <c r="J25" i="1"/>
  <c r="J21" i="1"/>
  <c r="J66" i="1"/>
  <c r="J65" i="1"/>
  <c r="J61" i="1"/>
  <c r="J42" i="1"/>
  <c r="J41" i="1"/>
  <c r="J37" i="1"/>
  <c r="H82" i="1"/>
  <c r="H81" i="1"/>
  <c r="H77" i="1"/>
  <c r="H74" i="1"/>
  <c r="H73" i="1"/>
  <c r="H69" i="1"/>
  <c r="H66" i="1"/>
  <c r="H65" i="1"/>
  <c r="H61" i="1"/>
  <c r="H42" i="1"/>
  <c r="H41" i="1"/>
  <c r="H37" i="1"/>
  <c r="H34" i="1"/>
  <c r="H33" i="1"/>
  <c r="H29" i="1"/>
  <c r="H26" i="1"/>
  <c r="H25" i="1"/>
  <c r="H21" i="1"/>
  <c r="H18" i="1"/>
  <c r="H17" i="1"/>
  <c r="H13" i="1"/>
  <c r="H12" i="1"/>
  <c r="H10" i="1"/>
  <c r="H9" i="1"/>
  <c r="H5" i="1"/>
  <c r="F74" i="1"/>
  <c r="F73" i="1"/>
  <c r="F69" i="1"/>
  <c r="F82" i="1"/>
  <c r="F81" i="1"/>
  <c r="F77" i="1"/>
  <c r="F66" i="1"/>
  <c r="F65" i="1"/>
  <c r="F61" i="1"/>
  <c r="F42" i="1"/>
  <c r="F41" i="1"/>
  <c r="F37" i="1"/>
  <c r="F34" i="1"/>
  <c r="F33" i="1"/>
  <c r="F29" i="1"/>
  <c r="F26" i="1"/>
  <c r="F25" i="1"/>
  <c r="F21" i="1"/>
  <c r="F18" i="1"/>
  <c r="F17" i="1"/>
  <c r="F13" i="1"/>
  <c r="F10" i="1"/>
  <c r="F9" i="1"/>
  <c r="F5" i="1"/>
  <c r="D34" i="1"/>
  <c r="D33" i="1"/>
  <c r="D29" i="1"/>
  <c r="D26" i="1"/>
  <c r="D25" i="1"/>
  <c r="D21" i="1"/>
  <c r="D18" i="1"/>
  <c r="D17" i="1"/>
  <c r="D13" i="1"/>
  <c r="D10" i="1"/>
  <c r="D9" i="1"/>
  <c r="D5" i="1"/>
  <c r="D82" i="1"/>
  <c r="D81" i="1"/>
  <c r="D77" i="1"/>
  <c r="D74" i="1"/>
  <c r="D73" i="1"/>
  <c r="D69" i="1"/>
  <c r="D44" i="1"/>
  <c r="D42" i="1"/>
  <c r="D41" i="1"/>
  <c r="D37" i="1"/>
  <c r="D66" i="1"/>
  <c r="D65" i="1"/>
  <c r="D61" i="1"/>
  <c r="L91" i="1" l="1"/>
  <c r="L92" i="1"/>
  <c r="M91" i="1"/>
  <c r="L93" i="1"/>
  <c r="M93" i="1"/>
  <c r="M95" i="1"/>
  <c r="L95" i="1"/>
  <c r="L94" i="1"/>
  <c r="M94" i="1"/>
  <c r="H96" i="1"/>
  <c r="M92" i="1" l="1"/>
  <c r="J96" i="1"/>
  <c r="B96" i="1"/>
  <c r="L96" i="1" s="1"/>
  <c r="M9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<sst xmlns="http://schemas.openxmlformats.org/spreadsheetml/2006/main" count="400" uniqueCount="48">
  <si>
    <t>People sensitised</t>
  </si>
  <si>
    <t>RDT Tests done</t>
  </si>
  <si>
    <t>AL Treatment</t>
  </si>
  <si>
    <t>Malaria cases follow up</t>
  </si>
  <si>
    <t>Number of people who slept under a net the night before</t>
  </si>
  <si>
    <t>Number of people who have at least one net in their household</t>
  </si>
  <si>
    <t>Report on malaria DAR sent to CHEW</t>
  </si>
  <si>
    <t>Report on malaria MOH100 sent to Dispensary</t>
  </si>
  <si>
    <t>Sub-County</t>
  </si>
  <si>
    <t>Dispensary</t>
  </si>
  <si>
    <t>KF North</t>
  </si>
  <si>
    <t>Kiwandani</t>
  </si>
  <si>
    <t>Kadzinuni</t>
  </si>
  <si>
    <t>KF South</t>
  </si>
  <si>
    <t>Pingilikani</t>
  </si>
  <si>
    <t>Tunzanani</t>
  </si>
  <si>
    <t>Rabai</t>
  </si>
  <si>
    <t>Lenga</t>
  </si>
  <si>
    <t>Mgamboni</t>
  </si>
  <si>
    <t>Kaloleni</t>
  </si>
  <si>
    <t>Makanzani</t>
  </si>
  <si>
    <t>Kinarani</t>
  </si>
  <si>
    <t>Ganze</t>
  </si>
  <si>
    <t>Ganze H/C</t>
  </si>
  <si>
    <t>Jaribuni</t>
  </si>
  <si>
    <t>WF Tool</t>
  </si>
  <si>
    <t>Data</t>
  </si>
  <si>
    <t>RDT Done</t>
  </si>
  <si>
    <t>AL treatments</t>
  </si>
  <si>
    <t>malaria follow up</t>
  </si>
  <si>
    <t>TOTAL</t>
  </si>
  <si>
    <t>% people under a net</t>
  </si>
  <si>
    <t>% people with a net in household</t>
  </si>
  <si>
    <t>People Sensitised 
(from september 2023 to september 2024)</t>
  </si>
  <si>
    <t>People Sensitised 
(from september 2023 to nov 2024)</t>
  </si>
  <si>
    <t>var_name</t>
  </si>
  <si>
    <t>n_sensitized</t>
  </si>
  <si>
    <t>n_rdt</t>
  </si>
  <si>
    <t>n_treated</t>
  </si>
  <si>
    <t>n_malaria_followed</t>
  </si>
  <si>
    <t>n_sleep_net</t>
  </si>
  <si>
    <t>n_have_net</t>
  </si>
  <si>
    <t>data_name</t>
  </si>
  <si>
    <t>n_reports_chew</t>
  </si>
  <si>
    <t>n_reports_ disp</t>
  </si>
  <si>
    <t>sub_county</t>
  </si>
  <si>
    <t>dispensary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</si>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</sst>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0" xfId="1" applyFont="1"/>
    <xf numFmtId="164" fontId="0" fillId="0" borderId="1" xfId="2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2" xfId="0" applyBorder="1" applyAlignment="1">
      <alignment wrapText="1"/>
    </xf>
    <xf numFmtId="0" fontId="0" fillId="3" borderId="17" xfId="0" applyFill="1" applyBorder="1"/>
    <xf numFmtId="0" fontId="0" fillId="0" borderId="19" xfId="0" applyBorder="1" applyAlignment="1">
      <alignment wrapText="1"/>
    </xf>
    <xf numFmtId="0" fontId="0" fillId="3" borderId="20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4" xfId="0" applyFill="1" applyBorder="1"/>
    <xf numFmtId="0" fontId="0" fillId="3" borderId="21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" fillId="0" borderId="0" xfId="0" applyFont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17" fontId="1" fillId="0" borderId="0" xfId="0" applyNumberFormat="1" applyFont="1"/>
    <xf numFmtId="17" fontId="1" fillId="0" borderId="1" xfId="0" applyNumberFormat="1" applyFont="1" applyBorder="1"/>
    <xf numFmtId="17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/>
    <xf numFmtId="0" fontId="0" fillId="2" borderId="1" xfId="0" applyFill="1" applyBorder="1"/>
    <xf numFmtId="17" fontId="1" fillId="0" borderId="3" xfId="0" applyNumberFormat="1" applyFont="1" applyBorder="1"/>
    <xf numFmtId="164" fontId="1" fillId="0" borderId="1" xfId="2" applyNumberFormat="1" applyFont="1" applyBorder="1" applyAlignment="1">
      <alignment horizontal="center"/>
    </xf>
    <xf numFmtId="164" fontId="0" fillId="0" borderId="3" xfId="2" applyNumberFormat="1" applyFont="1" applyBorder="1" applyAlignment="1">
      <alignment horizontal="center"/>
    </xf>
    <xf numFmtId="164" fontId="0" fillId="0" borderId="4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7" fontId="1" fillId="0" borderId="28" xfId="0" applyNumberFormat="1" applyFont="1" applyBorder="1" applyAlignment="1">
      <alignment horizontal="center"/>
    </xf>
    <xf numFmtId="17" fontId="1" fillId="0" borderId="29" xfId="0" applyNumberFormat="1" applyFont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" fontId="1" fillId="0" borderId="27" xfId="0" applyNumberFormat="1" applyFont="1" applyBorder="1" applyAlignment="1">
      <alignment horizontal="center"/>
    </xf>
    <xf numFmtId="17" fontId="1" fillId="0" borderId="2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7" fontId="1" fillId="0" borderId="23" xfId="0" applyNumberFormat="1" applyFont="1" applyBorder="1" applyAlignment="1">
      <alignment horizontal="center"/>
    </xf>
    <xf numFmtId="0" fontId="0" fillId="3" borderId="25" xfId="0" applyFill="1" applyBorder="1" applyAlignment="1">
      <alignment horizontal="center"/>
    </xf>
    <xf numFmtId="17" fontId="1" fillId="0" borderId="1" xfId="0" applyNumberFormat="1" applyFont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106"/>
  <sheetViews>
    <sheetView zoomScale="110" zoomScaleNormal="110" workbookViewId="0">
      <selection activeCell="C15" sqref="C15"/>
    </sheetView>
  </sheetViews>
  <sheetFormatPr baseColWidth="10" defaultColWidth="8.83203125" defaultRowHeight="15" x14ac:dyDescent="0.2"/>
  <cols>
    <col min="2" max="2" width="10.5" bestFit="1" customWidth="1"/>
    <col min="3" max="3" width="57" customWidth="1"/>
    <col min="4" max="11" width="8.83203125" customWidth="1"/>
    <col min="12" max="12" width="11.1640625" customWidth="1"/>
    <col min="13" max="17" width="8.83203125" customWidth="1"/>
    <col min="18" max="18" width="11.83203125" customWidth="1"/>
    <col min="19" max="19" width="11.6640625" customWidth="1"/>
    <col min="20" max="20" width="12.83203125" customWidth="1"/>
    <col min="21" max="21" width="12.6640625" customWidth="1"/>
    <col min="22" max="29" width="8.83203125" customWidth="1"/>
  </cols>
  <sheetData>
    <row r="3" spans="1:45" ht="16" thickBot="1" x14ac:dyDescent="0.25">
      <c r="A3" s="69" t="s">
        <v>25</v>
      </c>
      <c r="B3" s="70"/>
      <c r="C3" s="70"/>
      <c r="D3" s="70"/>
      <c r="E3" s="70"/>
      <c r="F3" s="70"/>
      <c r="G3" s="70"/>
      <c r="H3" s="70"/>
      <c r="I3" s="70"/>
      <c r="J3" s="70"/>
    </row>
    <row r="4" spans="1:45" ht="17" thickTop="1" thickBot="1" x14ac:dyDescent="0.25">
      <c r="A4" s="1" t="s">
        <v>8</v>
      </c>
      <c r="B4" s="6" t="s">
        <v>9</v>
      </c>
      <c r="C4" s="6" t="s">
        <v>26</v>
      </c>
      <c r="D4" s="67">
        <v>45170</v>
      </c>
      <c r="E4" s="68"/>
      <c r="F4" s="67">
        <v>45200</v>
      </c>
      <c r="G4" s="68"/>
      <c r="H4" s="67">
        <v>45231</v>
      </c>
      <c r="I4" s="68"/>
      <c r="J4" s="67">
        <v>45261</v>
      </c>
      <c r="K4" s="68"/>
      <c r="L4" s="67">
        <v>45292</v>
      </c>
      <c r="M4" s="68"/>
      <c r="N4" s="67">
        <v>45323</v>
      </c>
      <c r="O4" s="68"/>
      <c r="P4" s="67">
        <v>45352</v>
      </c>
      <c r="Q4" s="68"/>
      <c r="R4" s="52">
        <v>45383</v>
      </c>
      <c r="S4" s="53"/>
      <c r="T4" s="52">
        <v>45413</v>
      </c>
      <c r="U4" s="53"/>
      <c r="V4" s="52">
        <v>45444</v>
      </c>
      <c r="W4" s="53"/>
      <c r="X4" s="52">
        <v>45474</v>
      </c>
      <c r="Y4" s="53"/>
      <c r="Z4" s="52">
        <v>45505</v>
      </c>
      <c r="AA4" s="53"/>
      <c r="AB4" s="52">
        <v>45536</v>
      </c>
      <c r="AC4" s="53"/>
      <c r="AD4" s="67">
        <v>45566</v>
      </c>
      <c r="AE4" s="68"/>
      <c r="AF4" s="71">
        <v>45597</v>
      </c>
      <c r="AG4" s="68"/>
      <c r="AH4" s="71">
        <v>45627</v>
      </c>
      <c r="AI4" s="68"/>
      <c r="AJ4" s="71">
        <v>45658</v>
      </c>
      <c r="AK4" s="68"/>
      <c r="AL4" s="71">
        <v>45689</v>
      </c>
      <c r="AM4" s="68"/>
      <c r="AN4" s="71">
        <v>45717</v>
      </c>
      <c r="AO4" s="68"/>
      <c r="AP4" s="71">
        <v>45748</v>
      </c>
      <c r="AQ4" s="68"/>
      <c r="AR4" s="71">
        <v>45778</v>
      </c>
      <c r="AS4" s="68"/>
    </row>
    <row r="5" spans="1:45" ht="17" thickTop="1" x14ac:dyDescent="0.2">
      <c r="A5" s="56" t="s">
        <v>10</v>
      </c>
      <c r="B5" s="57" t="s">
        <v>11</v>
      </c>
      <c r="C5" s="7" t="s">
        <v>0</v>
      </c>
      <c r="D5" s="60">
        <f>60+120+64+130+150+138+280+143+140+128</f>
        <v>1353</v>
      </c>
      <c r="E5" s="61"/>
      <c r="F5" s="60">
        <f>157+200+140+182+160+180+107+230+76</f>
        <v>1432</v>
      </c>
      <c r="G5" s="61"/>
      <c r="H5" s="60">
        <f>160+259+165+180+180+150+70+120+157+100</f>
        <v>1541</v>
      </c>
      <c r="I5" s="61"/>
      <c r="J5" s="60">
        <f>120+82+180+168+139+260+110+150+100+80</f>
        <v>1389</v>
      </c>
      <c r="K5" s="61"/>
      <c r="L5" s="60">
        <f>86+300+180+160+130+134+105+120+182+200</f>
        <v>1597</v>
      </c>
      <c r="M5" s="61"/>
      <c r="N5" s="60">
        <f>130+73+180+120+101+200+180+153+110+193</f>
        <v>1440</v>
      </c>
      <c r="O5" s="61"/>
      <c r="P5" s="60">
        <f>328+120+179+200+112+180+150+160+200+243</f>
        <v>1872</v>
      </c>
      <c r="Q5" s="61"/>
      <c r="R5" s="50">
        <f>976+504+200+200+135+212+200+150+160+193</f>
        <v>2930</v>
      </c>
      <c r="S5" s="51"/>
      <c r="T5" s="50">
        <f>96+95+186+200+143+218+150+180+200+122</f>
        <v>1590</v>
      </c>
      <c r="U5" s="51"/>
      <c r="V5" s="50">
        <f>96+95+186+200+143+218+150+180+200+122</f>
        <v>1590</v>
      </c>
      <c r="W5" s="51"/>
      <c r="X5" s="50">
        <f>1023+480+200+300+134+151+157+180+157</f>
        <v>2782</v>
      </c>
      <c r="Y5" s="51"/>
      <c r="Z5" s="50">
        <f>205+200+119+160+261+160+180+267</f>
        <v>1552</v>
      </c>
      <c r="AA5" s="51"/>
      <c r="AB5" s="50">
        <f>215+279+282+250+120+126+240+145+180+138</f>
        <v>1975</v>
      </c>
      <c r="AC5" s="51"/>
      <c r="AD5" s="60">
        <f>362+299+300+113+218+79+150+200+78</f>
        <v>1799</v>
      </c>
      <c r="AE5" s="61"/>
      <c r="AF5" s="72"/>
      <c r="AG5" s="61"/>
      <c r="AH5" s="72"/>
      <c r="AI5" s="61"/>
      <c r="AJ5" s="72"/>
      <c r="AK5" s="61"/>
      <c r="AL5" s="72"/>
      <c r="AM5" s="61"/>
      <c r="AN5" s="72"/>
      <c r="AO5" s="61"/>
      <c r="AP5" s="72"/>
      <c r="AQ5" s="61"/>
      <c r="AR5" s="72"/>
      <c r="AS5" s="61"/>
    </row>
    <row r="6" spans="1:45" ht="16" x14ac:dyDescent="0.2">
      <c r="A6" s="56"/>
      <c r="B6" s="58"/>
      <c r="C6" s="2" t="s">
        <v>1</v>
      </c>
      <c r="D6" s="48">
        <v>0</v>
      </c>
      <c r="E6" s="49"/>
      <c r="F6" s="48">
        <v>0</v>
      </c>
      <c r="G6" s="49"/>
      <c r="H6" s="48">
        <v>0</v>
      </c>
      <c r="I6" s="49"/>
      <c r="J6" s="48">
        <v>0</v>
      </c>
      <c r="K6" s="49"/>
      <c r="L6" s="48">
        <v>0</v>
      </c>
      <c r="M6" s="49"/>
      <c r="N6" s="48">
        <v>0</v>
      </c>
      <c r="O6" s="49"/>
      <c r="P6" s="48">
        <v>0</v>
      </c>
      <c r="Q6" s="49"/>
      <c r="R6" s="54">
        <v>10</v>
      </c>
      <c r="S6" s="55"/>
      <c r="T6" s="54">
        <v>42</v>
      </c>
      <c r="U6" s="55"/>
      <c r="V6" s="46">
        <v>0</v>
      </c>
      <c r="W6" s="47"/>
      <c r="X6" s="46">
        <v>0</v>
      </c>
      <c r="Y6" s="47"/>
      <c r="Z6" s="46">
        <v>0</v>
      </c>
      <c r="AA6" s="47"/>
      <c r="AB6" s="46">
        <v>0</v>
      </c>
      <c r="AC6" s="47"/>
      <c r="AD6" s="48">
        <v>0</v>
      </c>
      <c r="AE6" s="49"/>
      <c r="AF6" s="62"/>
      <c r="AG6" s="49"/>
      <c r="AH6" s="62"/>
      <c r="AI6" s="49"/>
      <c r="AJ6" s="62"/>
      <c r="AK6" s="49"/>
      <c r="AL6" s="62"/>
      <c r="AM6" s="49"/>
      <c r="AN6" s="62"/>
      <c r="AO6" s="49"/>
      <c r="AP6" s="62"/>
      <c r="AQ6" s="49"/>
      <c r="AR6" s="62"/>
      <c r="AS6" s="49"/>
    </row>
    <row r="7" spans="1:45" ht="16" x14ac:dyDescent="0.2">
      <c r="A7" s="56"/>
      <c r="B7" s="58"/>
      <c r="C7" s="2" t="s">
        <v>2</v>
      </c>
      <c r="D7" s="48">
        <v>0</v>
      </c>
      <c r="E7" s="49"/>
      <c r="F7" s="48">
        <v>0</v>
      </c>
      <c r="G7" s="49"/>
      <c r="H7" s="48">
        <v>0</v>
      </c>
      <c r="I7" s="49"/>
      <c r="J7" s="48">
        <v>0</v>
      </c>
      <c r="K7" s="49"/>
      <c r="L7" s="48">
        <v>0</v>
      </c>
      <c r="M7" s="49"/>
      <c r="N7" s="48">
        <v>0</v>
      </c>
      <c r="O7" s="49"/>
      <c r="P7" s="48">
        <v>0</v>
      </c>
      <c r="Q7" s="49"/>
      <c r="R7" s="46">
        <v>0</v>
      </c>
      <c r="S7" s="47"/>
      <c r="T7" s="46">
        <v>0</v>
      </c>
      <c r="U7" s="47"/>
      <c r="V7" s="46">
        <v>0</v>
      </c>
      <c r="W7" s="47"/>
      <c r="X7" s="46">
        <v>0</v>
      </c>
      <c r="Y7" s="47"/>
      <c r="Z7" s="46">
        <v>0</v>
      </c>
      <c r="AA7" s="47"/>
      <c r="AB7" s="46">
        <v>0</v>
      </c>
      <c r="AC7" s="47"/>
      <c r="AD7" s="48">
        <v>0</v>
      </c>
      <c r="AE7" s="49"/>
      <c r="AF7" s="62"/>
      <c r="AG7" s="49"/>
      <c r="AH7" s="62"/>
      <c r="AI7" s="49"/>
      <c r="AJ7" s="62"/>
      <c r="AK7" s="49"/>
      <c r="AL7" s="62"/>
      <c r="AM7" s="49"/>
      <c r="AN7" s="62"/>
      <c r="AO7" s="49"/>
      <c r="AP7" s="62"/>
      <c r="AQ7" s="49"/>
      <c r="AR7" s="62"/>
      <c r="AS7" s="49"/>
    </row>
    <row r="8" spans="1:45" ht="16" x14ac:dyDescent="0.2">
      <c r="A8" s="56"/>
      <c r="B8" s="58"/>
      <c r="C8" s="2" t="s">
        <v>3</v>
      </c>
      <c r="D8" s="48">
        <v>0</v>
      </c>
      <c r="E8" s="49"/>
      <c r="F8" s="48">
        <v>0</v>
      </c>
      <c r="G8" s="49"/>
      <c r="H8" s="48">
        <v>0</v>
      </c>
      <c r="I8" s="49"/>
      <c r="J8" s="48">
        <v>0</v>
      </c>
      <c r="K8" s="49"/>
      <c r="L8" s="48">
        <v>0</v>
      </c>
      <c r="M8" s="49"/>
      <c r="N8" s="48">
        <v>0</v>
      </c>
      <c r="O8" s="49"/>
      <c r="P8" s="48">
        <v>0</v>
      </c>
      <c r="Q8" s="49"/>
      <c r="R8" s="46">
        <v>0</v>
      </c>
      <c r="S8" s="47"/>
      <c r="T8" s="54">
        <v>4</v>
      </c>
      <c r="U8" s="55"/>
      <c r="V8" s="54">
        <v>5</v>
      </c>
      <c r="W8" s="55"/>
      <c r="X8" s="46">
        <v>0</v>
      </c>
      <c r="Y8" s="47"/>
      <c r="Z8" s="46">
        <v>0</v>
      </c>
      <c r="AA8" s="47"/>
      <c r="AB8" s="46">
        <v>0</v>
      </c>
      <c r="AC8" s="47"/>
      <c r="AD8" s="48">
        <v>0</v>
      </c>
      <c r="AE8" s="49"/>
      <c r="AF8" s="62"/>
      <c r="AG8" s="49"/>
      <c r="AH8" s="62"/>
      <c r="AI8" s="49"/>
      <c r="AJ8" s="62"/>
      <c r="AK8" s="49"/>
      <c r="AL8" s="62"/>
      <c r="AM8" s="49"/>
      <c r="AN8" s="62"/>
      <c r="AO8" s="49"/>
      <c r="AP8" s="62"/>
      <c r="AQ8" s="49"/>
      <c r="AR8" s="62"/>
      <c r="AS8" s="49"/>
    </row>
    <row r="9" spans="1:45" ht="16" x14ac:dyDescent="0.2">
      <c r="A9" s="56"/>
      <c r="B9" s="58"/>
      <c r="C9" s="2" t="s">
        <v>4</v>
      </c>
      <c r="D9" s="48">
        <f>60+40+57+110+100+50+96+26+130+110</f>
        <v>779</v>
      </c>
      <c r="E9" s="49"/>
      <c r="F9" s="48">
        <f>100+150+80+176+100+140+33+130+68</f>
        <v>977</v>
      </c>
      <c r="G9" s="49"/>
      <c r="H9" s="48">
        <f>140+98+65+80+137+100+64+50+140+120</f>
        <v>994</v>
      </c>
      <c r="I9" s="49"/>
      <c r="J9" s="48">
        <f>45+69+72+112+73+200+90+120+30+240</f>
        <v>1051</v>
      </c>
      <c r="K9" s="49"/>
      <c r="L9" s="48">
        <f>150+128+89+60+93+110+130+120+100+57</f>
        <v>1037</v>
      </c>
      <c r="M9" s="49"/>
      <c r="N9" s="48">
        <f>125+58+150+80+70+150+172+64+90+180</f>
        <v>1139</v>
      </c>
      <c r="O9" s="49"/>
      <c r="P9" s="48">
        <f>73+150+160+100+140+93+220+109+90+296</f>
        <v>1431</v>
      </c>
      <c r="Q9" s="49"/>
      <c r="R9" s="46">
        <f>601+270+97+150+133+168+137+130+130+67</f>
        <v>1883</v>
      </c>
      <c r="S9" s="47"/>
      <c r="T9" s="46">
        <f>63+62+86+200+140+220+140+130+150+51</f>
        <v>1242</v>
      </c>
      <c r="U9" s="47"/>
      <c r="V9" s="46">
        <f>63+62+86+200+140+220+140+130+150+51</f>
        <v>1242</v>
      </c>
      <c r="W9" s="47"/>
      <c r="X9" s="46">
        <f>114+160+150+141+132+350+50+590+806</f>
        <v>2493</v>
      </c>
      <c r="Y9" s="47"/>
      <c r="Z9" s="46">
        <f>190+100+140+190+80+3+300+195</f>
        <v>1198</v>
      </c>
      <c r="AA9" s="47"/>
      <c r="AB9" s="46">
        <f>89+140+120+240+88+4+250+271+704+217</f>
        <v>2123</v>
      </c>
      <c r="AC9" s="47"/>
      <c r="AD9" s="48">
        <f>52+200+120+53+170+113+200+201+704+342</f>
        <v>2155</v>
      </c>
      <c r="AE9" s="49"/>
      <c r="AF9" s="62"/>
      <c r="AG9" s="49"/>
      <c r="AH9" s="62"/>
      <c r="AI9" s="49"/>
      <c r="AJ9" s="62"/>
      <c r="AK9" s="49"/>
      <c r="AL9" s="62"/>
      <c r="AM9" s="49"/>
      <c r="AN9" s="62"/>
      <c r="AO9" s="49"/>
      <c r="AP9" s="62"/>
      <c r="AQ9" s="49"/>
      <c r="AR9" s="62"/>
      <c r="AS9" s="49"/>
    </row>
    <row r="10" spans="1:45" ht="16" x14ac:dyDescent="0.2">
      <c r="A10" s="56"/>
      <c r="B10" s="58"/>
      <c r="C10" s="2" t="s">
        <v>5</v>
      </c>
      <c r="D10" s="48">
        <f>20+35+46+100+50+4+11+38+30+115</f>
        <v>449</v>
      </c>
      <c r="E10" s="49"/>
      <c r="F10" s="48">
        <f>70+60+60+6+135+80+40+18+61</f>
        <v>530</v>
      </c>
      <c r="G10" s="49"/>
      <c r="H10" s="48">
        <f>80+118+100+100+153+50+60+7+125+12</f>
        <v>805</v>
      </c>
      <c r="I10" s="49"/>
      <c r="J10" s="48">
        <f>10+36+108+126+40+100+70+70+5+170</f>
        <v>735</v>
      </c>
      <c r="K10" s="49"/>
      <c r="L10" s="48">
        <f>60+200+90+30+105+105+7+75+112+170</f>
        <v>954</v>
      </c>
      <c r="M10" s="49"/>
      <c r="N10" s="48">
        <f>120+42+150+21+17+50+176+83+70+175</f>
        <v>904</v>
      </c>
      <c r="O10" s="49"/>
      <c r="P10" s="48">
        <f>263+100+112+200+81+120+50+130+50+95</f>
        <v>1201</v>
      </c>
      <c r="Q10" s="49"/>
      <c r="R10" s="46">
        <f>304+114+84+180+133+90+94+125+30+26</f>
        <v>1180</v>
      </c>
      <c r="S10" s="47"/>
      <c r="T10" s="46">
        <f>50+29+90+100+140+180+140+40+50+48</f>
        <v>867</v>
      </c>
      <c r="U10" s="47"/>
      <c r="V10" s="46">
        <f>50+29+90+100+140+180+140+40+50+48</f>
        <v>867</v>
      </c>
      <c r="W10" s="47"/>
      <c r="X10" s="46">
        <f>806+0+50+350+132+131+140+180+131</f>
        <v>1920</v>
      </c>
      <c r="Y10" s="47"/>
      <c r="Z10" s="46">
        <f>200+300+116+42+157+170+180+157</f>
        <v>1322</v>
      </c>
      <c r="AA10" s="47"/>
      <c r="AB10" s="46">
        <f>183+0+282+200+100+52+200+130+180+120</f>
        <v>1447</v>
      </c>
      <c r="AC10" s="47"/>
      <c r="AD10" s="48">
        <f>316+0+221+200+113+80+19+160+200+18</f>
        <v>1327</v>
      </c>
      <c r="AE10" s="49"/>
      <c r="AF10" s="62"/>
      <c r="AG10" s="49"/>
      <c r="AH10" s="62"/>
      <c r="AI10" s="49"/>
      <c r="AJ10" s="62"/>
      <c r="AK10" s="49"/>
      <c r="AL10" s="62"/>
      <c r="AM10" s="49"/>
      <c r="AN10" s="62"/>
      <c r="AO10" s="49"/>
      <c r="AP10" s="62"/>
      <c r="AQ10" s="49"/>
      <c r="AR10" s="62"/>
      <c r="AS10" s="49"/>
    </row>
    <row r="11" spans="1:45" ht="16" x14ac:dyDescent="0.2">
      <c r="A11" s="56"/>
      <c r="B11" s="58"/>
      <c r="C11" s="2" t="s">
        <v>6</v>
      </c>
      <c r="D11" s="13"/>
      <c r="E11" s="8">
        <v>10</v>
      </c>
      <c r="F11" s="13">
        <v>1</v>
      </c>
      <c r="G11" s="8">
        <v>9</v>
      </c>
      <c r="H11" s="13">
        <v>1</v>
      </c>
      <c r="I11" s="8">
        <v>9</v>
      </c>
      <c r="J11" s="13"/>
      <c r="K11" s="8"/>
      <c r="L11" s="13"/>
      <c r="M11" s="8"/>
      <c r="N11" s="13"/>
      <c r="O11" s="8"/>
      <c r="P11" s="13"/>
      <c r="Q11" s="8"/>
      <c r="R11" s="15">
        <v>2</v>
      </c>
      <c r="S11" s="16"/>
      <c r="T11" s="15">
        <v>0</v>
      </c>
      <c r="U11" s="16"/>
      <c r="V11" s="15">
        <v>0</v>
      </c>
      <c r="W11" s="16"/>
      <c r="X11" s="15"/>
      <c r="Y11" s="16"/>
      <c r="Z11" s="15"/>
      <c r="AA11" s="16"/>
      <c r="AB11" s="15"/>
      <c r="AC11" s="16"/>
      <c r="AD11" s="13"/>
      <c r="AE11" s="8"/>
      <c r="AF11" s="11"/>
      <c r="AG11" s="8"/>
      <c r="AH11" s="11"/>
      <c r="AI11" s="8"/>
      <c r="AJ11" s="11"/>
      <c r="AK11" s="8"/>
      <c r="AL11" s="11"/>
      <c r="AM11" s="8"/>
      <c r="AN11" s="11"/>
      <c r="AO11" s="8"/>
      <c r="AP11" s="11"/>
      <c r="AQ11" s="8"/>
      <c r="AR11" s="11"/>
      <c r="AS11" s="8"/>
    </row>
    <row r="12" spans="1:45" ht="17" thickBot="1" x14ac:dyDescent="0.25">
      <c r="A12" s="56"/>
      <c r="B12" s="59"/>
      <c r="C12" s="9" t="s">
        <v>7</v>
      </c>
      <c r="D12" s="14">
        <v>4</v>
      </c>
      <c r="E12" s="10">
        <v>6</v>
      </c>
      <c r="F12" s="14">
        <v>3</v>
      </c>
      <c r="G12" s="10">
        <v>7</v>
      </c>
      <c r="H12" s="14">
        <f>1+1+1</f>
        <v>3</v>
      </c>
      <c r="I12" s="10">
        <v>7</v>
      </c>
      <c r="J12" s="14"/>
      <c r="K12" s="10"/>
      <c r="L12" s="14"/>
      <c r="M12" s="10"/>
      <c r="N12" s="14"/>
      <c r="O12" s="10"/>
      <c r="P12" s="14"/>
      <c r="Q12" s="10"/>
      <c r="R12" s="17">
        <v>2</v>
      </c>
      <c r="S12" s="18"/>
      <c r="T12" s="17">
        <v>2</v>
      </c>
      <c r="U12" s="18"/>
      <c r="V12" s="17">
        <v>2</v>
      </c>
      <c r="W12" s="18"/>
      <c r="X12" s="17"/>
      <c r="Y12" s="18"/>
      <c r="Z12" s="17"/>
      <c r="AA12" s="18"/>
      <c r="AB12" s="17"/>
      <c r="AC12" s="18"/>
      <c r="AD12" s="14"/>
      <c r="AE12" s="10"/>
      <c r="AF12" s="12"/>
      <c r="AG12" s="10"/>
      <c r="AH12" s="12"/>
      <c r="AI12" s="10"/>
      <c r="AJ12" s="12"/>
      <c r="AK12" s="10"/>
      <c r="AL12" s="12"/>
      <c r="AM12" s="10"/>
      <c r="AN12" s="12"/>
      <c r="AO12" s="10"/>
      <c r="AP12" s="12"/>
      <c r="AQ12" s="10"/>
      <c r="AR12" s="12"/>
      <c r="AS12" s="10"/>
    </row>
    <row r="13" spans="1:45" ht="17" thickTop="1" x14ac:dyDescent="0.2">
      <c r="A13" s="56"/>
      <c r="B13" s="57" t="s">
        <v>12</v>
      </c>
      <c r="C13" s="7" t="s">
        <v>0</v>
      </c>
      <c r="D13" s="60">
        <f>6+30+100+300+100+150+250+100+135+152</f>
        <v>1323</v>
      </c>
      <c r="E13" s="61"/>
      <c r="F13" s="60">
        <f>325+146+150+167+110+95+300+10+15+145</f>
        <v>1463</v>
      </c>
      <c r="G13" s="61"/>
      <c r="H13" s="60">
        <f>140+120+180+158+100+80+200+97+20+200</f>
        <v>1295</v>
      </c>
      <c r="I13" s="61"/>
      <c r="J13" s="60">
        <f>154+121+200+160+120+147+150+215+90+100</f>
        <v>1457</v>
      </c>
      <c r="K13" s="61"/>
      <c r="L13" s="60">
        <f>138+167+65+100+60+55+170+150+150</f>
        <v>1055</v>
      </c>
      <c r="M13" s="61"/>
      <c r="N13" s="60">
        <f>150+220+100+165+115+100+120+130+150</f>
        <v>1250</v>
      </c>
      <c r="O13" s="61"/>
      <c r="P13" s="60">
        <f>140+125+105+110+100+120+135+170</f>
        <v>1005</v>
      </c>
      <c r="Q13" s="61"/>
      <c r="R13" s="50">
        <f>250+185+240+90+200+190+180+150+195</f>
        <v>1680</v>
      </c>
      <c r="S13" s="51"/>
      <c r="T13" s="50">
        <f>150+180+107+150+170+190+170+165+170</f>
        <v>1452</v>
      </c>
      <c r="U13" s="51"/>
      <c r="V13" s="50">
        <f>150+180+107+150+170+190+170+165+170</f>
        <v>1452</v>
      </c>
      <c r="W13" s="51"/>
      <c r="X13" s="50">
        <f>212+168+257+90+150+120+187+170+100</f>
        <v>1454</v>
      </c>
      <c r="Y13" s="51"/>
      <c r="Z13" s="50">
        <f>200+180+140+90+190+180+170+100</f>
        <v>1250</v>
      </c>
      <c r="AA13" s="51"/>
      <c r="AB13" s="50">
        <f>280+135+140+100+90+130+124+190+200</f>
        <v>1389</v>
      </c>
      <c r="AC13" s="51"/>
      <c r="AD13" s="60">
        <f>250+190+140+150+200+150+180+150+180</f>
        <v>1590</v>
      </c>
      <c r="AE13" s="61"/>
      <c r="AF13" s="72"/>
      <c r="AG13" s="61"/>
      <c r="AH13" s="72"/>
      <c r="AI13" s="61"/>
      <c r="AJ13" s="72"/>
      <c r="AK13" s="61"/>
      <c r="AL13" s="72"/>
      <c r="AM13" s="61"/>
      <c r="AN13" s="72"/>
      <c r="AO13" s="61"/>
      <c r="AP13" s="72"/>
      <c r="AQ13" s="61"/>
      <c r="AR13" s="72"/>
      <c r="AS13" s="61"/>
    </row>
    <row r="14" spans="1:45" ht="16" x14ac:dyDescent="0.2">
      <c r="A14" s="56"/>
      <c r="B14" s="58"/>
      <c r="C14" s="2" t="s">
        <v>1</v>
      </c>
      <c r="D14" s="48">
        <v>0</v>
      </c>
      <c r="E14" s="49"/>
      <c r="F14" s="48">
        <v>0</v>
      </c>
      <c r="G14" s="49"/>
      <c r="H14" s="48">
        <v>0</v>
      </c>
      <c r="I14" s="49"/>
      <c r="J14" s="48">
        <v>0</v>
      </c>
      <c r="K14" s="49"/>
      <c r="L14" s="48">
        <v>0</v>
      </c>
      <c r="M14" s="49"/>
      <c r="N14" s="48">
        <v>0</v>
      </c>
      <c r="O14" s="49"/>
      <c r="P14" s="48">
        <v>0</v>
      </c>
      <c r="Q14" s="49"/>
      <c r="R14" s="46">
        <v>0</v>
      </c>
      <c r="S14" s="47"/>
      <c r="T14" s="46">
        <v>0</v>
      </c>
      <c r="U14" s="47"/>
      <c r="V14" s="46">
        <v>0</v>
      </c>
      <c r="W14" s="47"/>
      <c r="X14" s="46">
        <v>0</v>
      </c>
      <c r="Y14" s="47"/>
      <c r="Z14" s="46">
        <v>0</v>
      </c>
      <c r="AA14" s="47"/>
      <c r="AB14" s="46">
        <v>0</v>
      </c>
      <c r="AC14" s="47"/>
      <c r="AD14" s="46">
        <v>0</v>
      </c>
      <c r="AE14" s="47"/>
      <c r="AF14" s="62"/>
      <c r="AG14" s="49"/>
      <c r="AH14" s="62"/>
      <c r="AI14" s="49"/>
      <c r="AJ14" s="62"/>
      <c r="AK14" s="49"/>
      <c r="AL14" s="62"/>
      <c r="AM14" s="49"/>
      <c r="AN14" s="62"/>
      <c r="AO14" s="49"/>
      <c r="AP14" s="62"/>
      <c r="AQ14" s="49"/>
      <c r="AR14" s="62"/>
      <c r="AS14" s="49"/>
    </row>
    <row r="15" spans="1:45" ht="16" x14ac:dyDescent="0.2">
      <c r="A15" s="56"/>
      <c r="B15" s="58"/>
      <c r="C15" s="2" t="s">
        <v>2</v>
      </c>
      <c r="D15" s="48">
        <v>0</v>
      </c>
      <c r="E15" s="49"/>
      <c r="F15" s="48">
        <v>0</v>
      </c>
      <c r="G15" s="49"/>
      <c r="H15" s="48">
        <v>0</v>
      </c>
      <c r="I15" s="49"/>
      <c r="J15" s="48">
        <v>0</v>
      </c>
      <c r="K15" s="49"/>
      <c r="L15" s="48">
        <v>0</v>
      </c>
      <c r="M15" s="49"/>
      <c r="N15" s="48">
        <v>0</v>
      </c>
      <c r="O15" s="49"/>
      <c r="P15" s="48">
        <v>0</v>
      </c>
      <c r="Q15" s="49"/>
      <c r="R15" s="46">
        <v>0</v>
      </c>
      <c r="S15" s="47"/>
      <c r="T15" s="46">
        <v>0</v>
      </c>
      <c r="U15" s="47"/>
      <c r="V15" s="46">
        <v>0</v>
      </c>
      <c r="W15" s="47"/>
      <c r="X15" s="46">
        <v>0</v>
      </c>
      <c r="Y15" s="47"/>
      <c r="Z15" s="46">
        <v>0</v>
      </c>
      <c r="AA15" s="47"/>
      <c r="AB15" s="46">
        <v>0</v>
      </c>
      <c r="AC15" s="47"/>
      <c r="AD15" s="46">
        <v>0</v>
      </c>
      <c r="AE15" s="47"/>
      <c r="AF15" s="62"/>
      <c r="AG15" s="49"/>
      <c r="AH15" s="62"/>
      <c r="AI15" s="49"/>
      <c r="AJ15" s="62"/>
      <c r="AK15" s="49"/>
      <c r="AL15" s="62"/>
      <c r="AM15" s="49"/>
      <c r="AN15" s="62"/>
      <c r="AO15" s="49"/>
      <c r="AP15" s="62"/>
      <c r="AQ15" s="49"/>
      <c r="AR15" s="62"/>
      <c r="AS15" s="49"/>
    </row>
    <row r="16" spans="1:45" ht="16" x14ac:dyDescent="0.2">
      <c r="A16" s="56"/>
      <c r="B16" s="58"/>
      <c r="C16" s="2" t="s">
        <v>3</v>
      </c>
      <c r="D16" s="48">
        <v>0</v>
      </c>
      <c r="E16" s="49"/>
      <c r="F16" s="48">
        <v>0</v>
      </c>
      <c r="G16" s="49"/>
      <c r="H16" s="48">
        <v>0</v>
      </c>
      <c r="I16" s="49"/>
      <c r="J16" s="48">
        <v>0</v>
      </c>
      <c r="K16" s="49"/>
      <c r="L16" s="48">
        <v>0</v>
      </c>
      <c r="M16" s="49"/>
      <c r="N16" s="48">
        <v>0</v>
      </c>
      <c r="O16" s="49"/>
      <c r="P16" s="48">
        <v>0</v>
      </c>
      <c r="Q16" s="49"/>
      <c r="R16" s="46">
        <v>0</v>
      </c>
      <c r="S16" s="47"/>
      <c r="T16" s="46">
        <v>0</v>
      </c>
      <c r="U16" s="47"/>
      <c r="V16" s="46">
        <v>0</v>
      </c>
      <c r="W16" s="47"/>
      <c r="X16" s="46">
        <v>0</v>
      </c>
      <c r="Y16" s="47"/>
      <c r="Z16" s="46">
        <v>0</v>
      </c>
      <c r="AA16" s="47"/>
      <c r="AB16" s="46">
        <v>0</v>
      </c>
      <c r="AC16" s="47"/>
      <c r="AD16" s="46">
        <v>0</v>
      </c>
      <c r="AE16" s="47"/>
      <c r="AF16" s="62"/>
      <c r="AG16" s="49"/>
      <c r="AH16" s="62"/>
      <c r="AI16" s="49"/>
      <c r="AJ16" s="62"/>
      <c r="AK16" s="49"/>
      <c r="AL16" s="62"/>
      <c r="AM16" s="49"/>
      <c r="AN16" s="62"/>
      <c r="AO16" s="49"/>
      <c r="AP16" s="62"/>
      <c r="AQ16" s="49"/>
      <c r="AR16" s="62"/>
      <c r="AS16" s="49"/>
    </row>
    <row r="17" spans="1:45" ht="16" x14ac:dyDescent="0.2">
      <c r="A17" s="56"/>
      <c r="B17" s="58"/>
      <c r="C17" s="2" t="s">
        <v>4</v>
      </c>
      <c r="D17" s="48">
        <f>14+15+150+300+150+120+180+120+98+105</f>
        <v>1252</v>
      </c>
      <c r="E17" s="49"/>
      <c r="F17" s="48">
        <f>152+74+110+121+120+130+200+49+25+120</f>
        <v>1101</v>
      </c>
      <c r="G17" s="49"/>
      <c r="H17" s="48">
        <f>45+74+130+62+145+40+120+140+20+150</f>
        <v>926</v>
      </c>
      <c r="I17" s="49"/>
      <c r="J17" s="48">
        <f>115+75+120+84+148+72+130+170+60+80</f>
        <v>1054</v>
      </c>
      <c r="K17" s="49"/>
      <c r="L17" s="48">
        <f>120+120+125+60+70+70+90+107+69</f>
        <v>831</v>
      </c>
      <c r="M17" s="49"/>
      <c r="N17" s="48">
        <f>130+170+50+140+95+70+90+100+140</f>
        <v>985</v>
      </c>
      <c r="O17" s="49"/>
      <c r="P17" s="48">
        <f>220+95+75+75+90+95+90+75</f>
        <v>815</v>
      </c>
      <c r="Q17" s="49"/>
      <c r="R17" s="46">
        <f>200+85+180+60+150+87+75+100+92</f>
        <v>1029</v>
      </c>
      <c r="S17" s="47"/>
      <c r="T17" s="46">
        <f>110+72+170+70+100+120+65+70+240</f>
        <v>1017</v>
      </c>
      <c r="U17" s="47"/>
      <c r="V17" s="46">
        <f>110+72+170+70+100+120+65+70+240</f>
        <v>1017</v>
      </c>
      <c r="W17" s="47"/>
      <c r="X17" s="46">
        <f>100+220+180+200+200+80+250+165+228</f>
        <v>1623</v>
      </c>
      <c r="Y17" s="47"/>
      <c r="Z17" s="46">
        <f>100+170+180+190+90+140+150+200</f>
        <v>1220</v>
      </c>
      <c r="AA17" s="47"/>
      <c r="AB17" s="46">
        <f>200+210+120+200+85+100+240+75+250</f>
        <v>1480</v>
      </c>
      <c r="AC17" s="47"/>
      <c r="AD17" s="48">
        <f>180+220+80+50+80+100+70+79+100</f>
        <v>959</v>
      </c>
      <c r="AE17" s="49"/>
      <c r="AF17" s="62"/>
      <c r="AG17" s="49"/>
      <c r="AH17" s="62"/>
      <c r="AI17" s="49"/>
      <c r="AJ17" s="62"/>
      <c r="AK17" s="49"/>
      <c r="AL17" s="62"/>
      <c r="AM17" s="49"/>
      <c r="AN17" s="62"/>
      <c r="AO17" s="49"/>
      <c r="AP17" s="62"/>
      <c r="AQ17" s="49"/>
      <c r="AR17" s="62"/>
      <c r="AS17" s="49"/>
    </row>
    <row r="18" spans="1:45" ht="16" x14ac:dyDescent="0.2">
      <c r="A18" s="56"/>
      <c r="B18" s="58"/>
      <c r="C18" s="2" t="s">
        <v>5</v>
      </c>
      <c r="D18" s="48">
        <f>2+20+45+180+125+170+120+100+80+105</f>
        <v>947</v>
      </c>
      <c r="E18" s="49"/>
      <c r="F18" s="48">
        <f>200+70+100+105+40+160+100+4+10+105</f>
        <v>894</v>
      </c>
      <c r="G18" s="49"/>
      <c r="H18" s="48">
        <f>10+74+150+62+150+12+10+135+30+80</f>
        <v>713</v>
      </c>
      <c r="I18" s="49"/>
      <c r="J18" s="48">
        <f>115+75+30+84+135+72+80+140+100+68</f>
        <v>899</v>
      </c>
      <c r="K18" s="49"/>
      <c r="L18" s="48">
        <f>69+107+85+20+80+78+125+60+90</f>
        <v>714</v>
      </c>
      <c r="M18" s="49"/>
      <c r="N18" s="48">
        <f>90+70+60+30+90+120+30+180+130</f>
        <v>800</v>
      </c>
      <c r="O18" s="49"/>
      <c r="P18" s="48">
        <f>75+90+102+20+86+75+95+120</f>
        <v>663</v>
      </c>
      <c r="Q18" s="49"/>
      <c r="R18" s="46">
        <f>150+85+150+20+170+87+75+80+92</f>
        <v>909</v>
      </c>
      <c r="S18" s="47"/>
      <c r="T18" s="46">
        <f>75+72+135+20+120+150+65+70+125</f>
        <v>832</v>
      </c>
      <c r="U18" s="47"/>
      <c r="V18" s="46">
        <f>75+72+135+20+120+150+65+70+125</f>
        <v>832</v>
      </c>
      <c r="W18" s="47"/>
      <c r="X18" s="46">
        <f>240+165+248+3+145+140+180+250+5</f>
        <v>1376</v>
      </c>
      <c r="Y18" s="47"/>
      <c r="Z18" s="46">
        <f>0+0+0+0+0+0+0+0</f>
        <v>0</v>
      </c>
      <c r="AA18" s="47"/>
      <c r="AB18" s="46">
        <f>10+135+240+0+87+200+0+230+20</f>
        <v>922</v>
      </c>
      <c r="AC18" s="47"/>
      <c r="AD18" s="48">
        <f>150+190+100+20+120+100+180+300+180</f>
        <v>1340</v>
      </c>
      <c r="AE18" s="49"/>
      <c r="AF18" s="62"/>
      <c r="AG18" s="49"/>
      <c r="AH18" s="62"/>
      <c r="AI18" s="49"/>
      <c r="AJ18" s="62"/>
      <c r="AK18" s="49"/>
      <c r="AL18" s="62"/>
      <c r="AM18" s="49"/>
      <c r="AN18" s="62"/>
      <c r="AO18" s="49"/>
      <c r="AP18" s="62"/>
      <c r="AQ18" s="49"/>
      <c r="AR18" s="62"/>
      <c r="AS18" s="49"/>
    </row>
    <row r="19" spans="1:45" ht="16" x14ac:dyDescent="0.2">
      <c r="A19" s="56"/>
      <c r="B19" s="58"/>
      <c r="C19" s="2" t="s">
        <v>6</v>
      </c>
      <c r="D19" s="13"/>
      <c r="E19" s="8">
        <v>10</v>
      </c>
      <c r="F19" s="13"/>
      <c r="G19" s="8">
        <v>9</v>
      </c>
      <c r="H19" s="13"/>
      <c r="I19" s="8">
        <v>10</v>
      </c>
      <c r="J19" s="13"/>
      <c r="K19" s="8"/>
      <c r="L19" s="13"/>
      <c r="M19" s="8"/>
      <c r="N19" s="13"/>
      <c r="O19" s="8"/>
      <c r="P19" s="13"/>
      <c r="Q19" s="8"/>
      <c r="R19" s="15">
        <v>0</v>
      </c>
      <c r="S19" s="16"/>
      <c r="T19" s="15">
        <v>0</v>
      </c>
      <c r="U19" s="16"/>
      <c r="V19" s="15">
        <v>0</v>
      </c>
      <c r="W19" s="16"/>
      <c r="X19" s="15"/>
      <c r="Y19" s="16"/>
      <c r="Z19" s="15"/>
      <c r="AA19" s="16"/>
      <c r="AB19" s="15"/>
      <c r="AC19" s="16"/>
      <c r="AD19" s="13"/>
      <c r="AE19" s="8"/>
      <c r="AF19" s="11"/>
      <c r="AG19" s="8"/>
      <c r="AH19" s="11"/>
      <c r="AI19" s="8"/>
      <c r="AJ19" s="11"/>
      <c r="AK19" s="8"/>
      <c r="AL19" s="11"/>
      <c r="AM19" s="8"/>
      <c r="AN19" s="11"/>
      <c r="AO19" s="8"/>
      <c r="AP19" s="11"/>
      <c r="AQ19" s="8"/>
      <c r="AR19" s="11"/>
      <c r="AS19" s="8"/>
    </row>
    <row r="20" spans="1:45" ht="17" thickBot="1" x14ac:dyDescent="0.25">
      <c r="A20" s="56"/>
      <c r="B20" s="59"/>
      <c r="C20" s="9" t="s">
        <v>7</v>
      </c>
      <c r="D20" s="14"/>
      <c r="E20" s="10">
        <v>10</v>
      </c>
      <c r="F20" s="14"/>
      <c r="G20" s="10">
        <v>9</v>
      </c>
      <c r="H20" s="14"/>
      <c r="I20" s="10">
        <v>10</v>
      </c>
      <c r="J20" s="14"/>
      <c r="K20" s="10"/>
      <c r="L20" s="14"/>
      <c r="M20" s="10"/>
      <c r="N20" s="14"/>
      <c r="O20" s="10"/>
      <c r="P20" s="14"/>
      <c r="Q20" s="10"/>
      <c r="R20" s="17">
        <v>0</v>
      </c>
      <c r="S20" s="18"/>
      <c r="T20" s="17">
        <v>0</v>
      </c>
      <c r="U20" s="18"/>
      <c r="V20" s="17">
        <v>0</v>
      </c>
      <c r="W20" s="18"/>
      <c r="X20" s="17"/>
      <c r="Y20" s="18"/>
      <c r="Z20" s="17"/>
      <c r="AA20" s="18"/>
      <c r="AB20" s="17"/>
      <c r="AC20" s="18"/>
      <c r="AD20" s="14"/>
      <c r="AE20" s="10"/>
      <c r="AF20" s="12"/>
      <c r="AG20" s="10"/>
      <c r="AH20" s="12"/>
      <c r="AI20" s="10"/>
      <c r="AJ20" s="12"/>
      <c r="AK20" s="10"/>
      <c r="AL20" s="12"/>
      <c r="AM20" s="10"/>
      <c r="AN20" s="12"/>
      <c r="AO20" s="10"/>
      <c r="AP20" s="12"/>
      <c r="AQ20" s="10"/>
      <c r="AR20" s="12"/>
      <c r="AS20" s="10"/>
    </row>
    <row r="21" spans="1:45" ht="17" thickTop="1" x14ac:dyDescent="0.2">
      <c r="A21" s="63" t="s">
        <v>13</v>
      </c>
      <c r="B21" s="64" t="s">
        <v>14</v>
      </c>
      <c r="C21" s="7" t="s">
        <v>0</v>
      </c>
      <c r="D21" s="60">
        <f>10+56+125+152+42+22+350+30+20+24</f>
        <v>831</v>
      </c>
      <c r="E21" s="61"/>
      <c r="F21" s="60">
        <f>140+150+50+130+215+125+30+82+74+105</f>
        <v>1101</v>
      </c>
      <c r="G21" s="61"/>
      <c r="H21" s="60">
        <f>70+30+120+140+110+215+176+140+120+80</f>
        <v>1201</v>
      </c>
      <c r="I21" s="61"/>
      <c r="J21" s="60">
        <f>130+42+140+30+150+60+115+85+90+135</f>
        <v>977</v>
      </c>
      <c r="K21" s="61"/>
      <c r="L21" s="60">
        <f>152+140+120+60+140+146+120+120+150+46</f>
        <v>1194</v>
      </c>
      <c r="M21" s="61"/>
      <c r="N21" s="60">
        <f>187+198+100+140+130+140+62+105+85+50</f>
        <v>1197</v>
      </c>
      <c r="O21" s="61"/>
      <c r="P21" s="60">
        <f>150+100+150+140+49+178+105+120+80+105</f>
        <v>1177</v>
      </c>
      <c r="Q21" s="61"/>
      <c r="R21" s="50">
        <f>140+130+145+140+48+239+140+110+130+215</f>
        <v>1437</v>
      </c>
      <c r="S21" s="51"/>
      <c r="T21" s="50">
        <f>120+122+210+140+54+265+130+130+130+215</f>
        <v>1516</v>
      </c>
      <c r="U21" s="51"/>
      <c r="V21" s="50">
        <f>120+122+210+140+54+265+130+130+130+215</f>
        <v>1516</v>
      </c>
      <c r="W21" s="51"/>
      <c r="X21" s="50">
        <f>200+275+260+140+167+180+130+225</f>
        <v>1577</v>
      </c>
      <c r="Y21" s="51"/>
      <c r="Z21" s="50">
        <f>200+320+190+200+115+327+235+165+200+215</f>
        <v>2167</v>
      </c>
      <c r="AA21" s="51"/>
      <c r="AB21" s="50">
        <f>190+200+260+140+60+360+350+130+160+205</f>
        <v>2055</v>
      </c>
      <c r="AC21" s="51"/>
      <c r="AD21" s="60">
        <f>75+100+260+140+60+320+250+85+250+205</f>
        <v>1745</v>
      </c>
      <c r="AE21" s="61"/>
      <c r="AF21" s="72"/>
      <c r="AG21" s="61"/>
      <c r="AH21" s="72"/>
      <c r="AI21" s="61"/>
      <c r="AJ21" s="72"/>
      <c r="AK21" s="61"/>
      <c r="AL21" s="72"/>
      <c r="AM21" s="61"/>
      <c r="AN21" s="72"/>
      <c r="AO21" s="61"/>
      <c r="AP21" s="72"/>
      <c r="AQ21" s="61"/>
      <c r="AR21" s="72"/>
      <c r="AS21" s="61"/>
    </row>
    <row r="22" spans="1:45" ht="16" x14ac:dyDescent="0.2">
      <c r="A22" s="63"/>
      <c r="B22" s="65"/>
      <c r="C22" s="2" t="s">
        <v>1</v>
      </c>
      <c r="D22" s="48">
        <v>0</v>
      </c>
      <c r="E22" s="49"/>
      <c r="F22" s="48">
        <v>0</v>
      </c>
      <c r="G22" s="49"/>
      <c r="H22" s="48">
        <v>0</v>
      </c>
      <c r="I22" s="49"/>
      <c r="J22" s="48">
        <v>0</v>
      </c>
      <c r="K22" s="49"/>
      <c r="L22" s="48">
        <v>0</v>
      </c>
      <c r="M22" s="49"/>
      <c r="N22" s="48">
        <v>0</v>
      </c>
      <c r="O22" s="49"/>
      <c r="P22" s="48">
        <v>0</v>
      </c>
      <c r="Q22" s="49"/>
      <c r="R22" s="46">
        <v>0</v>
      </c>
      <c r="S22" s="47"/>
      <c r="T22" s="46">
        <v>0</v>
      </c>
      <c r="U22" s="47"/>
      <c r="V22" s="46">
        <v>0</v>
      </c>
      <c r="W22" s="47"/>
      <c r="X22" s="46">
        <v>0</v>
      </c>
      <c r="Y22" s="47"/>
      <c r="Z22" s="46">
        <v>0</v>
      </c>
      <c r="AA22" s="47"/>
      <c r="AB22" s="46">
        <v>0</v>
      </c>
      <c r="AC22" s="47"/>
      <c r="AD22" s="48">
        <v>0</v>
      </c>
      <c r="AE22" s="49"/>
      <c r="AF22" s="62"/>
      <c r="AG22" s="49"/>
      <c r="AH22" s="62"/>
      <c r="AI22" s="49"/>
      <c r="AJ22" s="62"/>
      <c r="AK22" s="49"/>
      <c r="AL22" s="62"/>
      <c r="AM22" s="49"/>
      <c r="AN22" s="62"/>
      <c r="AO22" s="49"/>
      <c r="AP22" s="62"/>
      <c r="AQ22" s="49"/>
      <c r="AR22" s="62"/>
      <c r="AS22" s="49"/>
    </row>
    <row r="23" spans="1:45" ht="16" x14ac:dyDescent="0.2">
      <c r="A23" s="63"/>
      <c r="B23" s="65"/>
      <c r="C23" s="2" t="s">
        <v>2</v>
      </c>
      <c r="D23" s="48">
        <v>0</v>
      </c>
      <c r="E23" s="49"/>
      <c r="F23" s="48">
        <v>0</v>
      </c>
      <c r="G23" s="49"/>
      <c r="H23" s="48">
        <v>0</v>
      </c>
      <c r="I23" s="49"/>
      <c r="J23" s="48">
        <v>0</v>
      </c>
      <c r="K23" s="49"/>
      <c r="L23" s="48">
        <v>0</v>
      </c>
      <c r="M23" s="49"/>
      <c r="N23" s="48">
        <v>0</v>
      </c>
      <c r="O23" s="49"/>
      <c r="P23" s="48">
        <v>0</v>
      </c>
      <c r="Q23" s="49"/>
      <c r="R23" s="46">
        <v>0</v>
      </c>
      <c r="S23" s="47"/>
      <c r="T23" s="46">
        <v>0</v>
      </c>
      <c r="U23" s="47"/>
      <c r="V23" s="46">
        <v>0</v>
      </c>
      <c r="W23" s="47"/>
      <c r="X23" s="46">
        <v>0</v>
      </c>
      <c r="Y23" s="47"/>
      <c r="Z23" s="46">
        <v>0</v>
      </c>
      <c r="AA23" s="47"/>
      <c r="AB23" s="46">
        <v>0</v>
      </c>
      <c r="AC23" s="47"/>
      <c r="AD23" s="48">
        <v>0</v>
      </c>
      <c r="AE23" s="49"/>
      <c r="AF23" s="62"/>
      <c r="AG23" s="49"/>
      <c r="AH23" s="62"/>
      <c r="AI23" s="49"/>
      <c r="AJ23" s="62"/>
      <c r="AK23" s="49"/>
      <c r="AL23" s="62"/>
      <c r="AM23" s="49"/>
      <c r="AN23" s="62"/>
      <c r="AO23" s="49"/>
      <c r="AP23" s="62"/>
      <c r="AQ23" s="49"/>
      <c r="AR23" s="62"/>
      <c r="AS23" s="49"/>
    </row>
    <row r="24" spans="1:45" ht="16" x14ac:dyDescent="0.2">
      <c r="A24" s="63"/>
      <c r="B24" s="65"/>
      <c r="C24" s="2" t="s">
        <v>3</v>
      </c>
      <c r="D24" s="48">
        <v>0</v>
      </c>
      <c r="E24" s="49"/>
      <c r="F24" s="48">
        <v>0</v>
      </c>
      <c r="G24" s="49"/>
      <c r="H24" s="48">
        <v>0</v>
      </c>
      <c r="I24" s="49"/>
      <c r="J24" s="48">
        <v>0</v>
      </c>
      <c r="K24" s="49"/>
      <c r="L24" s="48">
        <v>0</v>
      </c>
      <c r="M24" s="49"/>
      <c r="N24" s="48">
        <v>0</v>
      </c>
      <c r="O24" s="49"/>
      <c r="P24" s="48">
        <v>0</v>
      </c>
      <c r="Q24" s="49"/>
      <c r="R24" s="46">
        <v>0</v>
      </c>
      <c r="S24" s="47"/>
      <c r="T24" s="46">
        <v>0</v>
      </c>
      <c r="U24" s="47"/>
      <c r="V24" s="46">
        <v>0</v>
      </c>
      <c r="W24" s="47"/>
      <c r="X24" s="46">
        <v>0</v>
      </c>
      <c r="Y24" s="47"/>
      <c r="Z24" s="46">
        <v>0</v>
      </c>
      <c r="AA24" s="47"/>
      <c r="AB24" s="46">
        <v>0</v>
      </c>
      <c r="AC24" s="47"/>
      <c r="AD24" s="48">
        <v>0</v>
      </c>
      <c r="AE24" s="49"/>
      <c r="AF24" s="62"/>
      <c r="AG24" s="49"/>
      <c r="AH24" s="62"/>
      <c r="AI24" s="49"/>
      <c r="AJ24" s="62"/>
      <c r="AK24" s="49"/>
      <c r="AL24" s="62"/>
      <c r="AM24" s="49"/>
      <c r="AN24" s="62"/>
      <c r="AO24" s="49"/>
      <c r="AP24" s="62"/>
      <c r="AQ24" s="49"/>
      <c r="AR24" s="62"/>
      <c r="AS24" s="49"/>
    </row>
    <row r="25" spans="1:45" ht="16" x14ac:dyDescent="0.2">
      <c r="A25" s="63"/>
      <c r="B25" s="65"/>
      <c r="C25" s="2" t="s">
        <v>4</v>
      </c>
      <c r="D25" s="48">
        <f>10+44+50+210+22+20+105+25+15+21</f>
        <v>522</v>
      </c>
      <c r="E25" s="49"/>
      <c r="F25" s="48">
        <f>20+35+30+70+25+125+21+27+40+48</f>
        <v>441</v>
      </c>
      <c r="G25" s="49"/>
      <c r="H25" s="48">
        <f>32+22+68+10+80+198+80+80+40+80</f>
        <v>690</v>
      </c>
      <c r="I25" s="49"/>
      <c r="J25" s="48">
        <f>60+40+10+18+60+60+85+0+50+60</f>
        <v>443</v>
      </c>
      <c r="K25" s="49"/>
      <c r="L25" s="62">
        <f>15+35+70+28+63+10+45+85+70+105</f>
        <v>526</v>
      </c>
      <c r="M25" s="49"/>
      <c r="N25" s="48">
        <f>84+122+40+70+53+20+39+32+38+40</f>
        <v>538</v>
      </c>
      <c r="O25" s="49"/>
      <c r="P25" s="48">
        <f>0+50+80+15+80+20+20+72+60+60</f>
        <v>457</v>
      </c>
      <c r="Q25" s="49"/>
      <c r="R25" s="46">
        <f>50+60+55+20+30+36+16+50+40+68</f>
        <v>425</v>
      </c>
      <c r="S25" s="47"/>
      <c r="T25" s="46">
        <f>60+60+64+40+40+59+16+60+60+52</f>
        <v>511</v>
      </c>
      <c r="U25" s="47"/>
      <c r="V25" s="46">
        <f>60+60+64+40+40+59+16+60+60+52</f>
        <v>511</v>
      </c>
      <c r="W25" s="47"/>
      <c r="X25" s="46">
        <f>225+150+180+165+140+260+250+170</f>
        <v>1540</v>
      </c>
      <c r="Y25" s="47"/>
      <c r="Z25" s="46">
        <f>215+150+165+185+320+98+150+190+300+190</f>
        <v>1963</v>
      </c>
      <c r="AA25" s="47"/>
      <c r="AB25" s="46">
        <f>205+120+130+0+360+56+120+260+150+100</f>
        <v>1501</v>
      </c>
      <c r="AC25" s="47"/>
      <c r="AD25" s="48">
        <f>205+180+85+0+320+60+140+260+100</f>
        <v>1350</v>
      </c>
      <c r="AE25" s="49"/>
      <c r="AF25" s="62"/>
      <c r="AG25" s="49"/>
      <c r="AH25" s="62"/>
      <c r="AI25" s="49"/>
      <c r="AJ25" s="62"/>
      <c r="AK25" s="49"/>
      <c r="AL25" s="62"/>
      <c r="AM25" s="49"/>
      <c r="AN25" s="62"/>
      <c r="AO25" s="49"/>
      <c r="AP25" s="62"/>
      <c r="AQ25" s="49"/>
      <c r="AR25" s="62"/>
      <c r="AS25" s="49"/>
    </row>
    <row r="26" spans="1:45" ht="16" x14ac:dyDescent="0.2">
      <c r="A26" s="63"/>
      <c r="B26" s="65"/>
      <c r="C26" s="2" t="s">
        <v>5</v>
      </c>
      <c r="D26" s="48">
        <f>10+54+40+12+10+12+65+25+5+9</f>
        <v>242</v>
      </c>
      <c r="E26" s="49"/>
      <c r="F26" s="48">
        <f>28+35+20+40+63+12+9+25+24+20</f>
        <v>276</v>
      </c>
      <c r="G26" s="49"/>
      <c r="H26" s="48">
        <f>22+18+8+10+40+12+40+60+60+10</f>
        <v>280</v>
      </c>
      <c r="I26" s="49"/>
      <c r="J26" s="48">
        <f>60+48+10+8+50+5+18+0+50+40</f>
        <v>289</v>
      </c>
      <c r="K26" s="49"/>
      <c r="L26" s="48">
        <f>25+40+47+20+8+81+65+50+10+10</f>
        <v>356</v>
      </c>
      <c r="M26" s="49"/>
      <c r="N26" s="48">
        <f>9+40+14+17+20+53+50+30+82+45</f>
        <v>360</v>
      </c>
      <c r="O26" s="49"/>
      <c r="P26" s="48">
        <f>60+40+72+20+19+90+10+12+50+12</f>
        <v>385</v>
      </c>
      <c r="Q26" s="49"/>
      <c r="R26" s="46">
        <f>30+40+25+10+20+20+19+20+40+20</f>
        <v>244</v>
      </c>
      <c r="S26" s="47"/>
      <c r="T26" s="46">
        <f>40+30+13+20+15+18+11+40+40+12</f>
        <v>239</v>
      </c>
      <c r="U26" s="47"/>
      <c r="V26" s="46">
        <f>40+30+13+20+15+18+11+40+40+12</f>
        <v>239</v>
      </c>
      <c r="W26" s="47"/>
      <c r="X26" s="46">
        <f>130+200+260+140+130+180+240+225</f>
        <v>1505</v>
      </c>
      <c r="Y26" s="47"/>
      <c r="Z26" s="46">
        <f>170+200+140+150+64+327+135+20+150+215</f>
        <v>1571</v>
      </c>
      <c r="AA26" s="47"/>
      <c r="AB26" s="46">
        <f>90+100+260+120+23+360+160+20+120+205</f>
        <v>1458</v>
      </c>
      <c r="AC26" s="47"/>
      <c r="AD26" s="48">
        <f>100+260+140+60+320+250+0+180+205</f>
        <v>1515</v>
      </c>
      <c r="AE26" s="49"/>
      <c r="AF26" s="62"/>
      <c r="AG26" s="49"/>
      <c r="AH26" s="62"/>
      <c r="AI26" s="49"/>
      <c r="AJ26" s="62"/>
      <c r="AK26" s="49"/>
      <c r="AL26" s="62"/>
      <c r="AM26" s="49"/>
      <c r="AN26" s="62"/>
      <c r="AO26" s="49"/>
      <c r="AP26" s="62"/>
      <c r="AQ26" s="49"/>
      <c r="AR26" s="62"/>
      <c r="AS26" s="49"/>
    </row>
    <row r="27" spans="1:45" ht="16" x14ac:dyDescent="0.2">
      <c r="A27" s="63"/>
      <c r="B27" s="65"/>
      <c r="C27" s="2" t="s">
        <v>6</v>
      </c>
      <c r="D27" s="13"/>
      <c r="E27" s="8">
        <v>10</v>
      </c>
      <c r="F27" s="13"/>
      <c r="G27" s="8"/>
      <c r="H27" s="13"/>
      <c r="I27" s="8">
        <v>10</v>
      </c>
      <c r="J27" s="13"/>
      <c r="K27" s="8"/>
      <c r="L27" s="13"/>
      <c r="M27" s="8"/>
      <c r="N27" s="13"/>
      <c r="O27" s="8"/>
      <c r="P27" s="13"/>
      <c r="Q27" s="8"/>
      <c r="R27" s="15">
        <v>0</v>
      </c>
      <c r="S27" s="16"/>
      <c r="T27" s="15">
        <v>0</v>
      </c>
      <c r="U27" s="16"/>
      <c r="V27" s="15">
        <v>0</v>
      </c>
      <c r="W27" s="16"/>
      <c r="X27" s="15"/>
      <c r="Y27" s="16"/>
      <c r="Z27" s="15"/>
      <c r="AA27" s="16"/>
      <c r="AB27" s="15"/>
      <c r="AC27" s="16"/>
      <c r="AD27" s="13"/>
      <c r="AE27" s="8"/>
      <c r="AF27" s="11"/>
      <c r="AG27" s="8"/>
      <c r="AH27" s="11"/>
      <c r="AI27" s="8"/>
      <c r="AJ27" s="11"/>
      <c r="AK27" s="8"/>
      <c r="AL27" s="11"/>
      <c r="AM27" s="8"/>
      <c r="AN27" s="11"/>
      <c r="AO27" s="8"/>
      <c r="AP27" s="11"/>
      <c r="AQ27" s="8"/>
      <c r="AR27" s="11"/>
      <c r="AS27" s="8"/>
    </row>
    <row r="28" spans="1:45" ht="17" thickBot="1" x14ac:dyDescent="0.25">
      <c r="A28" s="63"/>
      <c r="B28" s="66"/>
      <c r="C28" s="9" t="s">
        <v>7</v>
      </c>
      <c r="D28" s="14">
        <v>1</v>
      </c>
      <c r="E28" s="10">
        <v>9</v>
      </c>
      <c r="F28" s="14"/>
      <c r="G28" s="10"/>
      <c r="H28" s="14"/>
      <c r="I28" s="10">
        <v>10</v>
      </c>
      <c r="J28" s="14"/>
      <c r="K28" s="10"/>
      <c r="L28" s="14"/>
      <c r="M28" s="10"/>
      <c r="N28" s="14"/>
      <c r="O28" s="10"/>
      <c r="P28" s="14"/>
      <c r="Q28" s="10"/>
      <c r="R28" s="17">
        <v>0</v>
      </c>
      <c r="S28" s="18"/>
      <c r="T28" s="17">
        <v>0</v>
      </c>
      <c r="U28" s="18"/>
      <c r="V28" s="17">
        <v>0</v>
      </c>
      <c r="W28" s="18"/>
      <c r="X28" s="17"/>
      <c r="Y28" s="18"/>
      <c r="Z28" s="17"/>
      <c r="AA28" s="18"/>
      <c r="AB28" s="17"/>
      <c r="AC28" s="18"/>
      <c r="AD28" s="14"/>
      <c r="AE28" s="10"/>
      <c r="AF28" s="12"/>
      <c r="AG28" s="10"/>
      <c r="AH28" s="12"/>
      <c r="AI28" s="10"/>
      <c r="AJ28" s="12"/>
      <c r="AK28" s="10"/>
      <c r="AL28" s="12"/>
      <c r="AM28" s="10"/>
      <c r="AN28" s="12"/>
      <c r="AO28" s="10"/>
      <c r="AP28" s="12"/>
      <c r="AQ28" s="10"/>
      <c r="AR28" s="12"/>
      <c r="AS28" s="10"/>
    </row>
    <row r="29" spans="1:45" ht="17" thickTop="1" x14ac:dyDescent="0.2">
      <c r="A29" s="63"/>
      <c r="B29" s="57" t="s">
        <v>15</v>
      </c>
      <c r="C29" s="7" t="s">
        <v>0</v>
      </c>
      <c r="D29" s="60">
        <f>47+55+80+60+370+296+230+151+143+50</f>
        <v>1482</v>
      </c>
      <c r="E29" s="61"/>
      <c r="F29" s="60">
        <f>30+200+370+160+143+86+55+60+70+67</f>
        <v>1241</v>
      </c>
      <c r="G29" s="61"/>
      <c r="H29" s="60">
        <f>160+100+370+100+117+45+35+53+25+30</f>
        <v>1035</v>
      </c>
      <c r="I29" s="61"/>
      <c r="J29" s="60">
        <f>26+0+47+28+145+156+30+60+104+60</f>
        <v>656</v>
      </c>
      <c r="K29" s="61"/>
      <c r="L29" s="60">
        <f>26+224+375+72+42+75+30+97+126+35</f>
        <v>1102</v>
      </c>
      <c r="M29" s="61"/>
      <c r="N29" s="60">
        <f>40+36+247+60+44+30+30+64+144+376</f>
        <v>1071</v>
      </c>
      <c r="O29" s="61"/>
      <c r="P29" s="60">
        <f>36+245+375+98+56+49+30+100+160+80</f>
        <v>1229</v>
      </c>
      <c r="Q29" s="61"/>
      <c r="R29" s="50">
        <f>36+268+379+95+105+97+20+150+50+30</f>
        <v>1230</v>
      </c>
      <c r="S29" s="51"/>
      <c r="T29" s="50">
        <f>24+267+379+90+68+40+50+50+50</f>
        <v>1018</v>
      </c>
      <c r="U29" s="51"/>
      <c r="V29" s="50">
        <f>24+267+379+90+68+40+50+50+50</f>
        <v>1018</v>
      </c>
      <c r="W29" s="51"/>
      <c r="X29" s="50">
        <f>32+268+376+100+37+30+150+80+30</f>
        <v>1103</v>
      </c>
      <c r="Y29" s="51"/>
      <c r="Z29" s="50">
        <f>24+265+120+68+55+100+104+40</f>
        <v>776</v>
      </c>
      <c r="AA29" s="51"/>
      <c r="AB29" s="50">
        <f>252+110+84+60+80+110+60+140</f>
        <v>896</v>
      </c>
      <c r="AC29" s="51"/>
      <c r="AD29" s="60">
        <f>36+268+265+100+76+30+100+70+60+100</f>
        <v>1105</v>
      </c>
      <c r="AE29" s="61"/>
      <c r="AF29" s="72"/>
      <c r="AG29" s="61"/>
      <c r="AH29" s="72"/>
      <c r="AI29" s="61"/>
      <c r="AJ29" s="72"/>
      <c r="AK29" s="61"/>
      <c r="AL29" s="72"/>
      <c r="AM29" s="61"/>
      <c r="AN29" s="72"/>
      <c r="AO29" s="61"/>
      <c r="AP29" s="72"/>
      <c r="AQ29" s="61"/>
      <c r="AR29" s="72"/>
      <c r="AS29" s="61"/>
    </row>
    <row r="30" spans="1:45" ht="16" x14ac:dyDescent="0.2">
      <c r="A30" s="63"/>
      <c r="B30" s="58"/>
      <c r="C30" s="2" t="s">
        <v>1</v>
      </c>
      <c r="D30" s="48">
        <v>0</v>
      </c>
      <c r="E30" s="49"/>
      <c r="F30" s="48">
        <v>0</v>
      </c>
      <c r="G30" s="49"/>
      <c r="H30" s="48">
        <v>0</v>
      </c>
      <c r="I30" s="49"/>
      <c r="J30" s="48">
        <v>0</v>
      </c>
      <c r="K30" s="49"/>
      <c r="L30" s="48">
        <v>0</v>
      </c>
      <c r="M30" s="49"/>
      <c r="N30" s="48">
        <v>0</v>
      </c>
      <c r="O30" s="49"/>
      <c r="P30" s="48">
        <v>0</v>
      </c>
      <c r="Q30" s="49"/>
      <c r="R30" s="46">
        <v>0</v>
      </c>
      <c r="S30" s="47"/>
      <c r="T30" s="46">
        <v>0</v>
      </c>
      <c r="U30" s="47"/>
      <c r="V30" s="46">
        <v>0</v>
      </c>
      <c r="W30" s="47"/>
      <c r="X30" s="46">
        <v>0</v>
      </c>
      <c r="Y30" s="47"/>
      <c r="Z30" s="46">
        <v>0</v>
      </c>
      <c r="AA30" s="47"/>
      <c r="AB30" s="46">
        <v>0</v>
      </c>
      <c r="AC30" s="47"/>
      <c r="AD30" s="46">
        <v>0</v>
      </c>
      <c r="AE30" s="47"/>
      <c r="AF30" s="62"/>
      <c r="AG30" s="49"/>
      <c r="AH30" s="62"/>
      <c r="AI30" s="49"/>
      <c r="AJ30" s="62"/>
      <c r="AK30" s="49"/>
      <c r="AL30" s="62"/>
      <c r="AM30" s="49"/>
      <c r="AN30" s="62"/>
      <c r="AO30" s="49"/>
      <c r="AP30" s="62"/>
      <c r="AQ30" s="49"/>
      <c r="AR30" s="62"/>
      <c r="AS30" s="49"/>
    </row>
    <row r="31" spans="1:45" ht="16" x14ac:dyDescent="0.2">
      <c r="A31" s="63"/>
      <c r="B31" s="58"/>
      <c r="C31" s="2" t="s">
        <v>2</v>
      </c>
      <c r="D31" s="48">
        <v>0</v>
      </c>
      <c r="E31" s="49"/>
      <c r="F31" s="48">
        <v>0</v>
      </c>
      <c r="G31" s="49"/>
      <c r="H31" s="48">
        <v>0</v>
      </c>
      <c r="I31" s="49"/>
      <c r="J31" s="48">
        <v>0</v>
      </c>
      <c r="K31" s="49"/>
      <c r="L31" s="48">
        <v>0</v>
      </c>
      <c r="M31" s="49"/>
      <c r="N31" s="48">
        <v>0</v>
      </c>
      <c r="O31" s="49"/>
      <c r="P31" s="48">
        <v>0</v>
      </c>
      <c r="Q31" s="49"/>
      <c r="R31" s="46">
        <v>0</v>
      </c>
      <c r="S31" s="47"/>
      <c r="T31" s="46">
        <v>0</v>
      </c>
      <c r="U31" s="47"/>
      <c r="V31" s="46">
        <v>0</v>
      </c>
      <c r="W31" s="47"/>
      <c r="X31" s="46">
        <v>0</v>
      </c>
      <c r="Y31" s="47"/>
      <c r="Z31" s="46">
        <v>0</v>
      </c>
      <c r="AA31" s="47"/>
      <c r="AB31" s="46">
        <v>0</v>
      </c>
      <c r="AC31" s="47"/>
      <c r="AD31" s="46">
        <v>0</v>
      </c>
      <c r="AE31" s="47"/>
      <c r="AF31" s="62"/>
      <c r="AG31" s="49"/>
      <c r="AH31" s="62"/>
      <c r="AI31" s="49"/>
      <c r="AJ31" s="62"/>
      <c r="AK31" s="49"/>
      <c r="AL31" s="62"/>
      <c r="AM31" s="49"/>
      <c r="AN31" s="62"/>
      <c r="AO31" s="49"/>
      <c r="AP31" s="62"/>
      <c r="AQ31" s="49"/>
      <c r="AR31" s="62"/>
      <c r="AS31" s="49"/>
    </row>
    <row r="32" spans="1:45" ht="16" x14ac:dyDescent="0.2">
      <c r="A32" s="63"/>
      <c r="B32" s="58"/>
      <c r="C32" s="2" t="s">
        <v>3</v>
      </c>
      <c r="D32" s="48">
        <v>0</v>
      </c>
      <c r="E32" s="49"/>
      <c r="F32" s="48">
        <v>0</v>
      </c>
      <c r="G32" s="49"/>
      <c r="H32" s="48">
        <v>0</v>
      </c>
      <c r="I32" s="49"/>
      <c r="J32" s="48">
        <v>0</v>
      </c>
      <c r="K32" s="49"/>
      <c r="L32" s="48">
        <v>0</v>
      </c>
      <c r="M32" s="49"/>
      <c r="N32" s="48">
        <v>0</v>
      </c>
      <c r="O32" s="49"/>
      <c r="P32" s="48">
        <v>0</v>
      </c>
      <c r="Q32" s="49"/>
      <c r="R32" s="46">
        <v>0</v>
      </c>
      <c r="S32" s="47"/>
      <c r="T32" s="46">
        <v>0</v>
      </c>
      <c r="U32" s="47"/>
      <c r="V32" s="46">
        <v>0</v>
      </c>
      <c r="W32" s="47"/>
      <c r="X32" s="46">
        <v>0</v>
      </c>
      <c r="Y32" s="47"/>
      <c r="Z32" s="46">
        <v>0</v>
      </c>
      <c r="AA32" s="47"/>
      <c r="AB32" s="46">
        <v>0</v>
      </c>
      <c r="AC32" s="47"/>
      <c r="AD32" s="46">
        <v>0</v>
      </c>
      <c r="AE32" s="47"/>
      <c r="AF32" s="62"/>
      <c r="AG32" s="49"/>
      <c r="AH32" s="62"/>
      <c r="AI32" s="49"/>
      <c r="AJ32" s="62"/>
      <c r="AK32" s="49"/>
      <c r="AL32" s="62"/>
      <c r="AM32" s="49"/>
      <c r="AN32" s="62"/>
      <c r="AO32" s="49"/>
      <c r="AP32" s="62"/>
      <c r="AQ32" s="49"/>
      <c r="AR32" s="62"/>
      <c r="AS32" s="49"/>
    </row>
    <row r="33" spans="1:45" ht="16" x14ac:dyDescent="0.2">
      <c r="A33" s="63"/>
      <c r="B33" s="58"/>
      <c r="C33" s="2" t="s">
        <v>4</v>
      </c>
      <c r="D33" s="48">
        <f>20+30+21+35+50+26+20+21+20+30</f>
        <v>273</v>
      </c>
      <c r="E33" s="49"/>
      <c r="F33" s="48">
        <f>23+50+50+122+95+21+30+13+20+24</f>
        <v>448</v>
      </c>
      <c r="G33" s="49"/>
      <c r="H33" s="48">
        <f>102+29+50+29+57+20+13+20+22+20</f>
        <v>362</v>
      </c>
      <c r="I33" s="49"/>
      <c r="J33" s="48">
        <f>7+17+28+30+112+134+40+50+32+25</f>
        <v>475</v>
      </c>
      <c r="K33" s="49"/>
      <c r="L33" s="48">
        <f>20+151+32+30+25+12+24+30+12+33</f>
        <v>369</v>
      </c>
      <c r="M33" s="49"/>
      <c r="N33" s="48">
        <f>20+18+17+10+12+22+25+20+111+10</f>
        <v>265</v>
      </c>
      <c r="O33" s="49"/>
      <c r="P33" s="48">
        <f>30+142+40+60+26+12+30+10+18+24</f>
        <v>392</v>
      </c>
      <c r="Q33" s="49"/>
      <c r="R33" s="46">
        <f>22+26+10+15+15+30+45+50+130+45</f>
        <v>388</v>
      </c>
      <c r="S33" s="47"/>
      <c r="T33" s="46">
        <f>36+18+10+20+32+30+20+72+45</f>
        <v>283</v>
      </c>
      <c r="U33" s="47"/>
      <c r="V33" s="46">
        <f>36+18+10+20+32+30+20+72+45</f>
        <v>283</v>
      </c>
      <c r="W33" s="47"/>
      <c r="X33" s="46">
        <f>54+268+30+24+128+40+50+51+40</f>
        <v>685</v>
      </c>
      <c r="Y33" s="47"/>
      <c r="Z33" s="46">
        <f>64+234+80+90+172+70+265+32</f>
        <v>1007</v>
      </c>
      <c r="AA33" s="47"/>
      <c r="AB33" s="46">
        <f>120+70+234+50+90+172+35+0</f>
        <v>771</v>
      </c>
      <c r="AC33" s="47"/>
      <c r="AD33" s="48">
        <f>37+33+234+100+60+43+37+265+268+53</f>
        <v>1130</v>
      </c>
      <c r="AE33" s="49"/>
      <c r="AF33" s="62"/>
      <c r="AG33" s="49"/>
      <c r="AH33" s="62"/>
      <c r="AI33" s="49"/>
      <c r="AJ33" s="62"/>
      <c r="AK33" s="49"/>
      <c r="AL33" s="62"/>
      <c r="AM33" s="49"/>
      <c r="AN33" s="62"/>
      <c r="AO33" s="49"/>
      <c r="AP33" s="62"/>
      <c r="AQ33" s="49"/>
      <c r="AR33" s="62"/>
      <c r="AS33" s="49"/>
    </row>
    <row r="34" spans="1:45" ht="16" x14ac:dyDescent="0.2">
      <c r="A34" s="63"/>
      <c r="B34" s="58"/>
      <c r="C34" s="2" t="s">
        <v>5</v>
      </c>
      <c r="D34" s="48">
        <f>20+30+21+10+10+26+15+21+20+8</f>
        <v>181</v>
      </c>
      <c r="E34" s="49"/>
      <c r="F34" s="48">
        <f>9+30+50+122+95+21+30+7+10+12</f>
        <v>386</v>
      </c>
      <c r="G34" s="49"/>
      <c r="H34" s="48">
        <f>102+19+50+19+60+9+6+9+27+20</f>
        <v>321</v>
      </c>
      <c r="I34" s="49"/>
      <c r="J34" s="48">
        <f>7+17+15+20+112+134+20+10+32+15</f>
        <v>382</v>
      </c>
      <c r="K34" s="49"/>
      <c r="L34" s="48">
        <f>20+140+32+25+23+6+12+30+12+11</f>
        <v>311</v>
      </c>
      <c r="M34" s="49"/>
      <c r="N34" s="48">
        <f>30+58+10+30+46+6+60+17+18+20</f>
        <v>295</v>
      </c>
      <c r="O34" s="49"/>
      <c r="P34" s="48">
        <f>12+21+30+15+26+20+40+102+30</f>
        <v>296</v>
      </c>
      <c r="Q34" s="49"/>
      <c r="R34" s="46">
        <f>18+22+30+8+8+20+20+50+62+30</f>
        <v>268</v>
      </c>
      <c r="S34" s="47"/>
      <c r="T34" s="46">
        <f>36+9+30+11+32+60+20+60+45</f>
        <v>303</v>
      </c>
      <c r="U34" s="47"/>
      <c r="V34" s="46">
        <f>36+9+30+11+32+60+20+60+45</f>
        <v>303</v>
      </c>
      <c r="W34" s="47"/>
      <c r="X34" s="46">
        <f>40+56+50+40+7+18+10+268+11</f>
        <v>500</v>
      </c>
      <c r="Y34" s="47"/>
      <c r="Z34" s="46">
        <f>32+20+70+172+60+40+234+34</f>
        <v>662</v>
      </c>
      <c r="AA34" s="47"/>
      <c r="AB34" s="46">
        <f>0+50+172+60+20+234+35+20</f>
        <v>591</v>
      </c>
      <c r="AC34" s="47"/>
      <c r="AD34" s="48">
        <f>53+0+20+21+23+30+20+234+11+21</f>
        <v>433</v>
      </c>
      <c r="AE34" s="49"/>
      <c r="AF34" s="62"/>
      <c r="AG34" s="49"/>
      <c r="AH34" s="62"/>
      <c r="AI34" s="49"/>
      <c r="AJ34" s="62"/>
      <c r="AK34" s="49"/>
      <c r="AL34" s="62"/>
      <c r="AM34" s="49"/>
      <c r="AN34" s="62"/>
      <c r="AO34" s="49"/>
      <c r="AP34" s="62"/>
      <c r="AQ34" s="49"/>
      <c r="AR34" s="62"/>
      <c r="AS34" s="49"/>
    </row>
    <row r="35" spans="1:45" ht="16" x14ac:dyDescent="0.2">
      <c r="A35" s="63"/>
      <c r="B35" s="58"/>
      <c r="C35" s="2" t="s">
        <v>6</v>
      </c>
      <c r="D35" s="13"/>
      <c r="E35" s="8">
        <v>10</v>
      </c>
      <c r="F35" s="13"/>
      <c r="G35" s="8">
        <v>10</v>
      </c>
      <c r="H35" s="13"/>
      <c r="I35" s="8">
        <v>10</v>
      </c>
      <c r="J35" s="13"/>
      <c r="K35" s="8"/>
      <c r="L35" s="13"/>
      <c r="M35" s="8"/>
      <c r="N35" s="13"/>
      <c r="O35" s="8"/>
      <c r="P35" s="13"/>
      <c r="Q35" s="8"/>
      <c r="R35" s="15">
        <v>0</v>
      </c>
      <c r="S35" s="16"/>
      <c r="T35" s="15">
        <v>0</v>
      </c>
      <c r="U35" s="16"/>
      <c r="V35" s="15">
        <v>0</v>
      </c>
      <c r="W35" s="16"/>
      <c r="X35" s="15"/>
      <c r="Y35" s="16"/>
      <c r="Z35" s="15"/>
      <c r="AA35" s="16"/>
      <c r="AB35" s="15"/>
      <c r="AC35" s="16"/>
      <c r="AD35" s="13"/>
      <c r="AE35" s="8"/>
      <c r="AF35" s="11"/>
      <c r="AG35" s="8"/>
      <c r="AH35" s="11"/>
      <c r="AI35" s="8"/>
      <c r="AJ35" s="11"/>
      <c r="AK35" s="8"/>
      <c r="AL35" s="11"/>
      <c r="AM35" s="8"/>
      <c r="AN35" s="11"/>
      <c r="AO35" s="8"/>
      <c r="AP35" s="11"/>
      <c r="AQ35" s="8"/>
      <c r="AR35" s="11"/>
      <c r="AS35" s="8"/>
    </row>
    <row r="36" spans="1:45" ht="17" thickBot="1" x14ac:dyDescent="0.25">
      <c r="A36" s="63"/>
      <c r="B36" s="59"/>
      <c r="C36" s="9" t="s">
        <v>7</v>
      </c>
      <c r="D36" s="14"/>
      <c r="E36" s="10">
        <v>10</v>
      </c>
      <c r="F36" s="14"/>
      <c r="G36" s="10">
        <v>10</v>
      </c>
      <c r="H36" s="14"/>
      <c r="I36" s="10">
        <v>10</v>
      </c>
      <c r="J36" s="14"/>
      <c r="K36" s="10"/>
      <c r="L36" s="14"/>
      <c r="M36" s="10"/>
      <c r="N36" s="14"/>
      <c r="O36" s="10"/>
      <c r="P36" s="14"/>
      <c r="Q36" s="10"/>
      <c r="R36" s="17">
        <v>0</v>
      </c>
      <c r="S36" s="18"/>
      <c r="T36" s="17">
        <v>0</v>
      </c>
      <c r="U36" s="18"/>
      <c r="V36" s="17">
        <v>0</v>
      </c>
      <c r="W36" s="18"/>
      <c r="X36" s="17"/>
      <c r="Y36" s="18"/>
      <c r="Z36" s="17"/>
      <c r="AA36" s="18"/>
      <c r="AB36" s="17"/>
      <c r="AC36" s="18"/>
      <c r="AD36" s="14"/>
      <c r="AE36" s="10"/>
      <c r="AF36" s="12"/>
      <c r="AG36" s="10"/>
      <c r="AH36" s="12"/>
      <c r="AI36" s="10"/>
      <c r="AJ36" s="12"/>
      <c r="AK36" s="10"/>
      <c r="AL36" s="12"/>
      <c r="AM36" s="10"/>
      <c r="AN36" s="12"/>
      <c r="AO36" s="10"/>
      <c r="AP36" s="12"/>
      <c r="AQ36" s="10"/>
      <c r="AR36" s="12"/>
      <c r="AS36" s="10"/>
    </row>
    <row r="37" spans="1:45" ht="17" thickTop="1" x14ac:dyDescent="0.2">
      <c r="A37" s="56" t="s">
        <v>16</v>
      </c>
      <c r="B37" s="57" t="s">
        <v>17</v>
      </c>
      <c r="C37" s="7" t="s">
        <v>0</v>
      </c>
      <c r="D37" s="60">
        <f>51+45+64+60+58+125+30+102+40+50</f>
        <v>625</v>
      </c>
      <c r="E37" s="61"/>
      <c r="F37" s="60">
        <f>71+52+30+59+51+56+50+20+180+59</f>
        <v>628</v>
      </c>
      <c r="G37" s="61"/>
      <c r="H37" s="60">
        <f>90+102+155+160+180+250+120+60+57+78</f>
        <v>1252</v>
      </c>
      <c r="I37" s="61"/>
      <c r="J37" s="60">
        <f>197+80+130+78+150+300+320+160+44+96</f>
        <v>1555</v>
      </c>
      <c r="K37" s="61"/>
      <c r="L37" s="60">
        <f>90+78+88+202+226+180+386+156+105+320</f>
        <v>1831</v>
      </c>
      <c r="M37" s="61"/>
      <c r="N37" s="60">
        <f>100+235+134+150+340+200+176+200+390+180</f>
        <v>2105</v>
      </c>
      <c r="O37" s="61"/>
      <c r="P37" s="60">
        <f>60+186+198+306+369+190+240+159+350+214</f>
        <v>2272</v>
      </c>
      <c r="Q37" s="61"/>
      <c r="R37" s="50">
        <f>70+170+198+301+480+218+219+368+400+216</f>
        <v>2640</v>
      </c>
      <c r="S37" s="51"/>
      <c r="T37" s="50">
        <f>120+180+199+223+136+120+321+169+405+240</f>
        <v>2113</v>
      </c>
      <c r="U37" s="51"/>
      <c r="V37" s="50">
        <f>120+180+199+223+136+120+321+169+405+240</f>
        <v>2113</v>
      </c>
      <c r="W37" s="51"/>
      <c r="X37" s="50">
        <f>160+280+106+321+280+310+380+400+216</f>
        <v>2453</v>
      </c>
      <c r="Y37" s="51"/>
      <c r="Z37" s="50">
        <f>150+205+102+216+280+321+89+420+200</f>
        <v>1983</v>
      </c>
      <c r="AA37" s="51"/>
      <c r="AB37" s="50">
        <f>140+203+415+368+164+310+116+410+216</f>
        <v>2342</v>
      </c>
      <c r="AC37" s="51"/>
      <c r="AD37" s="60">
        <f>180+214+502+269+160+334+83+300+216</f>
        <v>2258</v>
      </c>
      <c r="AE37" s="61"/>
      <c r="AF37" s="72"/>
      <c r="AG37" s="61"/>
      <c r="AH37" s="72"/>
      <c r="AI37" s="61"/>
      <c r="AJ37" s="72"/>
      <c r="AK37" s="61"/>
      <c r="AL37" s="72"/>
      <c r="AM37" s="61"/>
      <c r="AN37" s="72"/>
      <c r="AO37" s="61"/>
      <c r="AP37" s="72"/>
      <c r="AQ37" s="61"/>
      <c r="AR37" s="72"/>
      <c r="AS37" s="61"/>
    </row>
    <row r="38" spans="1:45" ht="16" x14ac:dyDescent="0.2">
      <c r="A38" s="56"/>
      <c r="B38" s="58"/>
      <c r="C38" s="2" t="s">
        <v>1</v>
      </c>
      <c r="D38" s="48">
        <v>0</v>
      </c>
      <c r="E38" s="49"/>
      <c r="F38" s="48">
        <v>0</v>
      </c>
      <c r="G38" s="49"/>
      <c r="H38" s="48">
        <v>0</v>
      </c>
      <c r="I38" s="49"/>
      <c r="J38" s="48">
        <v>0</v>
      </c>
      <c r="K38" s="49"/>
      <c r="L38" s="48">
        <v>0</v>
      </c>
      <c r="M38" s="49"/>
      <c r="N38" s="48">
        <v>0</v>
      </c>
      <c r="O38" s="49"/>
      <c r="P38" s="48">
        <v>0</v>
      </c>
      <c r="Q38" s="49"/>
      <c r="R38" s="46">
        <v>0</v>
      </c>
      <c r="S38" s="47"/>
      <c r="T38" s="46">
        <v>0</v>
      </c>
      <c r="U38" s="47"/>
      <c r="V38" s="46">
        <v>0</v>
      </c>
      <c r="W38" s="47"/>
      <c r="X38" s="46">
        <v>0</v>
      </c>
      <c r="Y38" s="47"/>
      <c r="Z38" s="46">
        <v>0</v>
      </c>
      <c r="AA38" s="47"/>
      <c r="AB38" s="46">
        <v>0</v>
      </c>
      <c r="AC38" s="47"/>
      <c r="AD38" s="48">
        <v>0</v>
      </c>
      <c r="AE38" s="49"/>
      <c r="AF38" s="62"/>
      <c r="AG38" s="49"/>
      <c r="AH38" s="62"/>
      <c r="AI38" s="49"/>
      <c r="AJ38" s="62"/>
      <c r="AK38" s="49"/>
      <c r="AL38" s="62"/>
      <c r="AM38" s="49"/>
      <c r="AN38" s="62"/>
      <c r="AO38" s="49"/>
      <c r="AP38" s="62"/>
      <c r="AQ38" s="49"/>
      <c r="AR38" s="62"/>
      <c r="AS38" s="49"/>
    </row>
    <row r="39" spans="1:45" ht="16" x14ac:dyDescent="0.2">
      <c r="A39" s="56"/>
      <c r="B39" s="58"/>
      <c r="C39" s="2" t="s">
        <v>2</v>
      </c>
      <c r="D39" s="48">
        <v>0</v>
      </c>
      <c r="E39" s="49"/>
      <c r="F39" s="48">
        <v>0</v>
      </c>
      <c r="G39" s="49"/>
      <c r="H39" s="48">
        <v>0</v>
      </c>
      <c r="I39" s="49"/>
      <c r="J39" s="48">
        <v>0</v>
      </c>
      <c r="K39" s="49"/>
      <c r="L39" s="48">
        <v>0</v>
      </c>
      <c r="M39" s="49"/>
      <c r="N39" s="48">
        <v>0</v>
      </c>
      <c r="O39" s="49"/>
      <c r="P39" s="48">
        <v>0</v>
      </c>
      <c r="Q39" s="49"/>
      <c r="R39" s="46">
        <v>0</v>
      </c>
      <c r="S39" s="47"/>
      <c r="T39" s="46">
        <v>0</v>
      </c>
      <c r="U39" s="47"/>
      <c r="V39" s="46">
        <v>0</v>
      </c>
      <c r="W39" s="47"/>
      <c r="X39" s="46">
        <v>0</v>
      </c>
      <c r="Y39" s="47"/>
      <c r="Z39" s="46">
        <v>0</v>
      </c>
      <c r="AA39" s="47"/>
      <c r="AB39" s="46">
        <v>0</v>
      </c>
      <c r="AC39" s="47"/>
      <c r="AD39" s="48">
        <v>0</v>
      </c>
      <c r="AE39" s="49"/>
      <c r="AF39" s="62"/>
      <c r="AG39" s="49"/>
      <c r="AH39" s="62"/>
      <c r="AI39" s="49"/>
      <c r="AJ39" s="62"/>
      <c r="AK39" s="49"/>
      <c r="AL39" s="62"/>
      <c r="AM39" s="49"/>
      <c r="AN39" s="62"/>
      <c r="AO39" s="49"/>
      <c r="AP39" s="62"/>
      <c r="AQ39" s="49"/>
      <c r="AR39" s="62"/>
      <c r="AS39" s="49"/>
    </row>
    <row r="40" spans="1:45" ht="16" x14ac:dyDescent="0.2">
      <c r="A40" s="56"/>
      <c r="B40" s="58"/>
      <c r="C40" s="2" t="s">
        <v>3</v>
      </c>
      <c r="D40" s="48">
        <v>0</v>
      </c>
      <c r="E40" s="49"/>
      <c r="F40" s="48">
        <v>0</v>
      </c>
      <c r="G40" s="49"/>
      <c r="H40" s="48">
        <v>0</v>
      </c>
      <c r="I40" s="49"/>
      <c r="J40" s="48">
        <v>0</v>
      </c>
      <c r="K40" s="49"/>
      <c r="L40" s="48">
        <v>0</v>
      </c>
      <c r="M40" s="49"/>
      <c r="N40" s="48">
        <v>0</v>
      </c>
      <c r="O40" s="49"/>
      <c r="P40" s="48">
        <v>0</v>
      </c>
      <c r="Q40" s="49"/>
      <c r="R40" s="46">
        <v>0</v>
      </c>
      <c r="S40" s="47"/>
      <c r="T40" s="46">
        <v>0</v>
      </c>
      <c r="U40" s="47"/>
      <c r="V40" s="46">
        <v>0</v>
      </c>
      <c r="W40" s="47"/>
      <c r="X40" s="46">
        <v>0</v>
      </c>
      <c r="Y40" s="47"/>
      <c r="Z40" s="46">
        <v>0</v>
      </c>
      <c r="AA40" s="47"/>
      <c r="AB40" s="46">
        <v>0</v>
      </c>
      <c r="AC40" s="47"/>
      <c r="AD40" s="48">
        <v>0</v>
      </c>
      <c r="AE40" s="49"/>
      <c r="AF40" s="62"/>
      <c r="AG40" s="49"/>
      <c r="AH40" s="62"/>
      <c r="AI40" s="49"/>
      <c r="AJ40" s="62"/>
      <c r="AK40" s="49"/>
      <c r="AL40" s="62"/>
      <c r="AM40" s="49"/>
      <c r="AN40" s="62"/>
      <c r="AO40" s="49"/>
      <c r="AP40" s="62"/>
      <c r="AQ40" s="49"/>
      <c r="AR40" s="62"/>
      <c r="AS40" s="49"/>
    </row>
    <row r="41" spans="1:45" ht="16" x14ac:dyDescent="0.2">
      <c r="A41" s="56"/>
      <c r="B41" s="58"/>
      <c r="C41" s="2" t="s">
        <v>4</v>
      </c>
      <c r="D41" s="48">
        <f>21+30+30+30+15+10+20+18+25+20</f>
        <v>219</v>
      </c>
      <c r="E41" s="49"/>
      <c r="F41" s="48">
        <f>25+36+20+15+25+30+30+20+12+5</f>
        <v>218</v>
      </c>
      <c r="G41" s="49"/>
      <c r="H41" s="48">
        <f>60+58+10+60+60+11+80+20+22+35</f>
        <v>416</v>
      </c>
      <c r="I41" s="49"/>
      <c r="J41" s="48">
        <f>88+50+110+82+140+15+72+60+3+35</f>
        <v>655</v>
      </c>
      <c r="K41" s="49"/>
      <c r="L41" s="48">
        <f>9+10+72+90+69+50+70+85+50+13</f>
        <v>518</v>
      </c>
      <c r="M41" s="49"/>
      <c r="N41" s="48">
        <f>35+79+32+30+13+69+37+80+69+120</f>
        <v>564</v>
      </c>
      <c r="O41" s="49"/>
      <c r="P41" s="48">
        <f>90+13+42+82+40+121+167+97+53+30</f>
        <v>735</v>
      </c>
      <c r="Q41" s="49"/>
      <c r="R41" s="46">
        <f>20+140+59+93+35+30+65+55+13+82</f>
        <v>592</v>
      </c>
      <c r="S41" s="47"/>
      <c r="T41" s="46">
        <f>50+50+42+69+39+30+56+40+10+100</f>
        <v>486</v>
      </c>
      <c r="U41" s="47"/>
      <c r="V41" s="46">
        <f>50+50+42+69+39+30+56+40+10+100</f>
        <v>486</v>
      </c>
      <c r="W41" s="47"/>
      <c r="X41" s="46">
        <f>150+20+49+70+150+300+51+100+160</f>
        <v>1050</v>
      </c>
      <c r="Y41" s="47"/>
      <c r="Z41" s="46">
        <f>80+420+89+82+260+216+32+200+150</f>
        <v>1529</v>
      </c>
      <c r="AA41" s="47"/>
      <c r="AB41" s="46">
        <f>90+88+80+80+150+158+30+102+140</f>
        <v>918</v>
      </c>
      <c r="AC41" s="47"/>
      <c r="AD41" s="48">
        <f>90+100+50+70+150+125+37+200+170</f>
        <v>992</v>
      </c>
      <c r="AE41" s="49"/>
      <c r="AF41" s="62"/>
      <c r="AG41" s="49"/>
      <c r="AH41" s="62"/>
      <c r="AI41" s="49"/>
      <c r="AJ41" s="62"/>
      <c r="AK41" s="49"/>
      <c r="AL41" s="62"/>
      <c r="AM41" s="49"/>
      <c r="AN41" s="62"/>
      <c r="AO41" s="49"/>
      <c r="AP41" s="62"/>
      <c r="AQ41" s="49"/>
      <c r="AR41" s="62"/>
      <c r="AS41" s="49"/>
    </row>
    <row r="42" spans="1:45" ht="16" x14ac:dyDescent="0.2">
      <c r="A42" s="56"/>
      <c r="B42" s="58"/>
      <c r="C42" s="2" t="s">
        <v>5</v>
      </c>
      <c r="D42" s="48">
        <f>27+42+16+20+10+10+3+20+25+30</f>
        <v>203</v>
      </c>
      <c r="E42" s="49"/>
      <c r="F42" s="48">
        <f>24+47+10+10+27+20+20+16+6+5</f>
        <v>185</v>
      </c>
      <c r="G42" s="49"/>
      <c r="H42" s="48">
        <f>23+58+10+30+100+10+35+20+20+35</f>
        <v>341</v>
      </c>
      <c r="I42" s="49"/>
      <c r="J42" s="48">
        <f>58+50+95+40+130+11+120+20+3+40</f>
        <v>567</v>
      </c>
      <c r="K42" s="49"/>
      <c r="L42" s="48">
        <f>15+14+56+59+27+23+198+42+50+10</f>
        <v>494</v>
      </c>
      <c r="M42" s="49"/>
      <c r="N42" s="48">
        <f>15+56+20+30+10+185+17+35+197+90</f>
        <v>655</v>
      </c>
      <c r="O42" s="49"/>
      <c r="P42" s="48">
        <f>30+37+52+54+97+20+60+42+10+40</f>
        <v>442</v>
      </c>
      <c r="Q42" s="49"/>
      <c r="R42" s="46">
        <f>20+80+60+37+94+16+48+55+5+0</f>
        <v>415</v>
      </c>
      <c r="S42" s="47"/>
      <c r="T42" s="46">
        <f>50+30+31+25+21+15+24+80+5+50</f>
        <v>331</v>
      </c>
      <c r="U42" s="47"/>
      <c r="V42" s="46">
        <f>50+30+31+25+21+15+24+80+5+50</f>
        <v>331</v>
      </c>
      <c r="W42" s="47"/>
      <c r="X42" s="46">
        <f>160+80+17+75+180+70+49+212+200</f>
        <v>1043</v>
      </c>
      <c r="Y42" s="47"/>
      <c r="Z42" s="46">
        <f>150+5+5+107+280+62+89+80+40</f>
        <v>818</v>
      </c>
      <c r="AA42" s="47"/>
      <c r="AB42" s="46">
        <f>20+140+72+10+132+102+80+80+88+40</f>
        <v>764</v>
      </c>
      <c r="AC42" s="47"/>
      <c r="AD42" s="48">
        <f>170+78+0+100+150+55+50+50+0</f>
        <v>653</v>
      </c>
      <c r="AE42" s="49"/>
      <c r="AF42" s="62"/>
      <c r="AG42" s="49"/>
      <c r="AH42" s="62"/>
      <c r="AI42" s="49"/>
      <c r="AJ42" s="62"/>
      <c r="AK42" s="49"/>
      <c r="AL42" s="62"/>
      <c r="AM42" s="49"/>
      <c r="AN42" s="62"/>
      <c r="AO42" s="49"/>
      <c r="AP42" s="62"/>
      <c r="AQ42" s="49"/>
      <c r="AR42" s="62"/>
      <c r="AS42" s="49"/>
    </row>
    <row r="43" spans="1:45" ht="16" x14ac:dyDescent="0.2">
      <c r="A43" s="56"/>
      <c r="B43" s="58"/>
      <c r="C43" s="2" t="s">
        <v>6</v>
      </c>
      <c r="D43" s="13"/>
      <c r="E43" s="8">
        <v>10</v>
      </c>
      <c r="F43" s="13"/>
      <c r="G43" s="8">
        <v>10</v>
      </c>
      <c r="H43" s="13"/>
      <c r="I43" s="8">
        <v>10</v>
      </c>
      <c r="J43" s="13"/>
      <c r="K43" s="8"/>
      <c r="L43" s="13"/>
      <c r="M43" s="8"/>
      <c r="N43" s="13"/>
      <c r="O43" s="8"/>
      <c r="P43" s="13"/>
      <c r="Q43" s="8"/>
      <c r="R43" s="15">
        <v>1</v>
      </c>
      <c r="S43" s="16"/>
      <c r="T43" s="15">
        <v>1</v>
      </c>
      <c r="U43" s="16"/>
      <c r="V43" s="15">
        <v>1</v>
      </c>
      <c r="W43" s="16"/>
      <c r="X43" s="15"/>
      <c r="Y43" s="16"/>
      <c r="Z43" s="15"/>
      <c r="AA43" s="16"/>
      <c r="AB43" s="15"/>
      <c r="AC43" s="16"/>
      <c r="AD43" s="13"/>
      <c r="AE43" s="8"/>
      <c r="AF43" s="11"/>
      <c r="AG43" s="8"/>
      <c r="AH43" s="11"/>
      <c r="AI43" s="8"/>
      <c r="AJ43" s="11"/>
      <c r="AK43" s="8"/>
      <c r="AL43" s="11"/>
      <c r="AM43" s="8"/>
      <c r="AN43" s="11"/>
      <c r="AO43" s="8"/>
      <c r="AP43" s="11"/>
      <c r="AQ43" s="8"/>
      <c r="AR43" s="11"/>
      <c r="AS43" s="8"/>
    </row>
    <row r="44" spans="1:45" ht="17" thickBot="1" x14ac:dyDescent="0.25">
      <c r="A44" s="56"/>
      <c r="B44" s="59"/>
      <c r="C44" s="9" t="s">
        <v>7</v>
      </c>
      <c r="D44" s="14">
        <f>1+1+1</f>
        <v>3</v>
      </c>
      <c r="E44" s="10">
        <v>7</v>
      </c>
      <c r="F44" s="14"/>
      <c r="G44" s="10">
        <v>10</v>
      </c>
      <c r="H44" s="14"/>
      <c r="I44" s="10">
        <v>10</v>
      </c>
      <c r="J44" s="14"/>
      <c r="K44" s="10"/>
      <c r="L44" s="14"/>
      <c r="M44" s="10"/>
      <c r="N44" s="14"/>
      <c r="O44" s="10"/>
      <c r="P44" s="14"/>
      <c r="Q44" s="10"/>
      <c r="R44" s="17">
        <v>1</v>
      </c>
      <c r="S44" s="18"/>
      <c r="T44" s="17">
        <v>1</v>
      </c>
      <c r="U44" s="18"/>
      <c r="V44" s="17">
        <v>1</v>
      </c>
      <c r="W44" s="18"/>
      <c r="X44" s="17"/>
      <c r="Y44" s="18"/>
      <c r="Z44" s="17"/>
      <c r="AA44" s="18"/>
      <c r="AB44" s="17"/>
      <c r="AC44" s="18"/>
      <c r="AD44" s="14"/>
      <c r="AE44" s="10"/>
      <c r="AF44" s="12"/>
      <c r="AG44" s="10"/>
      <c r="AH44" s="12"/>
      <c r="AI44" s="10"/>
      <c r="AJ44" s="12"/>
      <c r="AK44" s="10"/>
      <c r="AL44" s="12"/>
      <c r="AM44" s="10"/>
      <c r="AN44" s="12"/>
      <c r="AO44" s="10"/>
      <c r="AP44" s="12"/>
      <c r="AQ44" s="10"/>
      <c r="AR44" s="12"/>
      <c r="AS44" s="10"/>
    </row>
    <row r="45" spans="1:45" ht="17" thickTop="1" x14ac:dyDescent="0.2">
      <c r="A45" s="56"/>
      <c r="B45" s="57" t="s">
        <v>20</v>
      </c>
      <c r="C45" s="7" t="s">
        <v>0</v>
      </c>
      <c r="D45" s="60">
        <f>48+41+305+64+85+300+400+432+65</f>
        <v>1740</v>
      </c>
      <c r="E45" s="61"/>
      <c r="F45" s="60">
        <f>84+68+250+200+62+300+32+60+145+95</f>
        <v>1296</v>
      </c>
      <c r="G45" s="61"/>
      <c r="H45" s="60">
        <f>20+105+200+250+61+45+30+180+68+130</f>
        <v>1089</v>
      </c>
      <c r="I45" s="61"/>
      <c r="J45" s="60">
        <f>185+207+213+151+324+92+157+112+162</f>
        <v>1603</v>
      </c>
      <c r="K45" s="61"/>
      <c r="L45" s="60">
        <f>138+64+85+95+345+26+30+100+38</f>
        <v>921</v>
      </c>
      <c r="M45" s="61"/>
      <c r="N45" s="60">
        <f>250+87+90+40+93+51+72+38+93</f>
        <v>814</v>
      </c>
      <c r="O45" s="61"/>
      <c r="P45" s="60">
        <f>223+88+72+30+53+52+40+50+41+42</f>
        <v>691</v>
      </c>
      <c r="Q45" s="61"/>
      <c r="R45" s="50">
        <f>350+320+80+22+58+84+300+65+43+31</f>
        <v>1353</v>
      </c>
      <c r="S45" s="51"/>
      <c r="T45" s="50">
        <f>150+132+95+68+59+56+302+70+51+40</f>
        <v>1023</v>
      </c>
      <c r="U45" s="51"/>
      <c r="V45" s="50">
        <f>150+132+95+68+59+56+302+70+51+40</f>
        <v>1023</v>
      </c>
      <c r="W45" s="51"/>
      <c r="X45" s="50">
        <f>200+350+50+235+40+61+250+120+42+32</f>
        <v>1380</v>
      </c>
      <c r="Y45" s="51"/>
      <c r="Z45" s="50">
        <f>300+350+85+210+58+63+220+60+420+32</f>
        <v>1798</v>
      </c>
      <c r="AA45" s="51"/>
      <c r="AB45" s="50">
        <f>300+350+80+215+56+140+200+150+260+152</f>
        <v>1903</v>
      </c>
      <c r="AC45" s="51"/>
      <c r="AD45" s="60">
        <f>275+200+80+320+72+150+95+165+302+32</f>
        <v>1691</v>
      </c>
      <c r="AE45" s="61"/>
      <c r="AF45" s="72"/>
      <c r="AG45" s="61"/>
      <c r="AH45" s="72"/>
      <c r="AI45" s="61"/>
      <c r="AJ45" s="72"/>
      <c r="AK45" s="61"/>
      <c r="AL45" s="72"/>
      <c r="AM45" s="61"/>
      <c r="AN45" s="72"/>
      <c r="AO45" s="61"/>
      <c r="AP45" s="72"/>
      <c r="AQ45" s="61"/>
      <c r="AR45" s="72"/>
      <c r="AS45" s="61"/>
    </row>
    <row r="46" spans="1:45" ht="16" x14ac:dyDescent="0.2">
      <c r="A46" s="56"/>
      <c r="B46" s="58"/>
      <c r="C46" s="2" t="s">
        <v>1</v>
      </c>
      <c r="D46" s="48">
        <v>0</v>
      </c>
      <c r="E46" s="49"/>
      <c r="F46" s="48">
        <v>0</v>
      </c>
      <c r="G46" s="49"/>
      <c r="H46" s="48">
        <f>5</f>
        <v>5</v>
      </c>
      <c r="I46" s="49"/>
      <c r="J46" s="48">
        <v>0</v>
      </c>
      <c r="K46" s="49"/>
      <c r="L46" s="48">
        <v>0</v>
      </c>
      <c r="M46" s="49"/>
      <c r="N46" s="48">
        <v>0</v>
      </c>
      <c r="O46" s="49"/>
      <c r="P46" s="48">
        <v>0</v>
      </c>
      <c r="Q46" s="49"/>
      <c r="R46" s="46">
        <v>0</v>
      </c>
      <c r="S46" s="47"/>
      <c r="T46" s="46">
        <v>0</v>
      </c>
      <c r="U46" s="47"/>
      <c r="V46" s="46">
        <v>1</v>
      </c>
      <c r="W46" s="47"/>
      <c r="X46" s="46">
        <v>0</v>
      </c>
      <c r="Y46" s="47"/>
      <c r="Z46" s="46">
        <v>0</v>
      </c>
      <c r="AA46" s="47"/>
      <c r="AB46" s="46">
        <v>0</v>
      </c>
      <c r="AC46" s="47"/>
      <c r="AD46" s="46">
        <v>0</v>
      </c>
      <c r="AE46" s="47"/>
      <c r="AF46" s="62"/>
      <c r="AG46" s="49"/>
      <c r="AH46" s="62"/>
      <c r="AI46" s="49"/>
      <c r="AJ46" s="62"/>
      <c r="AK46" s="49"/>
      <c r="AL46" s="62"/>
      <c r="AM46" s="49"/>
      <c r="AN46" s="62"/>
      <c r="AO46" s="49"/>
      <c r="AP46" s="62"/>
      <c r="AQ46" s="49"/>
      <c r="AR46" s="62"/>
      <c r="AS46" s="49"/>
    </row>
    <row r="47" spans="1:45" ht="16" x14ac:dyDescent="0.2">
      <c r="A47" s="56"/>
      <c r="B47" s="58"/>
      <c r="C47" s="2" t="s">
        <v>2</v>
      </c>
      <c r="D47" s="48">
        <v>0</v>
      </c>
      <c r="E47" s="49"/>
      <c r="F47" s="48">
        <v>0</v>
      </c>
      <c r="G47" s="49"/>
      <c r="H47" s="48">
        <v>0</v>
      </c>
      <c r="I47" s="49"/>
      <c r="J47" s="48">
        <v>0</v>
      </c>
      <c r="K47" s="49"/>
      <c r="L47" s="48">
        <v>0</v>
      </c>
      <c r="M47" s="49"/>
      <c r="N47" s="48">
        <v>0</v>
      </c>
      <c r="O47" s="49"/>
      <c r="P47" s="48">
        <v>0</v>
      </c>
      <c r="Q47" s="49"/>
      <c r="R47" s="48">
        <v>0</v>
      </c>
      <c r="S47" s="49"/>
      <c r="T47" s="48">
        <v>0</v>
      </c>
      <c r="U47" s="49"/>
      <c r="V47" s="48">
        <v>0</v>
      </c>
      <c r="W47" s="49"/>
      <c r="X47" s="46">
        <v>0</v>
      </c>
      <c r="Y47" s="47"/>
      <c r="Z47" s="46">
        <v>0</v>
      </c>
      <c r="AA47" s="47"/>
      <c r="AB47" s="46">
        <v>0</v>
      </c>
      <c r="AC47" s="47"/>
      <c r="AD47" s="46">
        <v>0</v>
      </c>
      <c r="AE47" s="47"/>
      <c r="AF47" s="62"/>
      <c r="AG47" s="49"/>
      <c r="AH47" s="62"/>
      <c r="AI47" s="49"/>
      <c r="AJ47" s="62"/>
      <c r="AK47" s="49"/>
      <c r="AL47" s="62"/>
      <c r="AM47" s="49"/>
      <c r="AN47" s="62"/>
      <c r="AO47" s="49"/>
      <c r="AP47" s="62"/>
      <c r="AQ47" s="49"/>
      <c r="AR47" s="62"/>
      <c r="AS47" s="49"/>
    </row>
    <row r="48" spans="1:45" ht="16" x14ac:dyDescent="0.2">
      <c r="A48" s="56"/>
      <c r="B48" s="58"/>
      <c r="C48" s="2" t="s">
        <v>3</v>
      </c>
      <c r="D48" s="48">
        <v>0</v>
      </c>
      <c r="E48" s="49"/>
      <c r="F48" s="48">
        <v>0</v>
      </c>
      <c r="G48" s="49"/>
      <c r="H48" s="48">
        <v>0</v>
      </c>
      <c r="I48" s="49"/>
      <c r="J48" s="48">
        <v>0</v>
      </c>
      <c r="K48" s="49"/>
      <c r="L48" s="48">
        <v>0</v>
      </c>
      <c r="M48" s="49"/>
      <c r="N48" s="48">
        <v>0</v>
      </c>
      <c r="O48" s="49"/>
      <c r="P48" s="48">
        <v>0</v>
      </c>
      <c r="Q48" s="49"/>
      <c r="R48" s="46">
        <v>0</v>
      </c>
      <c r="S48" s="47"/>
      <c r="T48" s="54">
        <v>13</v>
      </c>
      <c r="U48" s="55"/>
      <c r="V48" s="54">
        <v>14</v>
      </c>
      <c r="W48" s="55"/>
      <c r="X48" s="46">
        <v>0</v>
      </c>
      <c r="Y48" s="47"/>
      <c r="Z48" s="46">
        <v>0</v>
      </c>
      <c r="AA48" s="47"/>
      <c r="AB48" s="46">
        <v>0</v>
      </c>
      <c r="AC48" s="47"/>
      <c r="AD48" s="46">
        <v>0</v>
      </c>
      <c r="AE48" s="47"/>
      <c r="AF48" s="62"/>
      <c r="AG48" s="49"/>
      <c r="AH48" s="62"/>
      <c r="AI48" s="49"/>
      <c r="AJ48" s="62"/>
      <c r="AK48" s="49"/>
      <c r="AL48" s="62"/>
      <c r="AM48" s="49"/>
      <c r="AN48" s="62"/>
      <c r="AO48" s="49"/>
      <c r="AP48" s="62"/>
      <c r="AQ48" s="49"/>
      <c r="AR48" s="62"/>
      <c r="AS48" s="49"/>
    </row>
    <row r="49" spans="1:45" ht="16" x14ac:dyDescent="0.2">
      <c r="A49" s="56"/>
      <c r="B49" s="58"/>
      <c r="C49" s="2" t="s">
        <v>4</v>
      </c>
      <c r="D49" s="48">
        <f>48+23+95+25+38+78+178+84+100</f>
        <v>669</v>
      </c>
      <c r="E49" s="49"/>
      <c r="F49" s="48">
        <f>34+30+112+150+31+105+29+75+40+100</f>
        <v>706</v>
      </c>
      <c r="G49" s="49"/>
      <c r="H49" s="48">
        <f>42+50+70+68+52+37+50+72+57+25</f>
        <v>523</v>
      </c>
      <c r="I49" s="49"/>
      <c r="J49" s="48">
        <f>150+203+160+51+123+42+47+90+28</f>
        <v>894</v>
      </c>
      <c r="K49" s="49"/>
      <c r="L49" s="48">
        <f>38+80+35+27+92+58+31+34+40</f>
        <v>435</v>
      </c>
      <c r="M49" s="49"/>
      <c r="N49" s="48">
        <f>24+50+62+36+54+28+43+36+63</f>
        <v>396</v>
      </c>
      <c r="O49" s="49"/>
      <c r="P49" s="48">
        <f>30+21+15+30+17+20+20+60+18+19</f>
        <v>250</v>
      </c>
      <c r="Q49" s="49"/>
      <c r="R49" s="46">
        <f>24+35+50+30+28+44+215+30+21+21</f>
        <v>498</v>
      </c>
      <c r="S49" s="47"/>
      <c r="T49" s="46">
        <f>24+30+60+36+20+17+220+30+33+28</f>
        <v>498</v>
      </c>
      <c r="U49" s="47"/>
      <c r="V49" s="46">
        <f>24+30+60+36+20+17+220+30+33+28</f>
        <v>498</v>
      </c>
      <c r="W49" s="47"/>
      <c r="X49" s="46">
        <f>32+42+120+200+250+40+250+200+20+200</f>
        <v>1354</v>
      </c>
      <c r="Y49" s="47"/>
      <c r="Z49" s="46">
        <f>100+120+120+0+42+58+220+70+180+150</f>
        <v>1060</v>
      </c>
      <c r="AA49" s="47"/>
      <c r="AB49" s="46">
        <f>150+250+160+22+98+32+215+75+200+187</f>
        <v>1389</v>
      </c>
      <c r="AC49" s="47"/>
      <c r="AD49" s="48">
        <f>0+220+65+70+90+53+320+90+190+45</f>
        <v>1143</v>
      </c>
      <c r="AE49" s="49"/>
      <c r="AF49" s="62"/>
      <c r="AG49" s="49"/>
      <c r="AH49" s="62"/>
      <c r="AI49" s="49"/>
      <c r="AJ49" s="62"/>
      <c r="AK49" s="49"/>
      <c r="AL49" s="62"/>
      <c r="AM49" s="49"/>
      <c r="AN49" s="62"/>
      <c r="AO49" s="49"/>
      <c r="AP49" s="62"/>
      <c r="AQ49" s="49"/>
      <c r="AR49" s="62"/>
      <c r="AS49" s="49"/>
    </row>
    <row r="50" spans="1:45" ht="16" x14ac:dyDescent="0.2">
      <c r="A50" s="56"/>
      <c r="B50" s="58"/>
      <c r="C50" s="2" t="s">
        <v>5</v>
      </c>
      <c r="D50" s="48">
        <f>22+28+16+30+38+20+42+26+10</f>
        <v>232</v>
      </c>
      <c r="E50" s="49"/>
      <c r="F50" s="48">
        <f>36+26+72+13+18+35+29+26+150+10</f>
        <v>415</v>
      </c>
      <c r="G50" s="49"/>
      <c r="H50" s="48">
        <f>8+6+35+5+4+25+80+83+8+4</f>
        <v>258</v>
      </c>
      <c r="I50" s="49"/>
      <c r="J50" s="48">
        <f>40+315+315+29+83+33+38+45+32</f>
        <v>930</v>
      </c>
      <c r="K50" s="49"/>
      <c r="L50" s="48">
        <f>39+22+29+72+117+30+40+30+38</f>
        <v>417</v>
      </c>
      <c r="M50" s="49"/>
      <c r="N50" s="48">
        <f>0+32+30+20+21+20+36+32+15</f>
        <v>206</v>
      </c>
      <c r="O50" s="49"/>
      <c r="P50" s="48">
        <f>10+15+32+23+16+15+30+14+38+28</f>
        <v>221</v>
      </c>
      <c r="Q50" s="49"/>
      <c r="R50" s="46">
        <f>15+20+30+10+21+27+100+15+18+17</f>
        <v>273</v>
      </c>
      <c r="S50" s="47"/>
      <c r="T50" s="46">
        <f>12+48+40+24+11+11+115+18+21+17</f>
        <v>317</v>
      </c>
      <c r="U50" s="47"/>
      <c r="V50" s="46">
        <f>12+48+40+24+11+11+115+18+21+17</f>
        <v>317</v>
      </c>
      <c r="W50" s="47"/>
      <c r="X50" s="46">
        <f>350+200+40+35+32+85+80+60+42+32</f>
        <v>956</v>
      </c>
      <c r="Y50" s="47"/>
      <c r="Z50" s="46">
        <f>220+250+30+102+58+42+150+200+220+150</f>
        <v>1422</v>
      </c>
      <c r="AA50" s="47"/>
      <c r="AB50" s="46">
        <f>42+97+30+40+27+35+120+52+110+160</f>
        <v>713</v>
      </c>
      <c r="AC50" s="47"/>
      <c r="AD50" s="48">
        <f>39+230+35+3+50+200+70+125+192+30</f>
        <v>974</v>
      </c>
      <c r="AE50" s="49"/>
      <c r="AF50" s="62"/>
      <c r="AG50" s="49"/>
      <c r="AH50" s="62"/>
      <c r="AI50" s="49"/>
      <c r="AJ50" s="62"/>
      <c r="AK50" s="49"/>
      <c r="AL50" s="62"/>
      <c r="AM50" s="49"/>
      <c r="AN50" s="62"/>
      <c r="AO50" s="49"/>
      <c r="AP50" s="62"/>
      <c r="AQ50" s="49"/>
      <c r="AR50" s="62"/>
      <c r="AS50" s="49"/>
    </row>
    <row r="51" spans="1:45" ht="16" x14ac:dyDescent="0.2">
      <c r="A51" s="56"/>
      <c r="B51" s="58"/>
      <c r="C51" s="2" t="s">
        <v>6</v>
      </c>
      <c r="D51" s="13"/>
      <c r="E51" s="8">
        <v>10</v>
      </c>
      <c r="F51" s="13">
        <v>0</v>
      </c>
      <c r="G51" s="8">
        <v>10</v>
      </c>
      <c r="H51" s="13"/>
      <c r="I51" s="8"/>
      <c r="J51" s="13"/>
      <c r="K51" s="8"/>
      <c r="L51" s="13"/>
      <c r="M51" s="8"/>
      <c r="N51" s="13"/>
      <c r="O51" s="8"/>
      <c r="P51" s="13"/>
      <c r="Q51" s="8"/>
      <c r="R51" s="15">
        <v>10</v>
      </c>
      <c r="S51" s="16"/>
      <c r="T51" s="15">
        <v>10</v>
      </c>
      <c r="U51" s="16"/>
      <c r="V51" s="15">
        <v>10</v>
      </c>
      <c r="W51" s="16"/>
      <c r="X51" s="15"/>
      <c r="Y51" s="16"/>
      <c r="Z51" s="15"/>
      <c r="AA51" s="16"/>
      <c r="AB51" s="15"/>
      <c r="AC51" s="16"/>
      <c r="AD51" s="13"/>
      <c r="AE51" s="8"/>
      <c r="AF51" s="11"/>
      <c r="AG51" s="8"/>
      <c r="AH51" s="11"/>
      <c r="AI51" s="8"/>
      <c r="AJ51" s="11"/>
      <c r="AK51" s="8"/>
      <c r="AL51" s="11"/>
      <c r="AM51" s="8"/>
      <c r="AN51" s="11"/>
      <c r="AO51" s="8"/>
      <c r="AP51" s="11"/>
      <c r="AQ51" s="8"/>
      <c r="AR51" s="11"/>
      <c r="AS51" s="8"/>
    </row>
    <row r="52" spans="1:45" ht="17" thickBot="1" x14ac:dyDescent="0.25">
      <c r="A52" s="56"/>
      <c r="B52" s="59"/>
      <c r="C52" s="9" t="s">
        <v>7</v>
      </c>
      <c r="D52" s="14">
        <v>1</v>
      </c>
      <c r="E52" s="10">
        <v>9</v>
      </c>
      <c r="F52" s="14">
        <v>2</v>
      </c>
      <c r="G52" s="10">
        <v>8</v>
      </c>
      <c r="H52" s="14">
        <v>1</v>
      </c>
      <c r="I52" s="10"/>
      <c r="J52" s="14"/>
      <c r="K52" s="10"/>
      <c r="L52" s="14"/>
      <c r="M52" s="10"/>
      <c r="N52" s="14"/>
      <c r="O52" s="10"/>
      <c r="P52" s="14"/>
      <c r="Q52" s="10"/>
      <c r="R52" s="17">
        <v>10</v>
      </c>
      <c r="S52" s="18"/>
      <c r="T52" s="17">
        <v>10</v>
      </c>
      <c r="U52" s="18"/>
      <c r="V52" s="17">
        <v>10</v>
      </c>
      <c r="W52" s="18"/>
      <c r="X52" s="17"/>
      <c r="Y52" s="18"/>
      <c r="Z52" s="17"/>
      <c r="AA52" s="18"/>
      <c r="AB52" s="17"/>
      <c r="AC52" s="18"/>
      <c r="AD52" s="14"/>
      <c r="AE52" s="10"/>
      <c r="AF52" s="12"/>
      <c r="AG52" s="10"/>
      <c r="AH52" s="12"/>
      <c r="AI52" s="10"/>
      <c r="AJ52" s="12"/>
      <c r="AK52" s="10"/>
      <c r="AL52" s="12"/>
      <c r="AM52" s="10"/>
      <c r="AN52" s="12"/>
      <c r="AO52" s="10"/>
      <c r="AP52" s="12"/>
      <c r="AQ52" s="10"/>
      <c r="AR52" s="12"/>
      <c r="AS52" s="10"/>
    </row>
    <row r="53" spans="1:45" ht="17" thickTop="1" x14ac:dyDescent="0.2">
      <c r="A53" s="56" t="s">
        <v>19</v>
      </c>
      <c r="B53" s="57" t="s">
        <v>18</v>
      </c>
      <c r="C53" s="7" t="s">
        <v>0</v>
      </c>
      <c r="D53" s="60">
        <f>286+43+76+56+123+154+20+162+67+208</f>
        <v>1195</v>
      </c>
      <c r="E53" s="61"/>
      <c r="F53" s="60">
        <f>74+170+44+85+15+37+71+212+41</f>
        <v>749</v>
      </c>
      <c r="G53" s="61"/>
      <c r="H53" s="60">
        <f>27+36+20+176+120+110+80+120+50+60</f>
        <v>799</v>
      </c>
      <c r="I53" s="61"/>
      <c r="J53" s="60">
        <f>100+187+54+74+100+35+20+78+90+75</f>
        <v>813</v>
      </c>
      <c r="K53" s="61"/>
      <c r="L53" s="60">
        <f>26+84+42+20+60+62+44+35+52+20</f>
        <v>445</v>
      </c>
      <c r="M53" s="61"/>
      <c r="N53" s="60">
        <f>56+57+100+45+20+90+54+65+36+60</f>
        <v>583</v>
      </c>
      <c r="O53" s="61"/>
      <c r="P53" s="60">
        <f>50+44+75+20+26+52+110+36+175+60</f>
        <v>648</v>
      </c>
      <c r="Q53" s="61"/>
      <c r="R53" s="50">
        <f>51+60+58+20+50+65+93+36+45+0</f>
        <v>478</v>
      </c>
      <c r="S53" s="51"/>
      <c r="T53" s="50">
        <f>250+54+50+20+36+52+100+36+150+28</f>
        <v>776</v>
      </c>
      <c r="U53" s="51"/>
      <c r="V53" s="50">
        <f>250+54+50+20+36+52+100+36+150+28</f>
        <v>776</v>
      </c>
      <c r="W53" s="51"/>
      <c r="X53" s="50">
        <f>205+80+25+20+57+40+94+36+100+160</f>
        <v>817</v>
      </c>
      <c r="Y53" s="51"/>
      <c r="Z53" s="50">
        <f>86+78+45+30+45+80+68+36+30</f>
        <v>498</v>
      </c>
      <c r="AA53" s="51"/>
      <c r="AB53" s="50">
        <f>38+120+38+20+70+64+287+215+180+120</f>
        <v>1152</v>
      </c>
      <c r="AC53" s="51"/>
      <c r="AD53" s="60">
        <f>187+67+26+20+58+120+68+207+75+40</f>
        <v>868</v>
      </c>
      <c r="AE53" s="61"/>
      <c r="AF53" s="72"/>
      <c r="AG53" s="61"/>
      <c r="AH53" s="72"/>
      <c r="AI53" s="61"/>
      <c r="AJ53" s="72"/>
      <c r="AK53" s="61"/>
      <c r="AL53" s="72"/>
      <c r="AM53" s="61"/>
      <c r="AN53" s="72"/>
      <c r="AO53" s="61"/>
      <c r="AP53" s="72"/>
      <c r="AQ53" s="61"/>
      <c r="AR53" s="72"/>
      <c r="AS53" s="61"/>
    </row>
    <row r="54" spans="1:45" ht="16" x14ac:dyDescent="0.2">
      <c r="A54" s="56"/>
      <c r="B54" s="58"/>
      <c r="C54" s="2" t="s">
        <v>1</v>
      </c>
      <c r="D54" s="48">
        <v>0</v>
      </c>
      <c r="E54" s="49"/>
      <c r="F54" s="48"/>
      <c r="G54" s="49"/>
      <c r="H54" s="48">
        <v>0</v>
      </c>
      <c r="I54" s="49"/>
      <c r="J54" s="48">
        <v>0</v>
      </c>
      <c r="K54" s="49"/>
      <c r="L54" s="48">
        <v>0</v>
      </c>
      <c r="M54" s="49"/>
      <c r="N54" s="48">
        <v>0</v>
      </c>
      <c r="O54" s="49"/>
      <c r="P54" s="48">
        <v>0</v>
      </c>
      <c r="Q54" s="49"/>
      <c r="R54" s="46">
        <v>0</v>
      </c>
      <c r="S54" s="47"/>
      <c r="T54" s="46">
        <v>0</v>
      </c>
      <c r="U54" s="47"/>
      <c r="V54" s="46">
        <v>0</v>
      </c>
      <c r="W54" s="47"/>
      <c r="X54" s="46">
        <v>0</v>
      </c>
      <c r="Y54" s="47"/>
      <c r="Z54" s="46">
        <v>0</v>
      </c>
      <c r="AA54" s="47"/>
      <c r="AB54" s="46">
        <v>0</v>
      </c>
      <c r="AC54" s="47"/>
      <c r="AD54" s="48">
        <v>0</v>
      </c>
      <c r="AE54" s="49"/>
      <c r="AF54" s="62"/>
      <c r="AG54" s="49"/>
      <c r="AH54" s="62"/>
      <c r="AI54" s="49"/>
      <c r="AJ54" s="62"/>
      <c r="AK54" s="49"/>
      <c r="AL54" s="62"/>
      <c r="AM54" s="49"/>
      <c r="AN54" s="62"/>
      <c r="AO54" s="49"/>
      <c r="AP54" s="62"/>
      <c r="AQ54" s="49"/>
      <c r="AR54" s="62"/>
      <c r="AS54" s="49"/>
    </row>
    <row r="55" spans="1:45" ht="16" x14ac:dyDescent="0.2">
      <c r="A55" s="56"/>
      <c r="B55" s="58"/>
      <c r="C55" s="2" t="s">
        <v>2</v>
      </c>
      <c r="D55" s="48">
        <v>0</v>
      </c>
      <c r="E55" s="49"/>
      <c r="F55" s="48"/>
      <c r="G55" s="49"/>
      <c r="H55" s="48">
        <v>0</v>
      </c>
      <c r="I55" s="49"/>
      <c r="J55" s="48">
        <v>0</v>
      </c>
      <c r="K55" s="49"/>
      <c r="L55" s="48">
        <v>0</v>
      </c>
      <c r="M55" s="49"/>
      <c r="N55" s="48">
        <v>0</v>
      </c>
      <c r="O55" s="49"/>
      <c r="P55" s="48">
        <v>0</v>
      </c>
      <c r="Q55" s="49"/>
      <c r="R55" s="46">
        <v>0</v>
      </c>
      <c r="S55" s="47"/>
      <c r="T55" s="46">
        <v>0</v>
      </c>
      <c r="U55" s="47"/>
      <c r="V55" s="46">
        <v>0</v>
      </c>
      <c r="W55" s="47"/>
      <c r="X55" s="46">
        <v>0</v>
      </c>
      <c r="Y55" s="47"/>
      <c r="Z55" s="46">
        <v>0</v>
      </c>
      <c r="AA55" s="47"/>
      <c r="AB55" s="46">
        <v>0</v>
      </c>
      <c r="AC55" s="47"/>
      <c r="AD55" s="48">
        <v>0</v>
      </c>
      <c r="AE55" s="49"/>
      <c r="AF55" s="62"/>
      <c r="AG55" s="49"/>
      <c r="AH55" s="62"/>
      <c r="AI55" s="49"/>
      <c r="AJ55" s="62"/>
      <c r="AK55" s="49"/>
      <c r="AL55" s="62"/>
      <c r="AM55" s="49"/>
      <c r="AN55" s="62"/>
      <c r="AO55" s="49"/>
      <c r="AP55" s="62"/>
      <c r="AQ55" s="49"/>
      <c r="AR55" s="62"/>
      <c r="AS55" s="49"/>
    </row>
    <row r="56" spans="1:45" ht="16" x14ac:dyDescent="0.2">
      <c r="A56" s="56"/>
      <c r="B56" s="58"/>
      <c r="C56" s="2" t="s">
        <v>3</v>
      </c>
      <c r="D56" s="48">
        <v>0</v>
      </c>
      <c r="E56" s="49"/>
      <c r="F56" s="48">
        <v>1</v>
      </c>
      <c r="G56" s="49"/>
      <c r="H56" s="48">
        <v>0</v>
      </c>
      <c r="I56" s="49"/>
      <c r="J56" s="48">
        <v>0</v>
      </c>
      <c r="K56" s="49"/>
      <c r="L56" s="48">
        <v>0</v>
      </c>
      <c r="M56" s="49"/>
      <c r="N56" s="48">
        <v>0</v>
      </c>
      <c r="O56" s="49"/>
      <c r="P56" s="48">
        <v>0</v>
      </c>
      <c r="Q56" s="49"/>
      <c r="R56" s="46">
        <v>0</v>
      </c>
      <c r="S56" s="47"/>
      <c r="T56" s="46">
        <v>0</v>
      </c>
      <c r="U56" s="47"/>
      <c r="V56" s="46">
        <v>0</v>
      </c>
      <c r="W56" s="47"/>
      <c r="X56" s="46">
        <v>0</v>
      </c>
      <c r="Y56" s="47"/>
      <c r="Z56" s="46">
        <v>0</v>
      </c>
      <c r="AA56" s="47"/>
      <c r="AB56" s="46">
        <v>0</v>
      </c>
      <c r="AC56" s="47"/>
      <c r="AD56" s="48">
        <v>0</v>
      </c>
      <c r="AE56" s="49"/>
      <c r="AF56" s="62"/>
      <c r="AG56" s="49"/>
      <c r="AH56" s="62"/>
      <c r="AI56" s="49"/>
      <c r="AJ56" s="62"/>
      <c r="AK56" s="49"/>
      <c r="AL56" s="62"/>
      <c r="AM56" s="49"/>
      <c r="AN56" s="62"/>
      <c r="AO56" s="49"/>
      <c r="AP56" s="62"/>
      <c r="AQ56" s="49"/>
      <c r="AR56" s="62"/>
      <c r="AS56" s="49"/>
    </row>
    <row r="57" spans="1:45" ht="16" x14ac:dyDescent="0.2">
      <c r="A57" s="56"/>
      <c r="B57" s="58"/>
      <c r="C57" s="2" t="s">
        <v>4</v>
      </c>
      <c r="D57" s="48">
        <f>154+21+30+72+15+50+20+120+42+122</f>
        <v>646</v>
      </c>
      <c r="E57" s="49"/>
      <c r="F57" s="48">
        <f>75+166+20+80+5+37+12+133+11</f>
        <v>539</v>
      </c>
      <c r="G57" s="49"/>
      <c r="H57" s="48">
        <f>27+16+20+158+84+100+80+53+18+15</f>
        <v>571</v>
      </c>
      <c r="I57" s="49"/>
      <c r="J57" s="48">
        <f>68+86+16+20+16+20+32+50+120+18</f>
        <v>446</v>
      </c>
      <c r="K57" s="49"/>
      <c r="L57" s="48">
        <f>10+30+25+20+62+60+20+38+72+0</f>
        <v>337</v>
      </c>
      <c r="M57" s="49"/>
      <c r="N57" s="48">
        <f>20+54+20+15+20+60+48+60+26+15</f>
        <v>338</v>
      </c>
      <c r="O57" s="49"/>
      <c r="P57" s="48">
        <f>15+35+26+45+48+15+20+70+41+15</f>
        <v>330</v>
      </c>
      <c r="Q57" s="49"/>
      <c r="R57" s="46">
        <f>44+44+51+20+20+60+28+26+20+31</f>
        <v>344</v>
      </c>
      <c r="S57" s="47"/>
      <c r="T57" s="46">
        <f>20+36+48+20+18+48+36+10+15+25</f>
        <v>276</v>
      </c>
      <c r="U57" s="47"/>
      <c r="V57" s="46">
        <f>20+36+48+20+18+48+36+10+15+25</f>
        <v>276</v>
      </c>
      <c r="W57" s="47"/>
      <c r="X57" s="46">
        <f>160+0+36+94+38+20+20+25+72+205</f>
        <v>670</v>
      </c>
      <c r="Y57" s="47"/>
      <c r="Z57" s="46">
        <f>30+36+68+78+20+20+45+82+82</f>
        <v>461</v>
      </c>
      <c r="AA57" s="47"/>
      <c r="AB57" s="46">
        <f>120+120+30+140+60+35+20+38+110+38</f>
        <v>711</v>
      </c>
      <c r="AC57" s="47"/>
      <c r="AD57" s="48">
        <f>40+60+36+68+112+29+20+26+61+70</f>
        <v>522</v>
      </c>
      <c r="AE57" s="49"/>
      <c r="AF57" s="62"/>
      <c r="AG57" s="49"/>
      <c r="AH57" s="62"/>
      <c r="AI57" s="49"/>
      <c r="AJ57" s="62"/>
      <c r="AK57" s="49"/>
      <c r="AL57" s="62"/>
      <c r="AM57" s="49"/>
      <c r="AN57" s="62"/>
      <c r="AO57" s="49"/>
      <c r="AP57" s="62"/>
      <c r="AQ57" s="49"/>
      <c r="AR57" s="62"/>
      <c r="AS57" s="49"/>
    </row>
    <row r="58" spans="1:45" ht="16" x14ac:dyDescent="0.2">
      <c r="A58" s="56"/>
      <c r="B58" s="58"/>
      <c r="C58" s="2" t="s">
        <v>5</v>
      </c>
      <c r="D58" s="48">
        <f>154+21+30+72+15+50+8+120+42+122</f>
        <v>634</v>
      </c>
      <c r="E58" s="49"/>
      <c r="F58" s="48">
        <f>75+166+24+80+2+37+12+133+11</f>
        <v>540</v>
      </c>
      <c r="G58" s="49"/>
      <c r="H58" s="48">
        <f>27+16+20+158+84+100+80+53+32+15</f>
        <v>585</v>
      </c>
      <c r="I58" s="49"/>
      <c r="J58" s="48">
        <f>18+120+50+42+20+16+20+16+86+68</f>
        <v>456</v>
      </c>
      <c r="K58" s="49"/>
      <c r="L58" s="48">
        <f>15+72+38+0+30+60+24+25+30+10</f>
        <v>304</v>
      </c>
      <c r="M58" s="49"/>
      <c r="N58" s="48">
        <f>20+54+20+20+20+30+48+60+26+7</f>
        <v>305</v>
      </c>
      <c r="O58" s="49"/>
      <c r="P58" s="48">
        <f>20+41+70+20+15+48+65+26+35+7</f>
        <v>347</v>
      </c>
      <c r="Q58" s="49"/>
      <c r="R58" s="46">
        <f>44+44+51+0+20+60+65+26+20+31</f>
        <v>361</v>
      </c>
      <c r="S58" s="47"/>
      <c r="T58" s="46">
        <f>20+36+48+20+18+48+64+10+15+25</f>
        <v>304</v>
      </c>
      <c r="U58" s="47"/>
      <c r="V58" s="46">
        <f>20+36+48+20+18+48+64+10+15+25</f>
        <v>304</v>
      </c>
      <c r="W58" s="47"/>
      <c r="X58" s="46">
        <f>0+72+25+0+20+38+0+0+100+160</f>
        <v>415</v>
      </c>
      <c r="Y58" s="47"/>
      <c r="Z58" s="46">
        <f>82+82+45+20+20+78+0+0+30</f>
        <v>357</v>
      </c>
      <c r="AA58" s="47"/>
      <c r="AB58" s="46">
        <f>250+110+38+10+35+60+0+0+120+120</f>
        <v>743</v>
      </c>
      <c r="AC58" s="47"/>
      <c r="AD58" s="48">
        <f>187+61+26+0+29+112+0+0+60+20</f>
        <v>495</v>
      </c>
      <c r="AE58" s="49"/>
      <c r="AF58" s="62"/>
      <c r="AG58" s="49"/>
      <c r="AH58" s="62"/>
      <c r="AI58" s="49"/>
      <c r="AJ58" s="62"/>
      <c r="AK58" s="49"/>
      <c r="AL58" s="62"/>
      <c r="AM58" s="49"/>
      <c r="AN58" s="62"/>
      <c r="AO58" s="49"/>
      <c r="AP58" s="62"/>
      <c r="AQ58" s="49"/>
      <c r="AR58" s="62"/>
      <c r="AS58" s="49"/>
    </row>
    <row r="59" spans="1:45" ht="16" x14ac:dyDescent="0.2">
      <c r="A59" s="56"/>
      <c r="B59" s="58"/>
      <c r="C59" s="2" t="s">
        <v>6</v>
      </c>
      <c r="D59" s="13"/>
      <c r="E59" s="8">
        <v>10</v>
      </c>
      <c r="F59" s="13">
        <v>2</v>
      </c>
      <c r="G59" s="8">
        <v>8</v>
      </c>
      <c r="H59" s="13">
        <v>2</v>
      </c>
      <c r="I59" s="8"/>
      <c r="J59" s="13"/>
      <c r="K59" s="8"/>
      <c r="L59" s="13"/>
      <c r="M59" s="8"/>
      <c r="N59" s="13"/>
      <c r="O59" s="8"/>
      <c r="P59" s="13"/>
      <c r="Q59" s="8"/>
      <c r="R59" s="15">
        <v>0</v>
      </c>
      <c r="S59" s="16"/>
      <c r="T59" s="15">
        <v>1</v>
      </c>
      <c r="U59" s="16"/>
      <c r="V59" s="15">
        <v>1</v>
      </c>
      <c r="W59" s="16"/>
      <c r="X59" s="15"/>
      <c r="Y59" s="16"/>
      <c r="Z59" s="15"/>
      <c r="AA59" s="16"/>
      <c r="AB59" s="15"/>
      <c r="AC59" s="16"/>
      <c r="AD59" s="13"/>
      <c r="AE59" s="8"/>
      <c r="AF59" s="11"/>
      <c r="AG59" s="8"/>
      <c r="AH59" s="11"/>
      <c r="AI59" s="8"/>
      <c r="AJ59" s="11"/>
      <c r="AK59" s="8"/>
      <c r="AL59" s="11"/>
      <c r="AM59" s="8"/>
      <c r="AN59" s="11"/>
      <c r="AO59" s="8"/>
      <c r="AP59" s="11"/>
      <c r="AQ59" s="8"/>
      <c r="AR59" s="11"/>
      <c r="AS59" s="8"/>
    </row>
    <row r="60" spans="1:45" ht="17" thickBot="1" x14ac:dyDescent="0.25">
      <c r="A60" s="56"/>
      <c r="B60" s="59"/>
      <c r="C60" s="9" t="s">
        <v>7</v>
      </c>
      <c r="D60" s="14">
        <f>1+1+1+1</f>
        <v>4</v>
      </c>
      <c r="E60" s="10">
        <v>6</v>
      </c>
      <c r="F60" s="14">
        <v>2</v>
      </c>
      <c r="G60" s="10">
        <v>8</v>
      </c>
      <c r="H60" s="14"/>
      <c r="I60" s="10"/>
      <c r="J60" s="14"/>
      <c r="K60" s="10"/>
      <c r="L60" s="14"/>
      <c r="M60" s="10"/>
      <c r="N60" s="14"/>
      <c r="O60" s="10"/>
      <c r="P60" s="14"/>
      <c r="Q60" s="10"/>
      <c r="R60" s="17">
        <v>0</v>
      </c>
      <c r="S60" s="18"/>
      <c r="T60" s="17">
        <v>1</v>
      </c>
      <c r="U60" s="18"/>
      <c r="V60" s="17">
        <v>1</v>
      </c>
      <c r="W60" s="18"/>
      <c r="X60" s="17"/>
      <c r="Y60" s="18"/>
      <c r="Z60" s="17"/>
      <c r="AA60" s="18"/>
      <c r="AB60" s="17"/>
      <c r="AC60" s="18"/>
      <c r="AD60" s="14"/>
      <c r="AE60" s="10"/>
      <c r="AF60" s="12"/>
      <c r="AG60" s="10"/>
      <c r="AH60" s="12"/>
      <c r="AI60" s="10"/>
      <c r="AJ60" s="12"/>
      <c r="AK60" s="10"/>
      <c r="AL60" s="12"/>
      <c r="AM60" s="10"/>
      <c r="AN60" s="12"/>
      <c r="AO60" s="10"/>
      <c r="AP60" s="12"/>
      <c r="AQ60" s="10"/>
      <c r="AR60" s="12"/>
      <c r="AS60" s="10"/>
    </row>
    <row r="61" spans="1:45" ht="17" thickTop="1" x14ac:dyDescent="0.2">
      <c r="A61" s="56"/>
      <c r="B61" s="57" t="s">
        <v>21</v>
      </c>
      <c r="C61" s="7" t="s">
        <v>0</v>
      </c>
      <c r="D61" s="60">
        <f>44+24+70+39+52+63+50+32+95</f>
        <v>469</v>
      </c>
      <c r="E61" s="61"/>
      <c r="F61" s="60">
        <f>115+295+105+57+56+100+84+165+47+30</f>
        <v>1054</v>
      </c>
      <c r="G61" s="61"/>
      <c r="H61" s="60">
        <f>100+56+50+142+123+76+82+39+74+105</f>
        <v>847</v>
      </c>
      <c r="I61" s="61"/>
      <c r="J61" s="60">
        <f>90+59+94+150+60+30+62+97+108+94</f>
        <v>844</v>
      </c>
      <c r="K61" s="61"/>
      <c r="L61" s="60">
        <f>63+56+93+30+25+55+115+98+73+102</f>
        <v>710</v>
      </c>
      <c r="M61" s="61"/>
      <c r="N61" s="60">
        <f>67+180+91+87+62+180+30+91+142+70</f>
        <v>1000</v>
      </c>
      <c r="O61" s="61"/>
      <c r="P61" s="60">
        <f>62+84+32+50+72+93+96+51+25+110</f>
        <v>675</v>
      </c>
      <c r="Q61" s="61"/>
      <c r="R61" s="50">
        <f>87+150+85+87+102+93+93+72+60+110</f>
        <v>939</v>
      </c>
      <c r="S61" s="51"/>
      <c r="T61" s="50">
        <f>70+95+61+90+96+93+87+57+60+131</f>
        <v>840</v>
      </c>
      <c r="U61" s="51"/>
      <c r="V61" s="50">
        <f>70+95+61+90+96+93+87+57+60+131</f>
        <v>840</v>
      </c>
      <c r="W61" s="51"/>
      <c r="X61" s="50">
        <f>150+210+270+150+66+155+96+76+30+310</f>
        <v>1513</v>
      </c>
      <c r="Y61" s="51"/>
      <c r="Z61" s="50">
        <f>190+120+91+228+63+197+64+79+30+127</f>
        <v>1189</v>
      </c>
      <c r="AA61" s="51"/>
      <c r="AB61" s="50">
        <f>195+130+62+240+60+97+94+55+90+115</f>
        <v>1138</v>
      </c>
      <c r="AC61" s="51"/>
      <c r="AD61" s="60">
        <f>180+86+100+100+72+92+80+66+80+98</f>
        <v>954</v>
      </c>
      <c r="AE61" s="61"/>
      <c r="AF61" s="72"/>
      <c r="AG61" s="61"/>
      <c r="AH61" s="72"/>
      <c r="AI61" s="61"/>
      <c r="AJ61" s="72"/>
      <c r="AK61" s="61"/>
      <c r="AL61" s="72"/>
      <c r="AM61" s="61"/>
      <c r="AN61" s="72"/>
      <c r="AO61" s="61"/>
      <c r="AP61" s="72"/>
      <c r="AQ61" s="61"/>
      <c r="AR61" s="72"/>
      <c r="AS61" s="61"/>
    </row>
    <row r="62" spans="1:45" ht="16" x14ac:dyDescent="0.2">
      <c r="A62" s="56"/>
      <c r="B62" s="58"/>
      <c r="C62" s="2" t="s">
        <v>1</v>
      </c>
      <c r="D62" s="48">
        <v>0</v>
      </c>
      <c r="E62" s="49"/>
      <c r="F62" s="48">
        <v>0</v>
      </c>
      <c r="G62" s="49"/>
      <c r="H62" s="48">
        <v>0</v>
      </c>
      <c r="I62" s="49"/>
      <c r="J62" s="48">
        <v>0</v>
      </c>
      <c r="K62" s="49"/>
      <c r="L62" s="48">
        <v>0</v>
      </c>
      <c r="M62" s="49"/>
      <c r="N62" s="48">
        <v>0</v>
      </c>
      <c r="O62" s="49"/>
      <c r="P62" s="48">
        <v>0</v>
      </c>
      <c r="Q62" s="49"/>
      <c r="R62" s="46">
        <v>0</v>
      </c>
      <c r="S62" s="47"/>
      <c r="T62" s="54">
        <v>15</v>
      </c>
      <c r="U62" s="55"/>
      <c r="V62" s="54">
        <v>16</v>
      </c>
      <c r="W62" s="55"/>
      <c r="X62" s="46">
        <v>0</v>
      </c>
      <c r="Y62" s="47"/>
      <c r="Z62" s="46">
        <v>0</v>
      </c>
      <c r="AA62" s="47"/>
      <c r="AB62" s="46">
        <v>0</v>
      </c>
      <c r="AC62" s="47"/>
      <c r="AD62" s="46">
        <v>0</v>
      </c>
      <c r="AE62" s="47"/>
      <c r="AF62" s="62"/>
      <c r="AG62" s="49"/>
      <c r="AH62" s="62"/>
      <c r="AI62" s="49"/>
      <c r="AJ62" s="62"/>
      <c r="AK62" s="49"/>
      <c r="AL62" s="62"/>
      <c r="AM62" s="49"/>
      <c r="AN62" s="62"/>
      <c r="AO62" s="49"/>
      <c r="AP62" s="62"/>
      <c r="AQ62" s="49"/>
      <c r="AR62" s="62"/>
      <c r="AS62" s="49"/>
    </row>
    <row r="63" spans="1:45" ht="16" x14ac:dyDescent="0.2">
      <c r="A63" s="56"/>
      <c r="B63" s="58"/>
      <c r="C63" s="2" t="s">
        <v>2</v>
      </c>
      <c r="D63" s="48">
        <v>0</v>
      </c>
      <c r="E63" s="49"/>
      <c r="F63" s="48">
        <v>0</v>
      </c>
      <c r="G63" s="49"/>
      <c r="H63" s="48">
        <v>0</v>
      </c>
      <c r="I63" s="49"/>
      <c r="J63" s="48">
        <v>0</v>
      </c>
      <c r="K63" s="49"/>
      <c r="L63" s="48">
        <v>0</v>
      </c>
      <c r="M63" s="49"/>
      <c r="N63" s="48">
        <v>0</v>
      </c>
      <c r="O63" s="49"/>
      <c r="P63" s="48">
        <v>0</v>
      </c>
      <c r="Q63" s="49"/>
      <c r="R63" s="46">
        <v>0</v>
      </c>
      <c r="S63" s="47"/>
      <c r="T63" s="46">
        <v>0</v>
      </c>
      <c r="U63" s="47"/>
      <c r="V63" s="46">
        <v>0</v>
      </c>
      <c r="W63" s="47"/>
      <c r="X63" s="46">
        <v>0</v>
      </c>
      <c r="Y63" s="47"/>
      <c r="Z63" s="46">
        <v>0</v>
      </c>
      <c r="AA63" s="47"/>
      <c r="AB63" s="46">
        <v>0</v>
      </c>
      <c r="AC63" s="47"/>
      <c r="AD63" s="46">
        <v>0</v>
      </c>
      <c r="AE63" s="47"/>
      <c r="AF63" s="62"/>
      <c r="AG63" s="49"/>
      <c r="AH63" s="62"/>
      <c r="AI63" s="49"/>
      <c r="AJ63" s="62"/>
      <c r="AK63" s="49"/>
      <c r="AL63" s="62"/>
      <c r="AM63" s="49"/>
      <c r="AN63" s="62"/>
      <c r="AO63" s="49"/>
      <c r="AP63" s="62"/>
      <c r="AQ63" s="49"/>
      <c r="AR63" s="62"/>
      <c r="AS63" s="49"/>
    </row>
    <row r="64" spans="1:45" ht="16" x14ac:dyDescent="0.2">
      <c r="A64" s="56"/>
      <c r="B64" s="58"/>
      <c r="C64" s="2" t="s">
        <v>3</v>
      </c>
      <c r="D64" s="48">
        <v>0</v>
      </c>
      <c r="E64" s="49"/>
      <c r="F64" s="48">
        <v>0</v>
      </c>
      <c r="G64" s="49"/>
      <c r="H64" s="48">
        <v>0</v>
      </c>
      <c r="I64" s="49"/>
      <c r="J64" s="48">
        <v>0</v>
      </c>
      <c r="K64" s="49"/>
      <c r="L64" s="48">
        <v>0</v>
      </c>
      <c r="M64" s="49"/>
      <c r="N64" s="48">
        <v>0</v>
      </c>
      <c r="O64" s="49"/>
      <c r="P64" s="48">
        <v>0</v>
      </c>
      <c r="Q64" s="49"/>
      <c r="R64" s="46">
        <v>0</v>
      </c>
      <c r="S64" s="47"/>
      <c r="T64" s="46">
        <v>0</v>
      </c>
      <c r="U64" s="47"/>
      <c r="V64" s="46">
        <v>1</v>
      </c>
      <c r="W64" s="47"/>
      <c r="X64" s="46">
        <v>0</v>
      </c>
      <c r="Y64" s="47"/>
      <c r="Z64" s="46">
        <v>0</v>
      </c>
      <c r="AA64" s="47"/>
      <c r="AB64" s="46">
        <v>0</v>
      </c>
      <c r="AC64" s="47"/>
      <c r="AD64" s="46">
        <v>0</v>
      </c>
      <c r="AE64" s="47"/>
      <c r="AF64" s="62"/>
      <c r="AG64" s="49"/>
      <c r="AH64" s="62"/>
      <c r="AI64" s="49"/>
      <c r="AJ64" s="62"/>
      <c r="AK64" s="49"/>
      <c r="AL64" s="62"/>
      <c r="AM64" s="49"/>
      <c r="AN64" s="62"/>
      <c r="AO64" s="49"/>
      <c r="AP64" s="62"/>
      <c r="AQ64" s="49"/>
      <c r="AR64" s="62"/>
      <c r="AS64" s="49"/>
    </row>
    <row r="65" spans="1:45" ht="16" x14ac:dyDescent="0.2">
      <c r="A65" s="56"/>
      <c r="B65" s="58"/>
      <c r="C65" s="2" t="s">
        <v>4</v>
      </c>
      <c r="D65" s="48">
        <f>19+30+63+40+35+19+30+22+45</f>
        <v>303</v>
      </c>
      <c r="E65" s="49"/>
      <c r="F65" s="48">
        <f>69+118+82+30+26+52+64+95+28+20</f>
        <v>584</v>
      </c>
      <c r="G65" s="49"/>
      <c r="H65" s="48">
        <f>50+16+32+48+70+10+52+24+10+75</f>
        <v>387</v>
      </c>
      <c r="I65" s="49"/>
      <c r="J65" s="48">
        <f>60+28+52+90+25+20+22+39+57+14</f>
        <v>407</v>
      </c>
      <c r="K65" s="49"/>
      <c r="L65" s="48">
        <f>52+20+13+65+55+35+15+42+36+42</f>
        <v>375</v>
      </c>
      <c r="M65" s="49"/>
      <c r="N65" s="48">
        <f>54+87+71+10+53+29+21+71+140+19</f>
        <v>555</v>
      </c>
      <c r="O65" s="49"/>
      <c r="P65" s="48">
        <f>52+15+26+13+40+24+50+27+36+34</f>
        <v>317</v>
      </c>
      <c r="Q65" s="49"/>
      <c r="R65" s="46">
        <f>30+92+ 30+30+26+63+13+19+15+57</f>
        <v>375</v>
      </c>
      <c r="S65" s="47"/>
      <c r="T65" s="46">
        <f>30+52+28+90+50+65+13+24+20+73</f>
        <v>445</v>
      </c>
      <c r="U65" s="47"/>
      <c r="V65" s="46">
        <f>30+52+28+90+50+65+13+24+20+73</f>
        <v>445</v>
      </c>
      <c r="W65" s="47"/>
      <c r="X65" s="46">
        <f>300+0+38+92+155+271+0+135+210+130</f>
        <v>1331</v>
      </c>
      <c r="Y65" s="47"/>
      <c r="Z65" s="46">
        <f>173+80+39+32+39+268+228+72+120+160</f>
        <v>1211</v>
      </c>
      <c r="AA65" s="47"/>
      <c r="AB65" s="46">
        <f>210+200+27+94+80+268+240+27+130+190</f>
        <v>1466</v>
      </c>
      <c r="AC65" s="47"/>
      <c r="AD65" s="48">
        <f>75+20+29+42+80+268+100+37+86+200</f>
        <v>937</v>
      </c>
      <c r="AE65" s="49"/>
      <c r="AF65" s="62"/>
      <c r="AG65" s="49"/>
      <c r="AH65" s="62"/>
      <c r="AI65" s="49"/>
      <c r="AJ65" s="62"/>
      <c r="AK65" s="49"/>
      <c r="AL65" s="62"/>
      <c r="AM65" s="49"/>
      <c r="AN65" s="62"/>
      <c r="AO65" s="49"/>
      <c r="AP65" s="62"/>
      <c r="AQ65" s="49"/>
      <c r="AR65" s="62"/>
      <c r="AS65" s="49"/>
    </row>
    <row r="66" spans="1:45" ht="16" x14ac:dyDescent="0.2">
      <c r="A66" s="56"/>
      <c r="B66" s="58"/>
      <c r="C66" s="2" t="s">
        <v>5</v>
      </c>
      <c r="D66" s="48">
        <f>22+30+18+40+35+39+15+18+31</f>
        <v>248</v>
      </c>
      <c r="E66" s="49"/>
      <c r="F66" s="48">
        <f>69+72+54+19+26+52+56+37+23+22</f>
        <v>430</v>
      </c>
      <c r="G66" s="49"/>
      <c r="H66" s="48">
        <f>50+0+25+33+70+20+35+21+5+37</f>
        <v>296</v>
      </c>
      <c r="I66" s="49"/>
      <c r="J66" s="48">
        <f>28+28+41+90+19+5+15+39+34+7</f>
        <v>306</v>
      </c>
      <c r="K66" s="49"/>
      <c r="L66" s="48">
        <f>34+22+42+10+35+17+48+17+17+48</f>
        <v>290</v>
      </c>
      <c r="M66" s="49"/>
      <c r="N66" s="48">
        <f>10+73+45+11+29+53+20+71+32+22</f>
        <v>366</v>
      </c>
      <c r="O66" s="49"/>
      <c r="P66" s="48">
        <f>22+36+27+25+24+53+9+16+26+41</f>
        <v>279</v>
      </c>
      <c r="Q66" s="49"/>
      <c r="R66" s="46">
        <f>20+47+29+25+26+20+6+5+20+49</f>
        <v>247</v>
      </c>
      <c r="S66" s="47"/>
      <c r="T66" s="46">
        <f>20+48+28+30+50+20+7+7+10+52</f>
        <v>272</v>
      </c>
      <c r="U66" s="47"/>
      <c r="V66" s="46">
        <f>20+48+28+30+50+20+7+7+10+52</f>
        <v>272</v>
      </c>
      <c r="W66" s="47"/>
      <c r="X66" s="46">
        <f>46+210+210+67+271+78+46+19+20+50</f>
        <v>1017</v>
      </c>
      <c r="Y66" s="47"/>
      <c r="Z66" s="46">
        <f>46+120+72+50+268+168+14+20+43+38</f>
        <v>839</v>
      </c>
      <c r="AA66" s="47"/>
      <c r="AB66" s="46">
        <f>46+130+27+240+268+17+47+14+200+110</f>
        <v>1099</v>
      </c>
      <c r="AC66" s="47"/>
      <c r="AD66" s="48">
        <f>45+51+63+100+268+12+13+15+17+46</f>
        <v>630</v>
      </c>
      <c r="AE66" s="49"/>
      <c r="AF66" s="62"/>
      <c r="AG66" s="49"/>
      <c r="AH66" s="62"/>
      <c r="AI66" s="49"/>
      <c r="AJ66" s="62"/>
      <c r="AK66" s="49"/>
      <c r="AL66" s="62"/>
      <c r="AM66" s="49"/>
      <c r="AN66" s="62"/>
      <c r="AO66" s="49"/>
      <c r="AP66" s="62"/>
      <c r="AQ66" s="49"/>
      <c r="AR66" s="62"/>
      <c r="AS66" s="49"/>
    </row>
    <row r="67" spans="1:45" ht="16" x14ac:dyDescent="0.2">
      <c r="A67" s="56"/>
      <c r="B67" s="58"/>
      <c r="C67" s="2" t="s">
        <v>6</v>
      </c>
      <c r="D67" s="13"/>
      <c r="E67" s="8">
        <v>10</v>
      </c>
      <c r="F67" s="13"/>
      <c r="G67" s="8"/>
      <c r="H67" s="13"/>
      <c r="I67" s="8"/>
      <c r="J67" s="13"/>
      <c r="K67" s="8"/>
      <c r="L67" s="13"/>
      <c r="M67" s="8"/>
      <c r="N67" s="13"/>
      <c r="O67" s="8"/>
      <c r="P67" s="13"/>
      <c r="Q67" s="8"/>
      <c r="R67" s="15">
        <v>0</v>
      </c>
      <c r="S67" s="16"/>
      <c r="T67" s="15">
        <v>0</v>
      </c>
      <c r="U67" s="16"/>
      <c r="V67" s="15">
        <v>0</v>
      </c>
      <c r="W67" s="16"/>
      <c r="X67" s="15"/>
      <c r="Y67" s="16"/>
      <c r="Z67" s="15"/>
      <c r="AA67" s="16"/>
      <c r="AB67" s="15"/>
      <c r="AC67" s="16"/>
      <c r="AD67" s="13"/>
      <c r="AE67" s="8"/>
      <c r="AF67" s="11"/>
      <c r="AG67" s="8"/>
      <c r="AH67" s="11"/>
      <c r="AI67" s="8"/>
      <c r="AJ67" s="11"/>
      <c r="AK67" s="8"/>
      <c r="AL67" s="11"/>
      <c r="AM67" s="8"/>
      <c r="AN67" s="11"/>
      <c r="AO67" s="8"/>
      <c r="AP67" s="11"/>
      <c r="AQ67" s="8"/>
      <c r="AR67" s="11"/>
      <c r="AS67" s="8"/>
    </row>
    <row r="68" spans="1:45" ht="17" thickBot="1" x14ac:dyDescent="0.25">
      <c r="A68" s="56"/>
      <c r="B68" s="59"/>
      <c r="C68" s="9" t="s">
        <v>7</v>
      </c>
      <c r="D68" s="14"/>
      <c r="E68" s="10">
        <v>10</v>
      </c>
      <c r="F68" s="14"/>
      <c r="G68" s="10"/>
      <c r="H68" s="14">
        <v>1</v>
      </c>
      <c r="I68" s="10"/>
      <c r="J68" s="14"/>
      <c r="K68" s="10"/>
      <c r="L68" s="14"/>
      <c r="M68" s="10"/>
      <c r="N68" s="14"/>
      <c r="O68" s="10"/>
      <c r="P68" s="14"/>
      <c r="Q68" s="10"/>
      <c r="R68" s="17">
        <v>0</v>
      </c>
      <c r="S68" s="18"/>
      <c r="T68" s="17">
        <v>0</v>
      </c>
      <c r="U68" s="18"/>
      <c r="V68" s="17">
        <v>0</v>
      </c>
      <c r="W68" s="18"/>
      <c r="X68" s="17"/>
      <c r="Y68" s="18"/>
      <c r="Z68" s="17"/>
      <c r="AA68" s="18"/>
      <c r="AB68" s="17"/>
      <c r="AC68" s="18"/>
      <c r="AD68" s="14"/>
      <c r="AE68" s="10"/>
      <c r="AF68" s="12"/>
      <c r="AG68" s="10"/>
      <c r="AH68" s="12"/>
      <c r="AI68" s="10"/>
      <c r="AJ68" s="12"/>
      <c r="AK68" s="10"/>
      <c r="AL68" s="12"/>
      <c r="AM68" s="10"/>
      <c r="AN68" s="12"/>
      <c r="AO68" s="10"/>
      <c r="AP68" s="12"/>
      <c r="AQ68" s="10"/>
      <c r="AR68" s="12"/>
      <c r="AS68" s="10"/>
    </row>
    <row r="69" spans="1:45" ht="17" thickTop="1" x14ac:dyDescent="0.2">
      <c r="A69" s="56" t="s">
        <v>22</v>
      </c>
      <c r="B69" s="57" t="s">
        <v>23</v>
      </c>
      <c r="C69" s="7" t="s">
        <v>0</v>
      </c>
      <c r="D69" s="60">
        <f>356+720+150+80+30+425+360+154+200+50</f>
        <v>2525</v>
      </c>
      <c r="E69" s="61"/>
      <c r="F69" s="60">
        <f>150+240+40+199+720+515+173+295+250+300</f>
        <v>2882</v>
      </c>
      <c r="G69" s="61"/>
      <c r="H69" s="60">
        <f>298+423+350+203+234+425+70+250+300+200</f>
        <v>2753</v>
      </c>
      <c r="I69" s="61"/>
      <c r="J69" s="60">
        <f>293+400+154+92+80+105+203+350+200+178</f>
        <v>2055</v>
      </c>
      <c r="K69" s="61"/>
      <c r="L69" s="60">
        <f>150+210+240+270+434+200+295+270+385</f>
        <v>2454</v>
      </c>
      <c r="M69" s="61"/>
      <c r="N69" s="60">
        <f>375+240+200+235+210+102+400+200+290+458</f>
        <v>2710</v>
      </c>
      <c r="O69" s="61"/>
      <c r="P69" s="60">
        <f>285+150+250+426+190+200+250+423+92+300</f>
        <v>2566</v>
      </c>
      <c r="Q69" s="61"/>
      <c r="R69" s="50">
        <f>385+192+235+400+199+200+270+246+261+350</f>
        <v>2738</v>
      </c>
      <c r="S69" s="51"/>
      <c r="T69" s="50">
        <f>350+200+285+170+192+199+300+305+290+300</f>
        <v>2591</v>
      </c>
      <c r="U69" s="51"/>
      <c r="V69" s="50">
        <f>375+130+215+150+191+204+250+408+205+208</f>
        <v>2336</v>
      </c>
      <c r="W69" s="51"/>
      <c r="X69" s="50">
        <f>420+225+429+450+192+202+340+306+297+200</f>
        <v>3061</v>
      </c>
      <c r="Y69" s="51"/>
      <c r="Z69" s="50">
        <f>405+250+209+300+192+300+423+205+200</f>
        <v>2484</v>
      </c>
      <c r="AA69" s="51"/>
      <c r="AB69" s="50">
        <f>395+225+140+200+192+202+250+410+370+300</f>
        <v>2684</v>
      </c>
      <c r="AC69" s="51"/>
      <c r="AD69" s="60">
        <f>415+200+259+300+192+204+400+256+700+300</f>
        <v>3226</v>
      </c>
      <c r="AE69" s="61"/>
      <c r="AF69" s="72"/>
      <c r="AG69" s="61"/>
      <c r="AH69" s="72"/>
      <c r="AI69" s="61"/>
      <c r="AJ69" s="72"/>
      <c r="AK69" s="61"/>
      <c r="AL69" s="72"/>
      <c r="AM69" s="61"/>
      <c r="AN69" s="72"/>
      <c r="AO69" s="61"/>
      <c r="AP69" s="72"/>
      <c r="AQ69" s="61"/>
      <c r="AR69" s="72"/>
      <c r="AS69" s="61"/>
    </row>
    <row r="70" spans="1:45" ht="16" x14ac:dyDescent="0.2">
      <c r="A70" s="56"/>
      <c r="B70" s="58"/>
      <c r="C70" s="2" t="s">
        <v>1</v>
      </c>
      <c r="D70" s="48">
        <v>0</v>
      </c>
      <c r="E70" s="49"/>
      <c r="F70" s="48">
        <v>0</v>
      </c>
      <c r="G70" s="49"/>
      <c r="H70" s="48">
        <v>0</v>
      </c>
      <c r="I70" s="49"/>
      <c r="J70" s="48">
        <v>0</v>
      </c>
      <c r="K70" s="49"/>
      <c r="L70" s="48">
        <v>0</v>
      </c>
      <c r="M70" s="49"/>
      <c r="N70" s="48">
        <v>0</v>
      </c>
      <c r="O70" s="49"/>
      <c r="P70" s="48">
        <v>0</v>
      </c>
      <c r="Q70" s="49"/>
      <c r="R70" s="46">
        <v>0</v>
      </c>
      <c r="S70" s="47"/>
      <c r="T70" s="46">
        <v>0</v>
      </c>
      <c r="U70" s="47"/>
      <c r="V70" s="46">
        <v>0</v>
      </c>
      <c r="W70" s="47"/>
      <c r="X70" s="46">
        <v>0</v>
      </c>
      <c r="Y70" s="47"/>
      <c r="Z70" s="46">
        <v>0</v>
      </c>
      <c r="AA70" s="47"/>
      <c r="AB70" s="46">
        <v>0</v>
      </c>
      <c r="AC70" s="47"/>
      <c r="AD70" s="48">
        <v>0</v>
      </c>
      <c r="AE70" s="49"/>
      <c r="AF70" s="62"/>
      <c r="AG70" s="49"/>
      <c r="AH70" s="62"/>
      <c r="AI70" s="49"/>
      <c r="AJ70" s="62"/>
      <c r="AK70" s="49"/>
      <c r="AL70" s="62"/>
      <c r="AM70" s="49"/>
      <c r="AN70" s="62"/>
      <c r="AO70" s="49"/>
      <c r="AP70" s="62"/>
      <c r="AQ70" s="49"/>
      <c r="AR70" s="62"/>
      <c r="AS70" s="49"/>
    </row>
    <row r="71" spans="1:45" ht="16" x14ac:dyDescent="0.2">
      <c r="A71" s="56"/>
      <c r="B71" s="58"/>
      <c r="C71" s="2" t="s">
        <v>2</v>
      </c>
      <c r="D71" s="48">
        <v>0</v>
      </c>
      <c r="E71" s="49"/>
      <c r="F71" s="48">
        <v>0</v>
      </c>
      <c r="G71" s="49"/>
      <c r="H71" s="48">
        <v>0</v>
      </c>
      <c r="I71" s="49"/>
      <c r="J71" s="48">
        <v>0</v>
      </c>
      <c r="K71" s="49"/>
      <c r="L71" s="48">
        <v>0</v>
      </c>
      <c r="M71" s="49"/>
      <c r="N71" s="48">
        <v>0</v>
      </c>
      <c r="O71" s="49"/>
      <c r="P71" s="48">
        <v>0</v>
      </c>
      <c r="Q71" s="49"/>
      <c r="R71" s="46">
        <v>0</v>
      </c>
      <c r="S71" s="47"/>
      <c r="T71" s="46">
        <v>0</v>
      </c>
      <c r="U71" s="47"/>
      <c r="V71" s="46">
        <v>0</v>
      </c>
      <c r="W71" s="47"/>
      <c r="X71" s="46">
        <v>0</v>
      </c>
      <c r="Y71" s="47"/>
      <c r="Z71" s="46">
        <v>0</v>
      </c>
      <c r="AA71" s="47"/>
      <c r="AB71" s="46">
        <v>0</v>
      </c>
      <c r="AC71" s="47"/>
      <c r="AD71" s="48">
        <v>0</v>
      </c>
      <c r="AE71" s="49"/>
      <c r="AF71" s="62"/>
      <c r="AG71" s="49"/>
      <c r="AH71" s="62"/>
      <c r="AI71" s="49"/>
      <c r="AJ71" s="62"/>
      <c r="AK71" s="49"/>
      <c r="AL71" s="62"/>
      <c r="AM71" s="49"/>
      <c r="AN71" s="62"/>
      <c r="AO71" s="49"/>
      <c r="AP71" s="62"/>
      <c r="AQ71" s="49"/>
      <c r="AR71" s="62"/>
      <c r="AS71" s="49"/>
    </row>
    <row r="72" spans="1:45" ht="16" x14ac:dyDescent="0.2">
      <c r="A72" s="56"/>
      <c r="B72" s="58"/>
      <c r="C72" s="2" t="s">
        <v>3</v>
      </c>
      <c r="D72" s="48">
        <v>0</v>
      </c>
      <c r="E72" s="49"/>
      <c r="F72" s="48">
        <v>0</v>
      </c>
      <c r="G72" s="49"/>
      <c r="H72" s="48">
        <v>0</v>
      </c>
      <c r="I72" s="49"/>
      <c r="J72" s="48">
        <v>0</v>
      </c>
      <c r="K72" s="49"/>
      <c r="L72" s="48">
        <v>0</v>
      </c>
      <c r="M72" s="49"/>
      <c r="N72" s="48">
        <v>0</v>
      </c>
      <c r="O72" s="49"/>
      <c r="P72" s="48">
        <v>0</v>
      </c>
      <c r="Q72" s="49"/>
      <c r="R72" s="46">
        <v>0</v>
      </c>
      <c r="S72" s="47"/>
      <c r="T72" s="46">
        <v>0</v>
      </c>
      <c r="U72" s="47"/>
      <c r="V72" s="46">
        <v>0</v>
      </c>
      <c r="W72" s="47"/>
      <c r="X72" s="46">
        <v>0</v>
      </c>
      <c r="Y72" s="47"/>
      <c r="Z72" s="46">
        <v>0</v>
      </c>
      <c r="AA72" s="47"/>
      <c r="AB72" s="46">
        <v>0</v>
      </c>
      <c r="AC72" s="47"/>
      <c r="AD72" s="48">
        <v>0</v>
      </c>
      <c r="AE72" s="49"/>
      <c r="AF72" s="62"/>
      <c r="AG72" s="49"/>
      <c r="AH72" s="62"/>
      <c r="AI72" s="49"/>
      <c r="AJ72" s="62"/>
      <c r="AK72" s="49"/>
      <c r="AL72" s="62"/>
      <c r="AM72" s="49"/>
      <c r="AN72" s="62"/>
      <c r="AO72" s="49"/>
      <c r="AP72" s="62"/>
      <c r="AQ72" s="49"/>
      <c r="AR72" s="62"/>
      <c r="AS72" s="49"/>
    </row>
    <row r="73" spans="1:45" ht="16" x14ac:dyDescent="0.2">
      <c r="A73" s="56"/>
      <c r="B73" s="58"/>
      <c r="C73" s="2" t="s">
        <v>4</v>
      </c>
      <c r="D73" s="48">
        <f>196+120+20+10+28+200+197+145+100+230</f>
        <v>1246</v>
      </c>
      <c r="E73" s="49"/>
      <c r="F73" s="48">
        <f>80+15+10+196+360+295+263+200+320+166</f>
        <v>1905</v>
      </c>
      <c r="G73" s="49"/>
      <c r="H73" s="48">
        <f>175+0+166+130+62+255+10+200+230+197</f>
        <v>1425</v>
      </c>
      <c r="I73" s="49"/>
      <c r="J73" s="48">
        <f>215+166+124+48+0+40+60+210+197+40</f>
        <v>1100</v>
      </c>
      <c r="K73" s="49"/>
      <c r="L73" s="48">
        <f>215+120+112+168+150+130+114+21+10</f>
        <v>1040</v>
      </c>
      <c r="M73" s="49"/>
      <c r="N73" s="48">
        <f>180+120+180+150+110+102+120+11+180+70+70</f>
        <v>1293</v>
      </c>
      <c r="O73" s="49"/>
      <c r="P73" s="48">
        <f>80+70+48+150+196+130+110+109+11+200</f>
        <v>1104</v>
      </c>
      <c r="Q73" s="49"/>
      <c r="R73" s="46">
        <f>200+92+150+160+190+197+150+48+135+185</f>
        <v>1507</v>
      </c>
      <c r="S73" s="47"/>
      <c r="T73" s="46">
        <f>150+4+153+25+172+196+120+141+150+188</f>
        <v>1299</v>
      </c>
      <c r="U73" s="47"/>
      <c r="V73" s="46">
        <f>160+98+98+10+198+180+110+99+20+120</f>
        <v>1093</v>
      </c>
      <c r="W73" s="47"/>
      <c r="X73" s="46">
        <f>16+297+306+300+202+192+450+391+225+420</f>
        <v>2799</v>
      </c>
      <c r="Y73" s="47"/>
      <c r="Z73" s="46">
        <f>126+198+264+470+192+200+199+260+400</f>
        <v>2309</v>
      </c>
      <c r="AA73" s="47"/>
      <c r="AB73" s="46">
        <f>300+370+112+250+202+192+160+140+225+395</f>
        <v>2346</v>
      </c>
      <c r="AC73" s="47"/>
      <c r="AD73" s="48">
        <f>120+678+48+400+204+192+140+239+150+415</f>
        <v>2586</v>
      </c>
      <c r="AE73" s="49"/>
      <c r="AF73" s="62"/>
      <c r="AG73" s="49"/>
      <c r="AH73" s="62"/>
      <c r="AI73" s="49"/>
      <c r="AJ73" s="62"/>
      <c r="AK73" s="49"/>
      <c r="AL73" s="62"/>
      <c r="AM73" s="49"/>
      <c r="AN73" s="62"/>
      <c r="AO73" s="49"/>
      <c r="AP73" s="62"/>
      <c r="AQ73" s="49"/>
      <c r="AR73" s="62"/>
      <c r="AS73" s="49"/>
    </row>
    <row r="74" spans="1:45" ht="16" x14ac:dyDescent="0.2">
      <c r="A74" s="56"/>
      <c r="B74" s="58"/>
      <c r="C74" s="2" t="s">
        <v>5</v>
      </c>
      <c r="D74" s="48">
        <f>20+30+20+4+5+70+3+30+20+5</f>
        <v>207</v>
      </c>
      <c r="E74" s="49"/>
      <c r="F74" s="48">
        <f>20+140+7+3+200+195+61+70+10+56</f>
        <v>762</v>
      </c>
      <c r="G74" s="49"/>
      <c r="H74" s="48">
        <f>52+20+56+20+134+78+8+15+20+3</f>
        <v>406</v>
      </c>
      <c r="I74" s="49"/>
      <c r="J74" s="48">
        <f>58+20+124+48+30+5+10+10+3+178</f>
        <v>486</v>
      </c>
      <c r="K74" s="49"/>
      <c r="L74" s="48">
        <f>8+150+10+10+22+42+59+50+75</f>
        <v>426</v>
      </c>
      <c r="M74" s="49"/>
      <c r="N74" s="48">
        <f>50+15+20+80+105+80+20+9+5+23</f>
        <v>407</v>
      </c>
      <c r="O74" s="49"/>
      <c r="P74" s="48">
        <f>55+9+115+22+15+4+20+121+65+21</f>
        <v>447</v>
      </c>
      <c r="Q74" s="49"/>
      <c r="R74" s="46">
        <f>65+20+45+20+9+3+10+26+35+9</f>
        <v>242</v>
      </c>
      <c r="S74" s="47"/>
      <c r="T74" s="46">
        <f>55+8+53+3+9+3+15+54+50+30</f>
        <v>280</v>
      </c>
      <c r="U74" s="47"/>
      <c r="V74" s="46">
        <f>75+10+55+12+110+6+5+34+50+18</f>
        <v>375</v>
      </c>
      <c r="W74" s="47"/>
      <c r="X74" s="46">
        <f>0+205+101+40+192+202+300+306+297+16</f>
        <v>1659</v>
      </c>
      <c r="Y74" s="47"/>
      <c r="Z74" s="46">
        <f>5+260+199+100+192+302+403+198+100</f>
        <v>1759</v>
      </c>
      <c r="AA74" s="47"/>
      <c r="AB74" s="46">
        <f>0+225+140+80+192+202+250+108+0+250</f>
        <v>1447</v>
      </c>
      <c r="AC74" s="47"/>
      <c r="AD74" s="48">
        <f>0+150+239+80+192+204+320+74+678+18</f>
        <v>1955</v>
      </c>
      <c r="AE74" s="49"/>
      <c r="AF74" s="62"/>
      <c r="AG74" s="49"/>
      <c r="AH74" s="62"/>
      <c r="AI74" s="49"/>
      <c r="AJ74" s="62"/>
      <c r="AK74" s="49"/>
      <c r="AL74" s="62"/>
      <c r="AM74" s="49"/>
      <c r="AN74" s="62"/>
      <c r="AO74" s="49"/>
      <c r="AP74" s="62"/>
      <c r="AQ74" s="49"/>
      <c r="AR74" s="62"/>
      <c r="AS74" s="49"/>
    </row>
    <row r="75" spans="1:45" ht="16" x14ac:dyDescent="0.2">
      <c r="A75" s="56"/>
      <c r="B75" s="58"/>
      <c r="C75" s="2" t="s">
        <v>6</v>
      </c>
      <c r="D75" s="13"/>
      <c r="E75" s="8">
        <v>10</v>
      </c>
      <c r="F75" s="13"/>
      <c r="G75" s="8"/>
      <c r="H75" s="13"/>
      <c r="I75" s="8"/>
      <c r="J75" s="13"/>
      <c r="K75" s="8"/>
      <c r="L75" s="13"/>
      <c r="M75" s="8"/>
      <c r="N75" s="13"/>
      <c r="O75" s="8"/>
      <c r="P75" s="13"/>
      <c r="Q75" s="8"/>
      <c r="R75" s="15">
        <v>0</v>
      </c>
      <c r="S75" s="16"/>
      <c r="T75" s="15">
        <v>0</v>
      </c>
      <c r="U75" s="16"/>
      <c r="V75" s="15">
        <v>0</v>
      </c>
      <c r="W75" s="16"/>
      <c r="X75" s="15"/>
      <c r="Y75" s="16"/>
      <c r="Z75" s="15"/>
      <c r="AA75" s="16"/>
      <c r="AB75" s="15"/>
      <c r="AC75" s="16"/>
      <c r="AD75" s="13"/>
      <c r="AE75" s="8"/>
      <c r="AF75" s="11"/>
      <c r="AG75" s="8"/>
      <c r="AH75" s="11"/>
      <c r="AI75" s="8"/>
      <c r="AJ75" s="11"/>
      <c r="AK75" s="8"/>
      <c r="AL75" s="11"/>
      <c r="AM75" s="8"/>
      <c r="AN75" s="11"/>
      <c r="AO75" s="8"/>
      <c r="AP75" s="11"/>
      <c r="AQ75" s="8"/>
      <c r="AR75" s="11"/>
      <c r="AS75" s="8"/>
    </row>
    <row r="76" spans="1:45" ht="17" thickBot="1" x14ac:dyDescent="0.25">
      <c r="A76" s="56"/>
      <c r="B76" s="59"/>
      <c r="C76" s="9" t="s">
        <v>7</v>
      </c>
      <c r="D76" s="14"/>
      <c r="E76" s="10">
        <v>10</v>
      </c>
      <c r="F76" s="14"/>
      <c r="G76" s="10"/>
      <c r="H76" s="14"/>
      <c r="I76" s="10"/>
      <c r="J76" s="14"/>
      <c r="K76" s="10"/>
      <c r="L76" s="14"/>
      <c r="M76" s="10"/>
      <c r="N76" s="14"/>
      <c r="O76" s="10"/>
      <c r="P76" s="14"/>
      <c r="Q76" s="10"/>
      <c r="R76" s="17">
        <v>0</v>
      </c>
      <c r="S76" s="18"/>
      <c r="T76" s="17">
        <v>0</v>
      </c>
      <c r="U76" s="18"/>
      <c r="V76" s="17">
        <v>0</v>
      </c>
      <c r="W76" s="18"/>
      <c r="X76" s="17"/>
      <c r="Y76" s="18"/>
      <c r="Z76" s="17"/>
      <c r="AA76" s="18"/>
      <c r="AB76" s="17"/>
      <c r="AC76" s="18"/>
      <c r="AD76" s="14"/>
      <c r="AE76" s="10"/>
      <c r="AF76" s="12"/>
      <c r="AG76" s="10"/>
      <c r="AH76" s="12"/>
      <c r="AI76" s="10"/>
      <c r="AJ76" s="12"/>
      <c r="AK76" s="10"/>
      <c r="AL76" s="12"/>
      <c r="AM76" s="10"/>
      <c r="AN76" s="12"/>
      <c r="AO76" s="10"/>
      <c r="AP76" s="12"/>
      <c r="AQ76" s="10"/>
      <c r="AR76" s="12"/>
      <c r="AS76" s="10"/>
    </row>
    <row r="77" spans="1:45" ht="17" thickTop="1" x14ac:dyDescent="0.2">
      <c r="A77" s="56"/>
      <c r="B77" s="57" t="s">
        <v>24</v>
      </c>
      <c r="C77" s="7" t="s">
        <v>0</v>
      </c>
      <c r="D77" s="60">
        <f>61+60+38+32+49+64+60+52+53+32</f>
        <v>501</v>
      </c>
      <c r="E77" s="61"/>
      <c r="F77" s="60">
        <f>39+25+40+20+45+20+40+40+16+30</f>
        <v>315</v>
      </c>
      <c r="G77" s="61"/>
      <c r="H77" s="60">
        <f>37+25+49+42+55+30+23+30+19+25</f>
        <v>335</v>
      </c>
      <c r="I77" s="61"/>
      <c r="J77" s="60">
        <f>30+22+30+25+18+20+20+15+20+40</f>
        <v>240</v>
      </c>
      <c r="K77" s="61"/>
      <c r="L77" s="60">
        <f>45+40+30+45+43+46+20+29+34+60</f>
        <v>392</v>
      </c>
      <c r="M77" s="61"/>
      <c r="N77" s="60">
        <f>17+30+30+40+30+30+35+30+32+35</f>
        <v>309</v>
      </c>
      <c r="O77" s="61"/>
      <c r="P77" s="60">
        <f>30+30+33+45+46+30+25+20+48+40</f>
        <v>347</v>
      </c>
      <c r="Q77" s="61"/>
      <c r="R77" s="50">
        <f>50+30+20+35+35+38+35+30+38+37</f>
        <v>348</v>
      </c>
      <c r="S77" s="51"/>
      <c r="T77" s="50">
        <f>21+30+38+25+30+40+20+25+30+48</f>
        <v>307</v>
      </c>
      <c r="U77" s="51"/>
      <c r="V77" s="50">
        <f>35+30+25+30+30+40+25+43+26+40</f>
        <v>324</v>
      </c>
      <c r="W77" s="51"/>
      <c r="X77" s="50">
        <f>30+30+21+30+20+40+25+25+45+41</f>
        <v>307</v>
      </c>
      <c r="Y77" s="51"/>
      <c r="Z77" s="50">
        <f>30+35+20+20+25+40+18+30+30+33</f>
        <v>281</v>
      </c>
      <c r="AA77" s="51"/>
      <c r="AB77" s="50">
        <f>52+30+22+20+25+40+20+34+40+42</f>
        <v>325</v>
      </c>
      <c r="AC77" s="51"/>
      <c r="AD77" s="60">
        <f>20+30+32+30+30+30+20+54+40+43</f>
        <v>329</v>
      </c>
      <c r="AE77" s="61"/>
      <c r="AF77" s="72"/>
      <c r="AG77" s="61"/>
      <c r="AH77" s="72"/>
      <c r="AI77" s="61"/>
      <c r="AJ77" s="72"/>
      <c r="AK77" s="61"/>
      <c r="AL77" s="72"/>
      <c r="AM77" s="61"/>
      <c r="AN77" s="72"/>
      <c r="AO77" s="61"/>
      <c r="AP77" s="72"/>
      <c r="AQ77" s="61"/>
      <c r="AR77" s="72"/>
      <c r="AS77" s="61"/>
    </row>
    <row r="78" spans="1:45" ht="16" x14ac:dyDescent="0.2">
      <c r="A78" s="56"/>
      <c r="B78" s="58"/>
      <c r="C78" s="2" t="s">
        <v>1</v>
      </c>
      <c r="D78" s="48">
        <v>0</v>
      </c>
      <c r="E78" s="49"/>
      <c r="F78" s="48">
        <v>0</v>
      </c>
      <c r="G78" s="49"/>
      <c r="H78" s="48">
        <v>0</v>
      </c>
      <c r="I78" s="49"/>
      <c r="J78" s="48">
        <v>0</v>
      </c>
      <c r="K78" s="49"/>
      <c r="L78" s="48">
        <v>0</v>
      </c>
      <c r="M78" s="49"/>
      <c r="N78" s="48">
        <v>0</v>
      </c>
      <c r="O78" s="49"/>
      <c r="P78" s="48">
        <v>0</v>
      </c>
      <c r="Q78" s="49"/>
      <c r="R78" s="46">
        <v>0</v>
      </c>
      <c r="S78" s="47"/>
      <c r="T78" s="46">
        <v>0</v>
      </c>
      <c r="U78" s="47"/>
      <c r="V78" s="46">
        <v>0</v>
      </c>
      <c r="W78" s="47"/>
      <c r="X78" s="46">
        <v>0</v>
      </c>
      <c r="Y78" s="47"/>
      <c r="Z78" s="46">
        <v>0</v>
      </c>
      <c r="AA78" s="47"/>
      <c r="AB78" s="46">
        <v>0</v>
      </c>
      <c r="AC78" s="47"/>
      <c r="AD78" s="46">
        <v>0</v>
      </c>
      <c r="AE78" s="47"/>
      <c r="AF78" s="62"/>
      <c r="AG78" s="49"/>
      <c r="AH78" s="62"/>
      <c r="AI78" s="49"/>
      <c r="AJ78" s="62"/>
      <c r="AK78" s="49"/>
      <c r="AL78" s="62"/>
      <c r="AM78" s="49"/>
      <c r="AN78" s="62"/>
      <c r="AO78" s="49"/>
      <c r="AP78" s="62"/>
      <c r="AQ78" s="49"/>
      <c r="AR78" s="62"/>
      <c r="AS78" s="49"/>
    </row>
    <row r="79" spans="1:45" ht="16" x14ac:dyDescent="0.2">
      <c r="A79" s="56"/>
      <c r="B79" s="58"/>
      <c r="C79" s="2" t="s">
        <v>2</v>
      </c>
      <c r="D79" s="48">
        <v>0</v>
      </c>
      <c r="E79" s="49"/>
      <c r="F79" s="48">
        <v>0</v>
      </c>
      <c r="G79" s="49"/>
      <c r="H79" s="48">
        <v>0</v>
      </c>
      <c r="I79" s="49"/>
      <c r="J79" s="48">
        <v>0</v>
      </c>
      <c r="K79" s="49"/>
      <c r="L79" s="48">
        <v>0</v>
      </c>
      <c r="M79" s="49"/>
      <c r="N79" s="48">
        <v>0</v>
      </c>
      <c r="O79" s="49"/>
      <c r="P79" s="48">
        <v>0</v>
      </c>
      <c r="Q79" s="49"/>
      <c r="R79" s="46">
        <v>0</v>
      </c>
      <c r="S79" s="47"/>
      <c r="T79" s="46">
        <v>0</v>
      </c>
      <c r="U79" s="47"/>
      <c r="V79" s="46">
        <v>0</v>
      </c>
      <c r="W79" s="47"/>
      <c r="X79" s="46">
        <v>0</v>
      </c>
      <c r="Y79" s="47"/>
      <c r="Z79" s="46">
        <v>0</v>
      </c>
      <c r="AA79" s="47"/>
      <c r="AB79" s="46">
        <v>0</v>
      </c>
      <c r="AC79" s="47"/>
      <c r="AD79" s="46">
        <v>0</v>
      </c>
      <c r="AE79" s="47"/>
      <c r="AF79" s="62"/>
      <c r="AG79" s="49"/>
      <c r="AH79" s="62"/>
      <c r="AI79" s="49"/>
      <c r="AJ79" s="62"/>
      <c r="AK79" s="49"/>
      <c r="AL79" s="62"/>
      <c r="AM79" s="49"/>
      <c r="AN79" s="62"/>
      <c r="AO79" s="49"/>
      <c r="AP79" s="62"/>
      <c r="AQ79" s="49"/>
      <c r="AR79" s="62"/>
      <c r="AS79" s="49"/>
    </row>
    <row r="80" spans="1:45" ht="16" x14ac:dyDescent="0.2">
      <c r="A80" s="56"/>
      <c r="B80" s="58"/>
      <c r="C80" s="2" t="s">
        <v>3</v>
      </c>
      <c r="D80" s="48">
        <v>0</v>
      </c>
      <c r="E80" s="49"/>
      <c r="F80" s="48">
        <v>0</v>
      </c>
      <c r="G80" s="49"/>
      <c r="H80" s="48">
        <v>0</v>
      </c>
      <c r="I80" s="49"/>
      <c r="J80" s="48">
        <v>0</v>
      </c>
      <c r="K80" s="49"/>
      <c r="L80" s="48">
        <v>0</v>
      </c>
      <c r="M80" s="49"/>
      <c r="N80" s="48">
        <v>0</v>
      </c>
      <c r="O80" s="49"/>
      <c r="P80" s="48">
        <v>0</v>
      </c>
      <c r="Q80" s="49"/>
      <c r="R80" s="46">
        <v>0</v>
      </c>
      <c r="S80" s="47"/>
      <c r="T80" s="46">
        <v>0</v>
      </c>
      <c r="U80" s="47"/>
      <c r="V80" s="46">
        <v>0</v>
      </c>
      <c r="W80" s="47"/>
      <c r="X80" s="46">
        <v>0</v>
      </c>
      <c r="Y80" s="47"/>
      <c r="Z80" s="46">
        <v>0</v>
      </c>
      <c r="AA80" s="47"/>
      <c r="AB80" s="46">
        <v>0</v>
      </c>
      <c r="AC80" s="47"/>
      <c r="AD80" s="46">
        <v>0</v>
      </c>
      <c r="AE80" s="47"/>
      <c r="AF80" s="62"/>
      <c r="AG80" s="49"/>
      <c r="AH80" s="62"/>
      <c r="AI80" s="49"/>
      <c r="AJ80" s="62"/>
      <c r="AK80" s="49"/>
      <c r="AL80" s="62"/>
      <c r="AM80" s="49"/>
      <c r="AN80" s="62"/>
      <c r="AO80" s="49"/>
      <c r="AP80" s="62"/>
      <c r="AQ80" s="49"/>
      <c r="AR80" s="62"/>
      <c r="AS80" s="49"/>
    </row>
    <row r="81" spans="1:45" ht="16" x14ac:dyDescent="0.2">
      <c r="A81" s="56"/>
      <c r="B81" s="58"/>
      <c r="C81" s="2" t="s">
        <v>4</v>
      </c>
      <c r="D81" s="48">
        <f>31+30+30+17+19+15+15+22+32+30</f>
        <v>241</v>
      </c>
      <c r="E81" s="49"/>
      <c r="F81" s="48">
        <f>15+15+25+12+40+15+19+30+20+11</f>
        <v>202</v>
      </c>
      <c r="G81" s="49"/>
      <c r="H81" s="48">
        <f>17+12+20+26+40+10+20+25+10+15</f>
        <v>195</v>
      </c>
      <c r="I81" s="49"/>
      <c r="J81" s="48">
        <f>15+17+20+20+12+15+10+15+20+40</f>
        <v>184</v>
      </c>
      <c r="K81" s="49"/>
      <c r="L81" s="48">
        <f>35+34+22+15+23+28+20+17+30+30</f>
        <v>254</v>
      </c>
      <c r="M81" s="49"/>
      <c r="N81" s="48">
        <f>10+30+20+20+20+20+10+18+20+25</f>
        <v>193</v>
      </c>
      <c r="O81" s="49"/>
      <c r="P81" s="48">
        <f>23+48+15+20+20+35+20+11+15+15</f>
        <v>222</v>
      </c>
      <c r="Q81" s="49"/>
      <c r="R81" s="46">
        <f>30+15+15+20+30+24+20+25+38+20</f>
        <v>237</v>
      </c>
      <c r="S81" s="47"/>
      <c r="T81" s="46">
        <f>17+10+10+15+15+20+15+19+30+16</f>
        <v>167</v>
      </c>
      <c r="U81" s="47"/>
      <c r="V81" s="46">
        <f>15+26+23+20+20+12+10+10+15+20</f>
        <v>171</v>
      </c>
      <c r="W81" s="47"/>
      <c r="X81" s="46">
        <f>17+45+20+20+20+20+25+21+30+30</f>
        <v>248</v>
      </c>
      <c r="Y81" s="47"/>
      <c r="Z81" s="46">
        <f>18+30+26+18+20+25+20+20+35+30</f>
        <v>242</v>
      </c>
      <c r="AA81" s="47"/>
      <c r="AB81" s="46">
        <f>0+40+32+20+20+25+20+18+30+52</f>
        <v>257</v>
      </c>
      <c r="AC81" s="47"/>
      <c r="AD81" s="48">
        <f>20+40+52+20+25+30+30+29+30+20</f>
        <v>296</v>
      </c>
      <c r="AE81" s="49"/>
      <c r="AF81" s="62"/>
      <c r="AG81" s="49"/>
      <c r="AH81" s="62"/>
      <c r="AI81" s="49"/>
      <c r="AJ81" s="62"/>
      <c r="AK81" s="49"/>
      <c r="AL81" s="62"/>
      <c r="AM81" s="49"/>
      <c r="AN81" s="62"/>
      <c r="AO81" s="49"/>
      <c r="AP81" s="62"/>
      <c r="AQ81" s="49"/>
      <c r="AR81" s="62"/>
      <c r="AS81" s="49"/>
    </row>
    <row r="82" spans="1:45" ht="16" x14ac:dyDescent="0.2">
      <c r="A82" s="56"/>
      <c r="B82" s="58"/>
      <c r="C82" s="2" t="s">
        <v>5</v>
      </c>
      <c r="D82" s="48">
        <f>49+22+20+17+19+15+15+22+2+20</f>
        <v>201</v>
      </c>
      <c r="E82" s="49"/>
      <c r="F82" s="48">
        <f>20+10+30+20+5+20+20+20+16+19</f>
        <v>180</v>
      </c>
      <c r="G82" s="49"/>
      <c r="H82" s="48">
        <f>20+8+29+15+15+7+10+15+9+21</f>
        <v>149</v>
      </c>
      <c r="I82" s="49"/>
      <c r="J82" s="48">
        <f>10+22+10+23+10+10+8+5+4+4</f>
        <v>106</v>
      </c>
      <c r="K82" s="49"/>
      <c r="L82" s="48">
        <f>10+4+20+15+15+11+10+25+34+25</f>
        <v>169</v>
      </c>
      <c r="M82" s="49"/>
      <c r="N82" s="48">
        <f>17+4+10+10+15+25+17+25+23+20</f>
        <v>166</v>
      </c>
      <c r="O82" s="49"/>
      <c r="P82" s="48">
        <f>10+10+21+15+30+10+24+8+48+17</f>
        <v>193</v>
      </c>
      <c r="Q82" s="49"/>
      <c r="R82" s="46">
        <f>25+9+10+10+20+12+10+15+3+17</f>
        <v>131</v>
      </c>
      <c r="S82" s="47"/>
      <c r="T82" s="46">
        <f>19+5+20+10+15+10+15+21+6+20</f>
        <v>141</v>
      </c>
      <c r="U82" s="47"/>
      <c r="V82" s="46">
        <f>10+10+15+5+18+10+5+15+1+25</f>
        <v>114</v>
      </c>
      <c r="W82" s="47"/>
      <c r="X82" s="46">
        <f>20+0+21+25+20+10+5+15+6+41</f>
        <v>163</v>
      </c>
      <c r="Y82" s="47"/>
      <c r="Z82" s="46">
        <f>20+0+20+20+25+10+18+30+0+33</f>
        <v>176</v>
      </c>
      <c r="AA82" s="47"/>
      <c r="AB82" s="46">
        <f>40+30+22+20+25+10+20+34+1+42</f>
        <v>244</v>
      </c>
      <c r="AC82" s="47"/>
      <c r="AD82" s="48">
        <f>10+30+32+30+30+30+20+54+40+43</f>
        <v>319</v>
      </c>
      <c r="AE82" s="49"/>
      <c r="AF82" s="62"/>
      <c r="AG82" s="49"/>
      <c r="AH82" s="62"/>
      <c r="AI82" s="49"/>
      <c r="AJ82" s="62"/>
      <c r="AK82" s="49"/>
      <c r="AL82" s="62"/>
      <c r="AM82" s="49"/>
      <c r="AN82" s="62"/>
      <c r="AO82" s="49"/>
      <c r="AP82" s="62"/>
      <c r="AQ82" s="49"/>
      <c r="AR82" s="62"/>
      <c r="AS82" s="49"/>
    </row>
    <row r="83" spans="1:45" ht="16" x14ac:dyDescent="0.2">
      <c r="A83" s="56"/>
      <c r="B83" s="58"/>
      <c r="C83" s="2" t="s">
        <v>6</v>
      </c>
      <c r="D83" s="13"/>
      <c r="E83" s="8">
        <v>10</v>
      </c>
      <c r="F83" s="13"/>
      <c r="G83" s="8"/>
      <c r="H83" s="13"/>
      <c r="I83" s="8">
        <v>10</v>
      </c>
      <c r="J83" s="13"/>
      <c r="K83" s="8"/>
      <c r="L83" s="13"/>
      <c r="M83" s="8"/>
      <c r="N83" s="13"/>
      <c r="O83" s="8"/>
      <c r="P83" s="13"/>
      <c r="Q83" s="8"/>
      <c r="R83" s="15">
        <v>0</v>
      </c>
      <c r="S83" s="16"/>
      <c r="T83" s="15">
        <v>0</v>
      </c>
      <c r="U83" s="16"/>
      <c r="V83" s="15">
        <v>0</v>
      </c>
      <c r="W83" s="16"/>
      <c r="X83" s="15"/>
      <c r="Y83" s="16"/>
      <c r="Z83" s="15"/>
      <c r="AA83" s="16"/>
      <c r="AB83" s="15"/>
      <c r="AC83" s="16"/>
      <c r="AD83" s="13"/>
      <c r="AE83" s="8"/>
      <c r="AF83" s="11"/>
      <c r="AG83" s="8"/>
      <c r="AH83" s="11"/>
      <c r="AI83" s="8"/>
      <c r="AJ83" s="11"/>
      <c r="AK83" s="8"/>
      <c r="AL83" s="11"/>
      <c r="AM83" s="8"/>
      <c r="AN83" s="11"/>
      <c r="AO83" s="8"/>
      <c r="AP83" s="11"/>
      <c r="AQ83" s="8"/>
      <c r="AR83" s="11"/>
      <c r="AS83" s="8"/>
    </row>
    <row r="84" spans="1:45" ht="17" thickBot="1" x14ac:dyDescent="0.25">
      <c r="A84" s="56"/>
      <c r="B84" s="59"/>
      <c r="C84" s="9" t="s">
        <v>7</v>
      </c>
      <c r="D84" s="14"/>
      <c r="E84" s="10">
        <v>10</v>
      </c>
      <c r="F84" s="14"/>
      <c r="G84" s="10"/>
      <c r="H84" s="14"/>
      <c r="I84" s="10">
        <v>10</v>
      </c>
      <c r="J84" s="14"/>
      <c r="K84" s="10"/>
      <c r="L84" s="14"/>
      <c r="M84" s="10"/>
      <c r="N84" s="14"/>
      <c r="O84" s="10"/>
      <c r="P84" s="14"/>
      <c r="Q84" s="10"/>
      <c r="R84" s="19">
        <v>1</v>
      </c>
      <c r="S84" s="20"/>
      <c r="T84" s="19">
        <v>0</v>
      </c>
      <c r="U84" s="20"/>
      <c r="V84" s="19">
        <v>0</v>
      </c>
      <c r="W84" s="20"/>
      <c r="X84" s="19"/>
      <c r="Y84" s="20"/>
      <c r="Z84" s="19"/>
      <c r="AA84" s="20"/>
      <c r="AB84" s="19"/>
      <c r="AC84" s="20"/>
      <c r="AD84" s="14"/>
      <c r="AE84" s="10"/>
      <c r="AF84" s="12"/>
      <c r="AG84" s="10"/>
      <c r="AH84" s="12"/>
      <c r="AI84" s="10"/>
      <c r="AJ84" s="12"/>
      <c r="AK84" s="10"/>
      <c r="AL84" s="12"/>
      <c r="AM84" s="10"/>
      <c r="AN84" s="12"/>
      <c r="AO84" s="10"/>
      <c r="AP84" s="12"/>
      <c r="AQ84" s="10"/>
      <c r="AR84" s="12"/>
      <c r="AS84" s="10"/>
    </row>
    <row r="85" spans="1:45" ht="16" thickTop="1" x14ac:dyDescent="0.2"/>
    <row r="89" spans="1:45" x14ac:dyDescent="0.2">
      <c r="A89" s="36"/>
      <c r="B89" s="37" t="s">
        <v>34</v>
      </c>
      <c r="C89" s="38"/>
      <c r="D89" s="41" t="s">
        <v>27</v>
      </c>
      <c r="E89" s="42"/>
      <c r="F89" s="45" t="s">
        <v>28</v>
      </c>
      <c r="G89" s="45" t="s">
        <v>29</v>
      </c>
      <c r="H89" s="37" t="s">
        <v>4</v>
      </c>
      <c r="I89" s="38"/>
      <c r="J89" s="37" t="s">
        <v>5</v>
      </c>
      <c r="K89" s="38"/>
    </row>
    <row r="90" spans="1:45" ht="80" x14ac:dyDescent="0.2">
      <c r="A90" s="36"/>
      <c r="B90" s="39"/>
      <c r="C90" s="40"/>
      <c r="D90" s="43"/>
      <c r="E90" s="44"/>
      <c r="F90" s="45"/>
      <c r="G90" s="45"/>
      <c r="H90" s="39"/>
      <c r="I90" s="40"/>
      <c r="J90" s="39"/>
      <c r="K90" s="40"/>
      <c r="L90" s="5" t="s">
        <v>31</v>
      </c>
      <c r="M90" s="5" t="s">
        <v>32</v>
      </c>
    </row>
    <row r="91" spans="1:45" x14ac:dyDescent="0.2">
      <c r="A91" s="1" t="s">
        <v>10</v>
      </c>
      <c r="B91" s="34" cm="1">
        <f t="array" ref="B91">SUM(D5:AS5+D13:AS13)</f>
        <v>43957</v>
      </c>
      <c r="C91" s="35"/>
      <c r="D91" s="34">
        <v>0</v>
      </c>
      <c r="E91" s="35"/>
      <c r="F91" s="4">
        <v>0</v>
      </c>
      <c r="G91" s="4">
        <v>0</v>
      </c>
      <c r="H91" s="34" cm="1">
        <f t="array" ref="H91">SUM(D9:AS9+D17:AS17)</f>
        <v>35053</v>
      </c>
      <c r="I91" s="35"/>
      <c r="J91" s="34" cm="1">
        <f t="array" ref="J91">SUM(D10:AS10+D18:AS18)</f>
        <v>26349</v>
      </c>
      <c r="K91" s="35"/>
      <c r="L91" s="3">
        <f>H91/B91</f>
        <v>0.79743840571467572</v>
      </c>
      <c r="M91" s="3">
        <f>J91/B91</f>
        <v>0.59942671246900381</v>
      </c>
    </row>
    <row r="92" spans="1:45" x14ac:dyDescent="0.2">
      <c r="A92" s="1" t="s">
        <v>13</v>
      </c>
      <c r="B92" s="34" cm="1">
        <f t="array" ref="B92">SUM(D21:AS21+D29:AS29)</f>
        <v>34653</v>
      </c>
      <c r="C92" s="35"/>
      <c r="D92" s="34">
        <v>0</v>
      </c>
      <c r="E92" s="35"/>
      <c r="F92" s="4">
        <v>0</v>
      </c>
      <c r="G92" s="4">
        <v>0</v>
      </c>
      <c r="H92" s="34" cm="1">
        <f t="array" ref="H92">SUM(D25:AS25+D33:AS33)</f>
        <v>18549</v>
      </c>
      <c r="I92" s="35"/>
      <c r="J92" s="34" cm="1">
        <f t="array" ref="J92">SUM(D26:AS26+D34:AS34)</f>
        <v>14191</v>
      </c>
      <c r="K92" s="35"/>
      <c r="L92" s="3">
        <f t="shared" ref="L92:L96" si="0">H92/B92</f>
        <v>0.5352783308804433</v>
      </c>
      <c r="M92" s="3">
        <f t="shared" ref="M92:M96" si="1">J92/B92</f>
        <v>0.40951721351686721</v>
      </c>
    </row>
    <row r="93" spans="1:45" x14ac:dyDescent="0.2">
      <c r="A93" s="1" t="s">
        <v>22</v>
      </c>
      <c r="B93" s="34" cm="1">
        <f t="array" ref="B93">SUM(D69:AS69+D77:AS77)</f>
        <v>41725</v>
      </c>
      <c r="C93" s="35"/>
      <c r="D93" s="34">
        <v>0</v>
      </c>
      <c r="E93" s="35"/>
      <c r="F93" s="4">
        <v>0</v>
      </c>
      <c r="G93" s="4">
        <v>0</v>
      </c>
      <c r="H93" s="34" cm="1">
        <f t="array" ref="H93">SUM(D81:AS81+D73:AS73)</f>
        <v>26161</v>
      </c>
      <c r="I93" s="35"/>
      <c r="J93" s="34" cm="1">
        <f t="array" ref="J93">SUM(D82:AS82+D74:AS74)</f>
        <v>13310</v>
      </c>
      <c r="K93" s="35"/>
      <c r="L93" s="3">
        <f t="shared" si="0"/>
        <v>0.62698621929298981</v>
      </c>
      <c r="M93" s="3">
        <f t="shared" si="1"/>
        <v>0.31899340922708208</v>
      </c>
    </row>
    <row r="94" spans="1:45" x14ac:dyDescent="0.2">
      <c r="A94" s="1" t="s">
        <v>16</v>
      </c>
      <c r="B94" s="34" cm="1">
        <f t="array" ref="B94">SUM(D37:AS37+D45:AS45)</f>
        <v>44495</v>
      </c>
      <c r="C94" s="35"/>
      <c r="D94" s="34">
        <v>0</v>
      </c>
      <c r="E94" s="35"/>
      <c r="F94" s="4">
        <v>0</v>
      </c>
      <c r="G94" s="4">
        <v>0</v>
      </c>
      <c r="H94" s="34" cm="1">
        <f t="array" ref="H94">SUM(D41:AS41+D49:AS49)</f>
        <v>19691</v>
      </c>
      <c r="I94" s="35"/>
      <c r="J94" s="34" cm="1">
        <f t="array" ref="J94">SUM(D42:AS42+D50:AS50)</f>
        <v>14893</v>
      </c>
      <c r="K94" s="35"/>
      <c r="L94" s="3">
        <f t="shared" si="0"/>
        <v>0.44254410607933475</v>
      </c>
      <c r="M94" s="3">
        <f t="shared" si="1"/>
        <v>0.33471176536689518</v>
      </c>
    </row>
    <row r="95" spans="1:45" x14ac:dyDescent="0.2">
      <c r="A95" s="1" t="s">
        <v>19</v>
      </c>
      <c r="B95" s="34" cm="1">
        <f t="array" ref="B95">SUM(D53:AS53+D61:AS61)</f>
        <v>23609</v>
      </c>
      <c r="C95" s="35"/>
      <c r="D95" s="34">
        <v>0</v>
      </c>
      <c r="E95" s="35"/>
      <c r="F95" s="4">
        <v>0</v>
      </c>
      <c r="G95" s="4">
        <v>0</v>
      </c>
      <c r="H95" s="34" cm="1">
        <f t="array" ref="H95">SUM(D57:AS57+D49:AS49)</f>
        <v>16780</v>
      </c>
      <c r="I95" s="35"/>
      <c r="J95" s="34" cm="1">
        <f t="array" ref="J95">SUM(D58:AS58+D66:AS66)</f>
        <v>12741</v>
      </c>
      <c r="K95" s="35"/>
      <c r="L95" s="3">
        <f t="shared" si="0"/>
        <v>0.71074590198653054</v>
      </c>
      <c r="M95" s="3">
        <f t="shared" si="1"/>
        <v>0.53966707611504083</v>
      </c>
    </row>
    <row r="96" spans="1:45" x14ac:dyDescent="0.2">
      <c r="A96" s="1" t="s">
        <v>30</v>
      </c>
      <c r="B96" s="33">
        <f>SUM(B91:B95)</f>
        <v>188439</v>
      </c>
      <c r="C96" s="33"/>
      <c r="D96" s="34">
        <v>0</v>
      </c>
      <c r="E96" s="35"/>
      <c r="F96" s="4">
        <v>0</v>
      </c>
      <c r="G96" s="4">
        <v>0</v>
      </c>
      <c r="H96" s="33">
        <f>SUM(H91:H95)</f>
        <v>116234</v>
      </c>
      <c r="I96" s="33"/>
      <c r="J96" s="33">
        <f>SUM(J91:K95)</f>
        <v>81484</v>
      </c>
      <c r="K96" s="33"/>
      <c r="L96" s="3">
        <f t="shared" si="0"/>
        <v>0.61682560404162623</v>
      </c>
      <c r="M96" s="3">
        <f t="shared" si="1"/>
        <v>0.43241579503181399</v>
      </c>
    </row>
    <row r="99" spans="1:13" x14ac:dyDescent="0.2">
      <c r="A99" s="36"/>
      <c r="B99" s="37" t="s">
        <v>33</v>
      </c>
      <c r="C99" s="38"/>
      <c r="D99" s="41" t="s">
        <v>27</v>
      </c>
      <c r="E99" s="42"/>
      <c r="F99" s="45" t="s">
        <v>28</v>
      </c>
      <c r="G99" s="45" t="s">
        <v>29</v>
      </c>
      <c r="H99" s="37" t="s">
        <v>4</v>
      </c>
      <c r="I99" s="38"/>
      <c r="J99" s="37" t="s">
        <v>5</v>
      </c>
      <c r="K99" s="38"/>
    </row>
    <row r="100" spans="1:13" ht="80" x14ac:dyDescent="0.2">
      <c r="A100" s="36"/>
      <c r="B100" s="39"/>
      <c r="C100" s="40"/>
      <c r="D100" s="43"/>
      <c r="E100" s="44"/>
      <c r="F100" s="45"/>
      <c r="G100" s="45"/>
      <c r="H100" s="39"/>
      <c r="I100" s="40"/>
      <c r="J100" s="39"/>
      <c r="K100" s="40"/>
      <c r="L100" s="5" t="s">
        <v>31</v>
      </c>
      <c r="M100" s="5" t="s">
        <v>32</v>
      </c>
    </row>
    <row r="101" spans="1:13" x14ac:dyDescent="0.2">
      <c r="A101" s="1" t="s">
        <v>10</v>
      </c>
      <c r="B101" s="34" cm="1">
        <f t="array" ref="B101">SUM(D5:AC5+D13:AC13)</f>
        <v>40568</v>
      </c>
      <c r="C101" s="35"/>
      <c r="D101" s="34">
        <v>0</v>
      </c>
      <c r="E101" s="35"/>
      <c r="F101" s="4">
        <v>0</v>
      </c>
      <c r="G101" s="4">
        <v>0</v>
      </c>
      <c r="H101" s="34" cm="1">
        <f t="array" ref="H101">SUM(D9:AC9+D17:AC17)</f>
        <v>31939</v>
      </c>
      <c r="I101" s="35"/>
      <c r="J101" s="34" cm="1">
        <f t="array" ref="J101">SUM(D10:AC10+D18:AC18)</f>
        <v>23682</v>
      </c>
      <c r="K101" s="35"/>
      <c r="L101" s="3">
        <f>H101/B101</f>
        <v>0.78729540524551367</v>
      </c>
      <c r="M101" s="3">
        <f>J101/B101</f>
        <v>0.58376059948728065</v>
      </c>
    </row>
    <row r="102" spans="1:13" x14ac:dyDescent="0.2">
      <c r="A102" s="1" t="s">
        <v>13</v>
      </c>
      <c r="B102" s="34" cm="1">
        <f t="array" ref="B102">SUM(D21:AC21+D29:AC29)</f>
        <v>31803</v>
      </c>
      <c r="C102" s="35"/>
      <c r="D102" s="34">
        <v>0</v>
      </c>
      <c r="E102" s="35"/>
      <c r="F102" s="4">
        <v>0</v>
      </c>
      <c r="G102" s="4">
        <v>0</v>
      </c>
      <c r="H102" s="34" cm="1">
        <f t="array" ref="H102">SUM(D25:AC25+D33:AC33)</f>
        <v>16069</v>
      </c>
      <c r="I102" s="35"/>
      <c r="J102" s="34" cm="1">
        <f t="array" ref="J102">SUM(D26:AC26+D34:AC34)</f>
        <v>12243</v>
      </c>
      <c r="K102" s="35"/>
      <c r="L102" s="3">
        <f t="shared" ref="L102:L106" si="2">H102/B102</f>
        <v>0.50526679872967961</v>
      </c>
      <c r="M102" s="3">
        <f t="shared" ref="M102:M106" si="3">J102/B102</f>
        <v>0.38496368267144609</v>
      </c>
    </row>
    <row r="103" spans="1:13" x14ac:dyDescent="0.2">
      <c r="A103" s="1" t="s">
        <v>22</v>
      </c>
      <c r="B103" s="34" cm="1">
        <f t="array" ref="B103">SUM(D69:AC69+D77:AC77)</f>
        <v>38170</v>
      </c>
      <c r="C103" s="35"/>
      <c r="D103" s="34">
        <v>0</v>
      </c>
      <c r="E103" s="35"/>
      <c r="F103" s="4">
        <v>0</v>
      </c>
      <c r="G103" s="4">
        <v>0</v>
      </c>
      <c r="H103" s="34" cm="1">
        <f t="array" ref="H103">SUM(D73:AC73+D81:AC81)</f>
        <v>23279</v>
      </c>
      <c r="I103" s="35"/>
      <c r="J103" s="34" cm="1">
        <f t="array" ref="J103">SUM(D82:AC82+D74:AC74)</f>
        <v>11036</v>
      </c>
      <c r="K103" s="35"/>
      <c r="L103" s="3">
        <f t="shared" si="2"/>
        <v>0.60987686664920093</v>
      </c>
      <c r="M103" s="3">
        <f t="shared" si="3"/>
        <v>0.28912758711029607</v>
      </c>
    </row>
    <row r="104" spans="1:13" x14ac:dyDescent="0.2">
      <c r="A104" s="1" t="s">
        <v>16</v>
      </c>
      <c r="B104" s="34" cm="1">
        <f t="array" ref="B104">SUM(D37:AC37+D45:AC45)</f>
        <v>40546</v>
      </c>
      <c r="C104" s="35"/>
      <c r="D104" s="34">
        <v>0</v>
      </c>
      <c r="E104" s="35"/>
      <c r="F104" s="4">
        <v>0</v>
      </c>
      <c r="G104" s="4">
        <v>0</v>
      </c>
      <c r="H104" s="34" cm="1">
        <f t="array" ref="H104">SUM(D41:AC41+D49:AC49)</f>
        <v>17556</v>
      </c>
      <c r="I104" s="35"/>
      <c r="J104" s="34" cm="1">
        <f t="array" ref="J104">SUM(D42:AC42+D50:AC50)</f>
        <v>13266</v>
      </c>
      <c r="K104" s="35"/>
      <c r="L104" s="3">
        <f t="shared" si="2"/>
        <v>0.4329896907216495</v>
      </c>
      <c r="M104" s="3">
        <f t="shared" si="3"/>
        <v>0.32718393922951711</v>
      </c>
    </row>
    <row r="105" spans="1:13" x14ac:dyDescent="0.2">
      <c r="A105" s="1" t="s">
        <v>19</v>
      </c>
      <c r="B105" s="34" cm="1">
        <f t="array" ref="B105">SUM(D61:AC61+D53:AC53)</f>
        <v>21787</v>
      </c>
      <c r="C105" s="35"/>
      <c r="D105" s="34">
        <v>0</v>
      </c>
      <c r="E105" s="35"/>
      <c r="F105" s="4">
        <v>0</v>
      </c>
      <c r="G105" s="4">
        <v>0</v>
      </c>
      <c r="H105" s="34" cm="1">
        <f t="array" ref="H105">SUM(D65:AC65+D57:AC57)</f>
        <v>14146</v>
      </c>
      <c r="I105" s="35"/>
      <c r="J105" s="34" cm="1">
        <f t="array" ref="J105">SUM(D66:AC66+D58:AC58)</f>
        <v>11616</v>
      </c>
      <c r="K105" s="35"/>
      <c r="L105" s="3">
        <f t="shared" si="2"/>
        <v>0.64928627162987107</v>
      </c>
      <c r="M105" s="3">
        <f t="shared" si="3"/>
        <v>0.53316197732592829</v>
      </c>
    </row>
    <row r="106" spans="1:13" x14ac:dyDescent="0.2">
      <c r="A106" s="1" t="s">
        <v>30</v>
      </c>
      <c r="B106" s="33">
        <f>SUM(B101:B105)</f>
        <v>172874</v>
      </c>
      <c r="C106" s="33"/>
      <c r="D106" s="34">
        <v>0</v>
      </c>
      <c r="E106" s="35"/>
      <c r="F106" s="4">
        <v>0</v>
      </c>
      <c r="G106" s="4">
        <v>0</v>
      </c>
      <c r="H106" s="33">
        <f>SUM(H101:H105)</f>
        <v>102989</v>
      </c>
      <c r="I106" s="33"/>
      <c r="J106" s="33">
        <f>SUM(J101:K105)</f>
        <v>71843</v>
      </c>
      <c r="K106" s="33"/>
      <c r="L106" s="3">
        <f t="shared" si="2"/>
        <v>0.59574603468422083</v>
      </c>
      <c r="M106" s="3">
        <f t="shared" si="3"/>
        <v>0.41558013350764139</v>
      </c>
    </row>
  </sheetData>
  <mergeCells count="1359">
    <mergeCell ref="AR74:AS74"/>
    <mergeCell ref="AR77:AS77"/>
    <mergeCell ref="AR78:AS78"/>
    <mergeCell ref="AR79:AS79"/>
    <mergeCell ref="AR80:AS80"/>
    <mergeCell ref="AR81:AS81"/>
    <mergeCell ref="AR82:AS82"/>
    <mergeCell ref="AR63:AS63"/>
    <mergeCell ref="AR64:AS64"/>
    <mergeCell ref="AR65:AS65"/>
    <mergeCell ref="AR66:AS66"/>
    <mergeCell ref="AR69:AS69"/>
    <mergeCell ref="AR70:AS70"/>
    <mergeCell ref="AR71:AS71"/>
    <mergeCell ref="AR72:AS72"/>
    <mergeCell ref="AR73:AS73"/>
    <mergeCell ref="AR50:AS50"/>
    <mergeCell ref="AR53:AS53"/>
    <mergeCell ref="AR54:AS54"/>
    <mergeCell ref="AR55:AS55"/>
    <mergeCell ref="AR56:AS56"/>
    <mergeCell ref="AR57:AS57"/>
    <mergeCell ref="AR58:AS58"/>
    <mergeCell ref="AR61:AS61"/>
    <mergeCell ref="AR62:AS62"/>
    <mergeCell ref="AR39:AS39"/>
    <mergeCell ref="AR40:AS40"/>
    <mergeCell ref="AR41:AS41"/>
    <mergeCell ref="AR42:AS42"/>
    <mergeCell ref="AR45:AS45"/>
    <mergeCell ref="AR46:AS46"/>
    <mergeCell ref="AR47:AS47"/>
    <mergeCell ref="AR48:AS48"/>
    <mergeCell ref="AR49:AS49"/>
    <mergeCell ref="AR26:AS26"/>
    <mergeCell ref="AR29:AS29"/>
    <mergeCell ref="AR30:AS30"/>
    <mergeCell ref="AR31:AS31"/>
    <mergeCell ref="AR32:AS32"/>
    <mergeCell ref="AR33:AS33"/>
    <mergeCell ref="AR34:AS34"/>
    <mergeCell ref="AR37:AS37"/>
    <mergeCell ref="AR38:AS38"/>
    <mergeCell ref="AD82:AE82"/>
    <mergeCell ref="AF82:AG82"/>
    <mergeCell ref="AH82:AI82"/>
    <mergeCell ref="AJ82:AK82"/>
    <mergeCell ref="AL82:AM82"/>
    <mergeCell ref="AN82:AO82"/>
    <mergeCell ref="AP82:AQ82"/>
    <mergeCell ref="AR5:AS5"/>
    <mergeCell ref="AR6:AS6"/>
    <mergeCell ref="AR7:AS7"/>
    <mergeCell ref="AR8:AS8"/>
    <mergeCell ref="AR9:AS9"/>
    <mergeCell ref="AR10:AS10"/>
    <mergeCell ref="AR13:AS13"/>
    <mergeCell ref="AR14:AS14"/>
    <mergeCell ref="AR15:AS15"/>
    <mergeCell ref="AR16:AS16"/>
    <mergeCell ref="AR17:AS17"/>
    <mergeCell ref="AR18:AS18"/>
    <mergeCell ref="AR21:AS21"/>
    <mergeCell ref="AR22:AS22"/>
    <mergeCell ref="AR23:AS23"/>
    <mergeCell ref="AR24:AS24"/>
    <mergeCell ref="AR25:AS25"/>
    <mergeCell ref="AD80:AE80"/>
    <mergeCell ref="AF80:AG80"/>
    <mergeCell ref="AH80:AI80"/>
    <mergeCell ref="AJ80:AK80"/>
    <mergeCell ref="AL80:AM80"/>
    <mergeCell ref="AN80:AO80"/>
    <mergeCell ref="AP80:AQ80"/>
    <mergeCell ref="AD81:AE81"/>
    <mergeCell ref="AF81:AG81"/>
    <mergeCell ref="AH81:AI81"/>
    <mergeCell ref="AJ81:AK81"/>
    <mergeCell ref="AL81:AM81"/>
    <mergeCell ref="AN81:AO81"/>
    <mergeCell ref="AP81:AQ81"/>
    <mergeCell ref="AD78:AE78"/>
    <mergeCell ref="AF78:AG78"/>
    <mergeCell ref="AH78:AI78"/>
    <mergeCell ref="AJ78:AK78"/>
    <mergeCell ref="AL78:AM78"/>
    <mergeCell ref="AN78:AO78"/>
    <mergeCell ref="AP78:AQ78"/>
    <mergeCell ref="AD79:AE79"/>
    <mergeCell ref="AF79:AG79"/>
    <mergeCell ref="AH79:AI79"/>
    <mergeCell ref="AJ79:AK79"/>
    <mergeCell ref="AL79:AM79"/>
    <mergeCell ref="AN79:AO79"/>
    <mergeCell ref="AP79:AQ79"/>
    <mergeCell ref="AD74:AE74"/>
    <mergeCell ref="AF74:AG74"/>
    <mergeCell ref="AH74:AI74"/>
    <mergeCell ref="AJ74:AK74"/>
    <mergeCell ref="AL74:AM74"/>
    <mergeCell ref="AN74:AO74"/>
    <mergeCell ref="AP74:AQ74"/>
    <mergeCell ref="AD77:AE77"/>
    <mergeCell ref="AF77:AG77"/>
    <mergeCell ref="AH77:AI77"/>
    <mergeCell ref="AJ77:AK77"/>
    <mergeCell ref="AL77:AM77"/>
    <mergeCell ref="AN77:AO77"/>
    <mergeCell ref="AP77:AQ77"/>
    <mergeCell ref="AD72:AE72"/>
    <mergeCell ref="AF72:AG72"/>
    <mergeCell ref="AH72:AI72"/>
    <mergeCell ref="AJ72:AK72"/>
    <mergeCell ref="AL72:AM72"/>
    <mergeCell ref="AN72:AO72"/>
    <mergeCell ref="AP72:AQ72"/>
    <mergeCell ref="AD73:AE73"/>
    <mergeCell ref="AF73:AG73"/>
    <mergeCell ref="AH73:AI73"/>
    <mergeCell ref="AJ73:AK73"/>
    <mergeCell ref="AL73:AM73"/>
    <mergeCell ref="AN73:AO73"/>
    <mergeCell ref="AP73:AQ73"/>
    <mergeCell ref="AD70:AE70"/>
    <mergeCell ref="AF70:AG70"/>
    <mergeCell ref="AH70:AI70"/>
    <mergeCell ref="AJ70:AK70"/>
    <mergeCell ref="AL70:AM70"/>
    <mergeCell ref="AN70:AO70"/>
    <mergeCell ref="AP70:AQ70"/>
    <mergeCell ref="AD71:AE71"/>
    <mergeCell ref="AF71:AG71"/>
    <mergeCell ref="AH71:AI71"/>
    <mergeCell ref="AJ71:AK71"/>
    <mergeCell ref="AL71:AM71"/>
    <mergeCell ref="AN71:AO71"/>
    <mergeCell ref="AP71:AQ71"/>
    <mergeCell ref="AD66:AE66"/>
    <mergeCell ref="AF66:AG66"/>
    <mergeCell ref="AH66:AI66"/>
    <mergeCell ref="AJ66:AK66"/>
    <mergeCell ref="AL66:AM66"/>
    <mergeCell ref="AN66:AO66"/>
    <mergeCell ref="AP66:AQ66"/>
    <mergeCell ref="AD69:AE69"/>
    <mergeCell ref="AF69:AG69"/>
    <mergeCell ref="AH69:AI69"/>
    <mergeCell ref="AJ69:AK69"/>
    <mergeCell ref="AL69:AM69"/>
    <mergeCell ref="AN69:AO69"/>
    <mergeCell ref="AP69:AQ69"/>
    <mergeCell ref="AD64:AE64"/>
    <mergeCell ref="AF64:AG64"/>
    <mergeCell ref="AH64:AI64"/>
    <mergeCell ref="AJ64:AK64"/>
    <mergeCell ref="AL64:AM64"/>
    <mergeCell ref="AN64:AO64"/>
    <mergeCell ref="AP64:AQ64"/>
    <mergeCell ref="AD65:AE65"/>
    <mergeCell ref="AF65:AG65"/>
    <mergeCell ref="AH65:AI65"/>
    <mergeCell ref="AJ65:AK65"/>
    <mergeCell ref="AL65:AM65"/>
    <mergeCell ref="AN65:AO65"/>
    <mergeCell ref="AP65:AQ65"/>
    <mergeCell ref="AD62:AE62"/>
    <mergeCell ref="AF62:AG62"/>
    <mergeCell ref="AH62:AI62"/>
    <mergeCell ref="AJ62:AK62"/>
    <mergeCell ref="AL62:AM62"/>
    <mergeCell ref="AN62:AO62"/>
    <mergeCell ref="AP62:AQ62"/>
    <mergeCell ref="AD63:AE63"/>
    <mergeCell ref="AF63:AG63"/>
    <mergeCell ref="AH63:AI63"/>
    <mergeCell ref="AJ63:AK63"/>
    <mergeCell ref="AL63:AM63"/>
    <mergeCell ref="AN63:AO63"/>
    <mergeCell ref="AP63:AQ63"/>
    <mergeCell ref="AD58:AE58"/>
    <mergeCell ref="AF58:AG58"/>
    <mergeCell ref="AH58:AI58"/>
    <mergeCell ref="AJ58:AK58"/>
    <mergeCell ref="AL58:AM58"/>
    <mergeCell ref="AN58:AO58"/>
    <mergeCell ref="AP58:AQ58"/>
    <mergeCell ref="AD61:AE61"/>
    <mergeCell ref="AF61:AG61"/>
    <mergeCell ref="AH61:AI61"/>
    <mergeCell ref="AJ61:AK61"/>
    <mergeCell ref="AL61:AM61"/>
    <mergeCell ref="AN61:AO61"/>
    <mergeCell ref="AP61:AQ61"/>
    <mergeCell ref="AD56:AE56"/>
    <mergeCell ref="AF56:AG56"/>
    <mergeCell ref="AH56:AI56"/>
    <mergeCell ref="AJ56:AK56"/>
    <mergeCell ref="AL56:AM56"/>
    <mergeCell ref="AN56:AO56"/>
    <mergeCell ref="AP56:AQ56"/>
    <mergeCell ref="AD57:AE57"/>
    <mergeCell ref="AF57:AG57"/>
    <mergeCell ref="AH57:AI57"/>
    <mergeCell ref="AJ57:AK57"/>
    <mergeCell ref="AL57:AM57"/>
    <mergeCell ref="AN57:AO57"/>
    <mergeCell ref="AP57:AQ57"/>
    <mergeCell ref="AD54:AE54"/>
    <mergeCell ref="AF54:AG54"/>
    <mergeCell ref="AH54:AI54"/>
    <mergeCell ref="AJ54:AK54"/>
    <mergeCell ref="AL54:AM54"/>
    <mergeCell ref="AN54:AO54"/>
    <mergeCell ref="AP54:AQ54"/>
    <mergeCell ref="AD55:AE55"/>
    <mergeCell ref="AF55:AG55"/>
    <mergeCell ref="AH55:AI55"/>
    <mergeCell ref="AJ55:AK55"/>
    <mergeCell ref="AL55:AM55"/>
    <mergeCell ref="AN55:AO55"/>
    <mergeCell ref="AP55:AQ55"/>
    <mergeCell ref="AD50:AE50"/>
    <mergeCell ref="AF50:AG50"/>
    <mergeCell ref="AH50:AI50"/>
    <mergeCell ref="AJ50:AK50"/>
    <mergeCell ref="AL50:AM50"/>
    <mergeCell ref="AN50:AO50"/>
    <mergeCell ref="AP50:AQ50"/>
    <mergeCell ref="AD53:AE53"/>
    <mergeCell ref="AF53:AG53"/>
    <mergeCell ref="AH53:AI53"/>
    <mergeCell ref="AJ53:AK53"/>
    <mergeCell ref="AL53:AM53"/>
    <mergeCell ref="AN53:AO53"/>
    <mergeCell ref="AP53:AQ53"/>
    <mergeCell ref="AD48:AE48"/>
    <mergeCell ref="AF48:AG48"/>
    <mergeCell ref="AH48:AI48"/>
    <mergeCell ref="AJ48:AK48"/>
    <mergeCell ref="AL48:AM48"/>
    <mergeCell ref="AN48:AO48"/>
    <mergeCell ref="AP48:AQ48"/>
    <mergeCell ref="AD49:AE49"/>
    <mergeCell ref="AF49:AG49"/>
    <mergeCell ref="AH49:AI49"/>
    <mergeCell ref="AJ49:AK49"/>
    <mergeCell ref="AL49:AM49"/>
    <mergeCell ref="AN49:AO49"/>
    <mergeCell ref="AP49:AQ49"/>
    <mergeCell ref="AD46:AE46"/>
    <mergeCell ref="AF46:AG46"/>
    <mergeCell ref="AH46:AI46"/>
    <mergeCell ref="AJ46:AK46"/>
    <mergeCell ref="AL46:AM46"/>
    <mergeCell ref="AN46:AO46"/>
    <mergeCell ref="AP46:AQ46"/>
    <mergeCell ref="AD47:AE47"/>
    <mergeCell ref="AF47:AG47"/>
    <mergeCell ref="AH47:AI47"/>
    <mergeCell ref="AJ47:AK47"/>
    <mergeCell ref="AL47:AM47"/>
    <mergeCell ref="AN47:AO47"/>
    <mergeCell ref="AP47:AQ47"/>
    <mergeCell ref="AD42:AE42"/>
    <mergeCell ref="AF42:AG42"/>
    <mergeCell ref="AH42:AI42"/>
    <mergeCell ref="AJ42:AK42"/>
    <mergeCell ref="AL42:AM42"/>
    <mergeCell ref="AN42:AO42"/>
    <mergeCell ref="AP42:AQ42"/>
    <mergeCell ref="AD45:AE45"/>
    <mergeCell ref="AF45:AG45"/>
    <mergeCell ref="AH45:AI45"/>
    <mergeCell ref="AJ45:AK45"/>
    <mergeCell ref="AL45:AM45"/>
    <mergeCell ref="AN45:AO45"/>
    <mergeCell ref="AP45:AQ45"/>
    <mergeCell ref="AD40:AE40"/>
    <mergeCell ref="AF40:AG40"/>
    <mergeCell ref="AH40:AI40"/>
    <mergeCell ref="AJ40:AK40"/>
    <mergeCell ref="AL40:AM40"/>
    <mergeCell ref="AN40:AO40"/>
    <mergeCell ref="AP40:AQ40"/>
    <mergeCell ref="AD41:AE41"/>
    <mergeCell ref="AF41:AG41"/>
    <mergeCell ref="AH41:AI41"/>
    <mergeCell ref="AJ41:AK41"/>
    <mergeCell ref="AL41:AM41"/>
    <mergeCell ref="AN41:AO41"/>
    <mergeCell ref="AP41:AQ41"/>
    <mergeCell ref="AD38:AE38"/>
    <mergeCell ref="AF38:AG38"/>
    <mergeCell ref="AH38:AI38"/>
    <mergeCell ref="AJ38:AK38"/>
    <mergeCell ref="AL38:AM38"/>
    <mergeCell ref="AN38:AO38"/>
    <mergeCell ref="AP38:AQ38"/>
    <mergeCell ref="AD39:AE39"/>
    <mergeCell ref="AF39:AG39"/>
    <mergeCell ref="AH39:AI39"/>
    <mergeCell ref="AJ39:AK39"/>
    <mergeCell ref="AL39:AM39"/>
    <mergeCell ref="AN39:AO39"/>
    <mergeCell ref="AP39:AQ39"/>
    <mergeCell ref="AD34:AE34"/>
    <mergeCell ref="AF34:AG34"/>
    <mergeCell ref="AH34:AI34"/>
    <mergeCell ref="AJ34:AK34"/>
    <mergeCell ref="AL34:AM34"/>
    <mergeCell ref="AN34:AO34"/>
    <mergeCell ref="AP34:AQ34"/>
    <mergeCell ref="AD37:AE37"/>
    <mergeCell ref="AF37:AG37"/>
    <mergeCell ref="AH37:AI37"/>
    <mergeCell ref="AJ37:AK37"/>
    <mergeCell ref="AL37:AM37"/>
    <mergeCell ref="AN37:AO37"/>
    <mergeCell ref="AP37:AQ37"/>
    <mergeCell ref="AD32:AE32"/>
    <mergeCell ref="AF32:AG32"/>
    <mergeCell ref="AH32:AI32"/>
    <mergeCell ref="AJ32:AK32"/>
    <mergeCell ref="AL32:AM32"/>
    <mergeCell ref="AN32:AO32"/>
    <mergeCell ref="AP32:AQ32"/>
    <mergeCell ref="AD33:AE33"/>
    <mergeCell ref="AF33:AG33"/>
    <mergeCell ref="AH33:AI33"/>
    <mergeCell ref="AJ33:AK33"/>
    <mergeCell ref="AL33:AM33"/>
    <mergeCell ref="AN33:AO33"/>
    <mergeCell ref="AP33:AQ33"/>
    <mergeCell ref="AD30:AE30"/>
    <mergeCell ref="AF30:AG30"/>
    <mergeCell ref="AH30:AI30"/>
    <mergeCell ref="AJ30:AK30"/>
    <mergeCell ref="AL30:AM30"/>
    <mergeCell ref="AN30:AO30"/>
    <mergeCell ref="AP30:AQ30"/>
    <mergeCell ref="AD31:AE31"/>
    <mergeCell ref="AF31:AG31"/>
    <mergeCell ref="AH31:AI31"/>
    <mergeCell ref="AJ31:AK31"/>
    <mergeCell ref="AL31:AM31"/>
    <mergeCell ref="AN31:AO31"/>
    <mergeCell ref="AP31:AQ31"/>
    <mergeCell ref="AD26:AE26"/>
    <mergeCell ref="AF26:AG26"/>
    <mergeCell ref="AH26:AI26"/>
    <mergeCell ref="AJ26:AK26"/>
    <mergeCell ref="AL26:AM26"/>
    <mergeCell ref="AN26:AO26"/>
    <mergeCell ref="AP26:AQ26"/>
    <mergeCell ref="AD29:AE29"/>
    <mergeCell ref="AF29:AG29"/>
    <mergeCell ref="AH29:AI29"/>
    <mergeCell ref="AJ29:AK29"/>
    <mergeCell ref="AL29:AM29"/>
    <mergeCell ref="AN29:AO29"/>
    <mergeCell ref="AP29:AQ29"/>
    <mergeCell ref="AD24:AE24"/>
    <mergeCell ref="AF24:AG24"/>
    <mergeCell ref="AH24:AI24"/>
    <mergeCell ref="AJ24:AK24"/>
    <mergeCell ref="AL24:AM24"/>
    <mergeCell ref="AN24:AO24"/>
    <mergeCell ref="AP24:AQ24"/>
    <mergeCell ref="AD25:AE25"/>
    <mergeCell ref="AF25:AG25"/>
    <mergeCell ref="AH25:AI25"/>
    <mergeCell ref="AJ25:AK25"/>
    <mergeCell ref="AL25:AM25"/>
    <mergeCell ref="AN25:AO25"/>
    <mergeCell ref="AP25:AQ25"/>
    <mergeCell ref="AD22:AE22"/>
    <mergeCell ref="AF22:AG22"/>
    <mergeCell ref="AH22:AI22"/>
    <mergeCell ref="AJ22:AK22"/>
    <mergeCell ref="AL22:AM22"/>
    <mergeCell ref="AN22:AO22"/>
    <mergeCell ref="AP22:AQ22"/>
    <mergeCell ref="AD23:AE23"/>
    <mergeCell ref="AF23:AG23"/>
    <mergeCell ref="AH23:AI23"/>
    <mergeCell ref="AJ23:AK23"/>
    <mergeCell ref="AL23:AM23"/>
    <mergeCell ref="AN23:AO23"/>
    <mergeCell ref="AP23:AQ23"/>
    <mergeCell ref="AD18:AE18"/>
    <mergeCell ref="AF18:AG18"/>
    <mergeCell ref="AH18:AI18"/>
    <mergeCell ref="AJ18:AK18"/>
    <mergeCell ref="AL18:AM18"/>
    <mergeCell ref="AN18:AO18"/>
    <mergeCell ref="AP18:AQ18"/>
    <mergeCell ref="AD21:AE21"/>
    <mergeCell ref="AF21:AG21"/>
    <mergeCell ref="AH21:AI21"/>
    <mergeCell ref="AJ21:AK21"/>
    <mergeCell ref="AL21:AM21"/>
    <mergeCell ref="AN21:AO21"/>
    <mergeCell ref="AP21:AQ21"/>
    <mergeCell ref="AD16:AE16"/>
    <mergeCell ref="AF16:AG16"/>
    <mergeCell ref="AH16:AI16"/>
    <mergeCell ref="AJ16:AK16"/>
    <mergeCell ref="AL16:AM16"/>
    <mergeCell ref="AN16:AO16"/>
    <mergeCell ref="AP16:AQ16"/>
    <mergeCell ref="AD17:AE17"/>
    <mergeCell ref="AF17:AG17"/>
    <mergeCell ref="AH17:AI17"/>
    <mergeCell ref="AJ17:AK17"/>
    <mergeCell ref="AL17:AM17"/>
    <mergeCell ref="AN17:AO17"/>
    <mergeCell ref="AP17:AQ17"/>
    <mergeCell ref="AD14:AE14"/>
    <mergeCell ref="AF14:AG14"/>
    <mergeCell ref="AH14:AI14"/>
    <mergeCell ref="AJ14:AK14"/>
    <mergeCell ref="AL14:AM14"/>
    <mergeCell ref="AN14:AO14"/>
    <mergeCell ref="AP14:AQ14"/>
    <mergeCell ref="AD15:AE15"/>
    <mergeCell ref="AF15:AG15"/>
    <mergeCell ref="AH15:AI15"/>
    <mergeCell ref="AJ15:AK15"/>
    <mergeCell ref="AL15:AM15"/>
    <mergeCell ref="AN15:AO15"/>
    <mergeCell ref="AP15:AQ15"/>
    <mergeCell ref="AD10:AE10"/>
    <mergeCell ref="AF10:AG10"/>
    <mergeCell ref="AH10:AI10"/>
    <mergeCell ref="AJ10:AK10"/>
    <mergeCell ref="AL10:AM10"/>
    <mergeCell ref="AN10:AO10"/>
    <mergeCell ref="AP10:AQ10"/>
    <mergeCell ref="AD13:AE13"/>
    <mergeCell ref="AF13:AG13"/>
    <mergeCell ref="AH13:AI13"/>
    <mergeCell ref="AJ13:AK13"/>
    <mergeCell ref="AL13:AM13"/>
    <mergeCell ref="AN13:AO13"/>
    <mergeCell ref="AP13:AQ13"/>
    <mergeCell ref="AD8:AE8"/>
    <mergeCell ref="AF8:AG8"/>
    <mergeCell ref="AH8:AI8"/>
    <mergeCell ref="AJ8:AK8"/>
    <mergeCell ref="AL8:AM8"/>
    <mergeCell ref="AN8:AO8"/>
    <mergeCell ref="AP8:AQ8"/>
    <mergeCell ref="AD9:AE9"/>
    <mergeCell ref="AF9:AG9"/>
    <mergeCell ref="AH9:AI9"/>
    <mergeCell ref="AJ9:AK9"/>
    <mergeCell ref="AL9:AM9"/>
    <mergeCell ref="AN9:AO9"/>
    <mergeCell ref="AP9:AQ9"/>
    <mergeCell ref="AD6:AE6"/>
    <mergeCell ref="AF6:AG6"/>
    <mergeCell ref="AH6:AI6"/>
    <mergeCell ref="AJ6:AK6"/>
    <mergeCell ref="AL6:AM6"/>
    <mergeCell ref="AN6:AO6"/>
    <mergeCell ref="AP6:AQ6"/>
    <mergeCell ref="AD7:AE7"/>
    <mergeCell ref="AF7:AG7"/>
    <mergeCell ref="AH7:AI7"/>
    <mergeCell ref="AJ7:AK7"/>
    <mergeCell ref="AL7:AM7"/>
    <mergeCell ref="AN7:AO7"/>
    <mergeCell ref="AP7:AQ7"/>
    <mergeCell ref="AD4:AE4"/>
    <mergeCell ref="AF4:AG4"/>
    <mergeCell ref="AH4:AI4"/>
    <mergeCell ref="AJ4:AK4"/>
    <mergeCell ref="AL4:AM4"/>
    <mergeCell ref="AN4:AO4"/>
    <mergeCell ref="AP4:AQ4"/>
    <mergeCell ref="AR4:AS4"/>
    <mergeCell ref="AD5:AE5"/>
    <mergeCell ref="AF5:AG5"/>
    <mergeCell ref="AH5:AI5"/>
    <mergeCell ref="AJ5:AK5"/>
    <mergeCell ref="AL5:AM5"/>
    <mergeCell ref="AN5:AO5"/>
    <mergeCell ref="AP5:AQ5"/>
    <mergeCell ref="V74:W74"/>
    <mergeCell ref="V77:W77"/>
    <mergeCell ref="V78:W78"/>
    <mergeCell ref="V79:W79"/>
    <mergeCell ref="V80:W80"/>
    <mergeCell ref="V81:W81"/>
    <mergeCell ref="V82:W82"/>
    <mergeCell ref="V63:W63"/>
    <mergeCell ref="V64:W64"/>
    <mergeCell ref="V65:W65"/>
    <mergeCell ref="V66:W66"/>
    <mergeCell ref="V69:W69"/>
    <mergeCell ref="V70:W70"/>
    <mergeCell ref="V71:W71"/>
    <mergeCell ref="V72:W72"/>
    <mergeCell ref="V73:W73"/>
    <mergeCell ref="V50:W50"/>
    <mergeCell ref="V53:W53"/>
    <mergeCell ref="V54:W54"/>
    <mergeCell ref="V55:W55"/>
    <mergeCell ref="V56:W56"/>
    <mergeCell ref="V57:W57"/>
    <mergeCell ref="V58:W58"/>
    <mergeCell ref="V61:W61"/>
    <mergeCell ref="V62:W62"/>
    <mergeCell ref="V39:W39"/>
    <mergeCell ref="V40:W40"/>
    <mergeCell ref="V41:W41"/>
    <mergeCell ref="V42:W42"/>
    <mergeCell ref="V45:W45"/>
    <mergeCell ref="V46:W46"/>
    <mergeCell ref="V47:W47"/>
    <mergeCell ref="V48:W48"/>
    <mergeCell ref="V49:W49"/>
    <mergeCell ref="V26:W26"/>
    <mergeCell ref="V29:W29"/>
    <mergeCell ref="V30:W30"/>
    <mergeCell ref="V31:W31"/>
    <mergeCell ref="V32:W32"/>
    <mergeCell ref="V33:W33"/>
    <mergeCell ref="V34:W34"/>
    <mergeCell ref="V37:W37"/>
    <mergeCell ref="V38:W38"/>
    <mergeCell ref="V15:W15"/>
    <mergeCell ref="V16:W16"/>
    <mergeCell ref="V17:W17"/>
    <mergeCell ref="V18:W18"/>
    <mergeCell ref="V21:W21"/>
    <mergeCell ref="V22:W22"/>
    <mergeCell ref="V23:W23"/>
    <mergeCell ref="V24:W24"/>
    <mergeCell ref="V25:W25"/>
    <mergeCell ref="V4:W4"/>
    <mergeCell ref="V5:W5"/>
    <mergeCell ref="V6:W6"/>
    <mergeCell ref="V7:W7"/>
    <mergeCell ref="V8:W8"/>
    <mergeCell ref="V9:W9"/>
    <mergeCell ref="V10:W10"/>
    <mergeCell ref="V13:W13"/>
    <mergeCell ref="V14:W14"/>
    <mergeCell ref="F23:G23"/>
    <mergeCell ref="H23:I23"/>
    <mergeCell ref="J23:K23"/>
    <mergeCell ref="F17:G17"/>
    <mergeCell ref="H17:I17"/>
    <mergeCell ref="J17:K17"/>
    <mergeCell ref="F18:G18"/>
    <mergeCell ref="H18:I18"/>
    <mergeCell ref="J18:K18"/>
    <mergeCell ref="F25:G25"/>
    <mergeCell ref="H25:I25"/>
    <mergeCell ref="J25:K25"/>
    <mergeCell ref="F21:G21"/>
    <mergeCell ref="H21:I21"/>
    <mergeCell ref="J21:K21"/>
    <mergeCell ref="F22:G22"/>
    <mergeCell ref="H22:I22"/>
    <mergeCell ref="J22:K22"/>
    <mergeCell ref="F24:G24"/>
    <mergeCell ref="H24:I24"/>
    <mergeCell ref="J24:K24"/>
    <mergeCell ref="F46:G46"/>
    <mergeCell ref="H46:I46"/>
    <mergeCell ref="J46:K46"/>
    <mergeCell ref="F33:G33"/>
    <mergeCell ref="H33:I33"/>
    <mergeCell ref="J33:K33"/>
    <mergeCell ref="F34:G34"/>
    <mergeCell ref="H34:I34"/>
    <mergeCell ref="J34:K34"/>
    <mergeCell ref="J42:K42"/>
    <mergeCell ref="F39:G39"/>
    <mergeCell ref="H39:I39"/>
    <mergeCell ref="J39:K39"/>
    <mergeCell ref="F40:G40"/>
    <mergeCell ref="H40:I40"/>
    <mergeCell ref="J40:K40"/>
    <mergeCell ref="F45:G45"/>
    <mergeCell ref="H45:I45"/>
    <mergeCell ref="J45:K45"/>
    <mergeCell ref="F42:G42"/>
    <mergeCell ref="H42:I42"/>
    <mergeCell ref="F41:G41"/>
    <mergeCell ref="H41:I41"/>
    <mergeCell ref="J41:K41"/>
    <mergeCell ref="F37:G37"/>
    <mergeCell ref="H37:I37"/>
    <mergeCell ref="J37:K37"/>
    <mergeCell ref="F38:G38"/>
    <mergeCell ref="H38:I38"/>
    <mergeCell ref="J38:K38"/>
    <mergeCell ref="F47:G47"/>
    <mergeCell ref="H47:I47"/>
    <mergeCell ref="J47:K47"/>
    <mergeCell ref="F57:G57"/>
    <mergeCell ref="H57:I57"/>
    <mergeCell ref="J57:K57"/>
    <mergeCell ref="F53:G53"/>
    <mergeCell ref="H53:I53"/>
    <mergeCell ref="J53:K53"/>
    <mergeCell ref="F54:G54"/>
    <mergeCell ref="H54:I54"/>
    <mergeCell ref="J54:K54"/>
    <mergeCell ref="F48:G48"/>
    <mergeCell ref="H48:I48"/>
    <mergeCell ref="J48:K48"/>
    <mergeCell ref="F49:G49"/>
    <mergeCell ref="H49:I49"/>
    <mergeCell ref="J49:K49"/>
    <mergeCell ref="F50:G50"/>
    <mergeCell ref="H50:I50"/>
    <mergeCell ref="J50:K50"/>
    <mergeCell ref="H70:I70"/>
    <mergeCell ref="J70:K70"/>
    <mergeCell ref="F58:G58"/>
    <mergeCell ref="H58:I58"/>
    <mergeCell ref="J58:K58"/>
    <mergeCell ref="F55:G55"/>
    <mergeCell ref="H55:I55"/>
    <mergeCell ref="J55:K55"/>
    <mergeCell ref="F56:G56"/>
    <mergeCell ref="H56:I56"/>
    <mergeCell ref="J56:K56"/>
    <mergeCell ref="F61:G61"/>
    <mergeCell ref="H61:I61"/>
    <mergeCell ref="J61:K61"/>
    <mergeCell ref="F62:G62"/>
    <mergeCell ref="H62:I62"/>
    <mergeCell ref="J62:K62"/>
    <mergeCell ref="F63:G63"/>
    <mergeCell ref="H63:I63"/>
    <mergeCell ref="J63:K63"/>
    <mergeCell ref="F64:G64"/>
    <mergeCell ref="H64:I64"/>
    <mergeCell ref="J64:K64"/>
    <mergeCell ref="F65:G65"/>
    <mergeCell ref="H65:I65"/>
    <mergeCell ref="J65:K65"/>
    <mergeCell ref="F66:G66"/>
    <mergeCell ref="H66:I66"/>
    <mergeCell ref="J66:K66"/>
    <mergeCell ref="F77:G77"/>
    <mergeCell ref="F79:G79"/>
    <mergeCell ref="F81:G81"/>
    <mergeCell ref="H81:I81"/>
    <mergeCell ref="J81:K81"/>
    <mergeCell ref="F82:G82"/>
    <mergeCell ref="H82:I82"/>
    <mergeCell ref="J82:K82"/>
    <mergeCell ref="H79:I79"/>
    <mergeCell ref="J79:K79"/>
    <mergeCell ref="F80:G80"/>
    <mergeCell ref="H80:I80"/>
    <mergeCell ref="J80:K80"/>
    <mergeCell ref="F74:G74"/>
    <mergeCell ref="H74:I74"/>
    <mergeCell ref="J74:K74"/>
    <mergeCell ref="F71:G71"/>
    <mergeCell ref="H71:I71"/>
    <mergeCell ref="J71:K71"/>
    <mergeCell ref="F72:G72"/>
    <mergeCell ref="H72:I72"/>
    <mergeCell ref="J72:K72"/>
    <mergeCell ref="F73:G73"/>
    <mergeCell ref="H73:I73"/>
    <mergeCell ref="J73:K73"/>
    <mergeCell ref="F69:G69"/>
    <mergeCell ref="H69:I69"/>
    <mergeCell ref="J69:K69"/>
    <mergeCell ref="F70:G70"/>
    <mergeCell ref="D57:E57"/>
    <mergeCell ref="D58:E58"/>
    <mergeCell ref="D69:E69"/>
    <mergeCell ref="D70:E70"/>
    <mergeCell ref="D71:E71"/>
    <mergeCell ref="D66:E66"/>
    <mergeCell ref="D63:E63"/>
    <mergeCell ref="D64:E64"/>
    <mergeCell ref="D65:E65"/>
    <mergeCell ref="D61:E61"/>
    <mergeCell ref="D62:E62"/>
    <mergeCell ref="D50:E50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39:E39"/>
    <mergeCell ref="D40:E40"/>
    <mergeCell ref="D41:E41"/>
    <mergeCell ref="D42:E42"/>
    <mergeCell ref="D31:E31"/>
    <mergeCell ref="D32:E32"/>
    <mergeCell ref="D33:E33"/>
    <mergeCell ref="D34:E34"/>
    <mergeCell ref="D37:E37"/>
    <mergeCell ref="D24:E24"/>
    <mergeCell ref="D25:E25"/>
    <mergeCell ref="D26:E26"/>
    <mergeCell ref="D29:E29"/>
    <mergeCell ref="D30:E30"/>
    <mergeCell ref="D17:E17"/>
    <mergeCell ref="D18:E18"/>
    <mergeCell ref="D21:E21"/>
    <mergeCell ref="D22:E22"/>
    <mergeCell ref="D23:E23"/>
    <mergeCell ref="F14:G14"/>
    <mergeCell ref="H14:I14"/>
    <mergeCell ref="J14:K14"/>
    <mergeCell ref="F15:G15"/>
    <mergeCell ref="H15:I15"/>
    <mergeCell ref="J15:K15"/>
    <mergeCell ref="F16:G16"/>
    <mergeCell ref="H16:I16"/>
    <mergeCell ref="F5:G5"/>
    <mergeCell ref="H5:I5"/>
    <mergeCell ref="J5:K5"/>
    <mergeCell ref="F6:G6"/>
    <mergeCell ref="H6:I6"/>
    <mergeCell ref="J6:K6"/>
    <mergeCell ref="H7:I7"/>
    <mergeCell ref="J16:K16"/>
    <mergeCell ref="D38:E38"/>
    <mergeCell ref="J31:K31"/>
    <mergeCell ref="F32:G32"/>
    <mergeCell ref="H32:I32"/>
    <mergeCell ref="J32:K32"/>
    <mergeCell ref="F29:G29"/>
    <mergeCell ref="H29:I29"/>
    <mergeCell ref="F31:G31"/>
    <mergeCell ref="H31:I31"/>
    <mergeCell ref="J29:K29"/>
    <mergeCell ref="F30:G30"/>
    <mergeCell ref="H30:I30"/>
    <mergeCell ref="J30:K30"/>
    <mergeCell ref="F26:G26"/>
    <mergeCell ref="H26:I26"/>
    <mergeCell ref="J26:K26"/>
    <mergeCell ref="A5:A20"/>
    <mergeCell ref="B5:B12"/>
    <mergeCell ref="B13:B20"/>
    <mergeCell ref="A3:J3"/>
    <mergeCell ref="D4:E4"/>
    <mergeCell ref="D5:E5"/>
    <mergeCell ref="D6:E6"/>
    <mergeCell ref="D7:E7"/>
    <mergeCell ref="D8:E8"/>
    <mergeCell ref="D9:E9"/>
    <mergeCell ref="D10:E10"/>
    <mergeCell ref="F10:G10"/>
    <mergeCell ref="H10:I10"/>
    <mergeCell ref="J10:K10"/>
    <mergeCell ref="F4:G4"/>
    <mergeCell ref="H4:I4"/>
    <mergeCell ref="J7:K7"/>
    <mergeCell ref="F8:G8"/>
    <mergeCell ref="H8:I8"/>
    <mergeCell ref="J8:K8"/>
    <mergeCell ref="F9:G9"/>
    <mergeCell ref="H9:I9"/>
    <mergeCell ref="J9:K9"/>
    <mergeCell ref="F7:G7"/>
    <mergeCell ref="J4:K4"/>
    <mergeCell ref="D13:E13"/>
    <mergeCell ref="D14:E14"/>
    <mergeCell ref="D15:E15"/>
    <mergeCell ref="D16:E16"/>
    <mergeCell ref="F13:G13"/>
    <mergeCell ref="H13:I13"/>
    <mergeCell ref="J13:K13"/>
    <mergeCell ref="A21:A36"/>
    <mergeCell ref="B21:B28"/>
    <mergeCell ref="B29:B36"/>
    <mergeCell ref="A37:A52"/>
    <mergeCell ref="B37:B44"/>
    <mergeCell ref="B45:B52"/>
    <mergeCell ref="A53:A68"/>
    <mergeCell ref="B53:B60"/>
    <mergeCell ref="B61:B68"/>
    <mergeCell ref="L4:M4"/>
    <mergeCell ref="N4:O4"/>
    <mergeCell ref="P4:Q4"/>
    <mergeCell ref="L5:M5"/>
    <mergeCell ref="N5:O5"/>
    <mergeCell ref="P5:Q5"/>
    <mergeCell ref="L6:M6"/>
    <mergeCell ref="N6:O6"/>
    <mergeCell ref="P6:Q6"/>
    <mergeCell ref="L7:M7"/>
    <mergeCell ref="N7:O7"/>
    <mergeCell ref="P7:Q7"/>
    <mergeCell ref="L8:M8"/>
    <mergeCell ref="N8:O8"/>
    <mergeCell ref="P8:Q8"/>
    <mergeCell ref="L9:M9"/>
    <mergeCell ref="N9:O9"/>
    <mergeCell ref="P9:Q9"/>
    <mergeCell ref="L10:M10"/>
    <mergeCell ref="N10:O10"/>
    <mergeCell ref="P10:Q10"/>
    <mergeCell ref="L13:M13"/>
    <mergeCell ref="N13:O13"/>
    <mergeCell ref="P13:Q13"/>
    <mergeCell ref="L14:M14"/>
    <mergeCell ref="N14:O14"/>
    <mergeCell ref="P14:Q14"/>
    <mergeCell ref="L15:M15"/>
    <mergeCell ref="N15:O15"/>
    <mergeCell ref="P15:Q15"/>
    <mergeCell ref="L16:M16"/>
    <mergeCell ref="N16:O16"/>
    <mergeCell ref="P16:Q16"/>
    <mergeCell ref="L17:M17"/>
    <mergeCell ref="N17:O17"/>
    <mergeCell ref="P17:Q17"/>
    <mergeCell ref="L18:M18"/>
    <mergeCell ref="N18:O18"/>
    <mergeCell ref="P18:Q18"/>
    <mergeCell ref="L21:M21"/>
    <mergeCell ref="N21:O21"/>
    <mergeCell ref="P21:Q21"/>
    <mergeCell ref="L22:M22"/>
    <mergeCell ref="N22:O22"/>
    <mergeCell ref="P22:Q22"/>
    <mergeCell ref="L23:M23"/>
    <mergeCell ref="N23:O23"/>
    <mergeCell ref="P23:Q23"/>
    <mergeCell ref="L24:M24"/>
    <mergeCell ref="N24:O24"/>
    <mergeCell ref="P24:Q24"/>
    <mergeCell ref="L25:M25"/>
    <mergeCell ref="N25:O25"/>
    <mergeCell ref="P25:Q25"/>
    <mergeCell ref="L26:M26"/>
    <mergeCell ref="N26:O26"/>
    <mergeCell ref="P26:Q26"/>
    <mergeCell ref="L29:M29"/>
    <mergeCell ref="N29:O29"/>
    <mergeCell ref="P29:Q29"/>
    <mergeCell ref="L30:M30"/>
    <mergeCell ref="N30:O30"/>
    <mergeCell ref="P30:Q30"/>
    <mergeCell ref="L31:M31"/>
    <mergeCell ref="N31:O31"/>
    <mergeCell ref="P31:Q31"/>
    <mergeCell ref="L32:M32"/>
    <mergeCell ref="N32:O32"/>
    <mergeCell ref="P32:Q32"/>
    <mergeCell ref="L33:M33"/>
    <mergeCell ref="N33:O33"/>
    <mergeCell ref="P33:Q33"/>
    <mergeCell ref="L34:M34"/>
    <mergeCell ref="N34:O34"/>
    <mergeCell ref="P34:Q34"/>
    <mergeCell ref="L37:M37"/>
    <mergeCell ref="N37:O37"/>
    <mergeCell ref="P37:Q37"/>
    <mergeCell ref="L38:M38"/>
    <mergeCell ref="N38:O38"/>
    <mergeCell ref="P38:Q38"/>
    <mergeCell ref="L39:M39"/>
    <mergeCell ref="N39:O39"/>
    <mergeCell ref="P39:Q39"/>
    <mergeCell ref="L40:M40"/>
    <mergeCell ref="N40:O40"/>
    <mergeCell ref="P40:Q40"/>
    <mergeCell ref="L41:M41"/>
    <mergeCell ref="N41:O41"/>
    <mergeCell ref="P41:Q41"/>
    <mergeCell ref="L42:M42"/>
    <mergeCell ref="N42:O42"/>
    <mergeCell ref="P42:Q42"/>
    <mergeCell ref="L45:M45"/>
    <mergeCell ref="N45:O45"/>
    <mergeCell ref="P45:Q45"/>
    <mergeCell ref="L46:M46"/>
    <mergeCell ref="N46:O46"/>
    <mergeCell ref="P46:Q46"/>
    <mergeCell ref="L47:M47"/>
    <mergeCell ref="N47:O47"/>
    <mergeCell ref="P47:Q47"/>
    <mergeCell ref="L48:M48"/>
    <mergeCell ref="N48:O48"/>
    <mergeCell ref="P48:Q48"/>
    <mergeCell ref="L49:M49"/>
    <mergeCell ref="N49:O49"/>
    <mergeCell ref="P49:Q49"/>
    <mergeCell ref="L50:M50"/>
    <mergeCell ref="N50:O50"/>
    <mergeCell ref="P50:Q50"/>
    <mergeCell ref="L53:M53"/>
    <mergeCell ref="N53:O53"/>
    <mergeCell ref="P53:Q53"/>
    <mergeCell ref="L54:M54"/>
    <mergeCell ref="N54:O54"/>
    <mergeCell ref="P54:Q54"/>
    <mergeCell ref="L55:M55"/>
    <mergeCell ref="N55:O55"/>
    <mergeCell ref="P55:Q55"/>
    <mergeCell ref="L56:M56"/>
    <mergeCell ref="N56:O56"/>
    <mergeCell ref="P56:Q56"/>
    <mergeCell ref="L57:M57"/>
    <mergeCell ref="N57:O57"/>
    <mergeCell ref="P57:Q57"/>
    <mergeCell ref="L58:M58"/>
    <mergeCell ref="N58:O58"/>
    <mergeCell ref="P58:Q58"/>
    <mergeCell ref="L61:M61"/>
    <mergeCell ref="N61:O61"/>
    <mergeCell ref="P61:Q61"/>
    <mergeCell ref="L62:M62"/>
    <mergeCell ref="N62:O62"/>
    <mergeCell ref="P62:Q62"/>
    <mergeCell ref="L63:M63"/>
    <mergeCell ref="N63:O63"/>
    <mergeCell ref="P63:Q63"/>
    <mergeCell ref="L64:M64"/>
    <mergeCell ref="N64:O64"/>
    <mergeCell ref="P64:Q64"/>
    <mergeCell ref="L65:M65"/>
    <mergeCell ref="N65:O65"/>
    <mergeCell ref="P65:Q65"/>
    <mergeCell ref="L66:M66"/>
    <mergeCell ref="N66:O66"/>
    <mergeCell ref="P66:Q66"/>
    <mergeCell ref="L69:M69"/>
    <mergeCell ref="N69:O69"/>
    <mergeCell ref="P69:Q69"/>
    <mergeCell ref="N70:O70"/>
    <mergeCell ref="P70:Q70"/>
    <mergeCell ref="P74:Q74"/>
    <mergeCell ref="L77:M77"/>
    <mergeCell ref="N77:O77"/>
    <mergeCell ref="P77:Q77"/>
    <mergeCell ref="L78:M78"/>
    <mergeCell ref="N78:O78"/>
    <mergeCell ref="P78:Q78"/>
    <mergeCell ref="L71:M71"/>
    <mergeCell ref="N71:O71"/>
    <mergeCell ref="P71:Q71"/>
    <mergeCell ref="L72:M72"/>
    <mergeCell ref="N72:O72"/>
    <mergeCell ref="P72:Q72"/>
    <mergeCell ref="L73:M73"/>
    <mergeCell ref="N73:O73"/>
    <mergeCell ref="P73:Q73"/>
    <mergeCell ref="L79:M79"/>
    <mergeCell ref="N79:O79"/>
    <mergeCell ref="P79:Q79"/>
    <mergeCell ref="L80:M80"/>
    <mergeCell ref="N80:O80"/>
    <mergeCell ref="P80:Q80"/>
    <mergeCell ref="L81:M81"/>
    <mergeCell ref="N81:O81"/>
    <mergeCell ref="P81:Q81"/>
    <mergeCell ref="A89:A90"/>
    <mergeCell ref="F89:F90"/>
    <mergeCell ref="G89:G90"/>
    <mergeCell ref="L82:M82"/>
    <mergeCell ref="N82:O82"/>
    <mergeCell ref="A69:A84"/>
    <mergeCell ref="B69:B76"/>
    <mergeCell ref="B77:B84"/>
    <mergeCell ref="D72:E72"/>
    <mergeCell ref="D73:E73"/>
    <mergeCell ref="D74:E74"/>
    <mergeCell ref="D77:E77"/>
    <mergeCell ref="D78:E78"/>
    <mergeCell ref="H77:I77"/>
    <mergeCell ref="J77:K77"/>
    <mergeCell ref="F78:G78"/>
    <mergeCell ref="H78:I78"/>
    <mergeCell ref="J78:K78"/>
    <mergeCell ref="D79:E79"/>
    <mergeCell ref="D80:E80"/>
    <mergeCell ref="L74:M74"/>
    <mergeCell ref="N74:O74"/>
    <mergeCell ref="L70:M70"/>
    <mergeCell ref="D81:E81"/>
    <mergeCell ref="D82:E82"/>
    <mergeCell ref="B92:C92"/>
    <mergeCell ref="B93:C93"/>
    <mergeCell ref="B94:C94"/>
    <mergeCell ref="B95:C95"/>
    <mergeCell ref="H89:I90"/>
    <mergeCell ref="J89:K90"/>
    <mergeCell ref="H91:I91"/>
    <mergeCell ref="J91:K91"/>
    <mergeCell ref="H92:I92"/>
    <mergeCell ref="H93:I93"/>
    <mergeCell ref="H94:I94"/>
    <mergeCell ref="H95:I95"/>
    <mergeCell ref="J92:K92"/>
    <mergeCell ref="J93:K93"/>
    <mergeCell ref="J94:K94"/>
    <mergeCell ref="J95:K95"/>
    <mergeCell ref="R4:S4"/>
    <mergeCell ref="T4:U4"/>
    <mergeCell ref="R5:S5"/>
    <mergeCell ref="T5:U5"/>
    <mergeCell ref="R6:S6"/>
    <mergeCell ref="T6:U6"/>
    <mergeCell ref="R7:S7"/>
    <mergeCell ref="T7:U7"/>
    <mergeCell ref="R8:S8"/>
    <mergeCell ref="T8:U8"/>
    <mergeCell ref="R9:S9"/>
    <mergeCell ref="T9:U9"/>
    <mergeCell ref="R10:S10"/>
    <mergeCell ref="T10:U10"/>
    <mergeCell ref="R13:S13"/>
    <mergeCell ref="T13:U13"/>
    <mergeCell ref="R14:S14"/>
    <mergeCell ref="T14:U14"/>
    <mergeCell ref="R15:S15"/>
    <mergeCell ref="T15:U15"/>
    <mergeCell ref="R16:S16"/>
    <mergeCell ref="T16:U16"/>
    <mergeCell ref="R17:S17"/>
    <mergeCell ref="T17:U17"/>
    <mergeCell ref="R18:S18"/>
    <mergeCell ref="T18:U18"/>
    <mergeCell ref="R21:S21"/>
    <mergeCell ref="T21:U21"/>
    <mergeCell ref="R22:S22"/>
    <mergeCell ref="T22:U22"/>
    <mergeCell ref="R23:S23"/>
    <mergeCell ref="T23:U23"/>
    <mergeCell ref="R24:S24"/>
    <mergeCell ref="T24:U24"/>
    <mergeCell ref="R25:S25"/>
    <mergeCell ref="T25:U25"/>
    <mergeCell ref="R26:S26"/>
    <mergeCell ref="T26:U26"/>
    <mergeCell ref="R29:S29"/>
    <mergeCell ref="T29:U29"/>
    <mergeCell ref="R30:S30"/>
    <mergeCell ref="T30:U30"/>
    <mergeCell ref="R31:S31"/>
    <mergeCell ref="T31:U31"/>
    <mergeCell ref="R32:S32"/>
    <mergeCell ref="T32:U32"/>
    <mergeCell ref="R33:S33"/>
    <mergeCell ref="T33:U33"/>
    <mergeCell ref="R34:S34"/>
    <mergeCell ref="T34:U34"/>
    <mergeCell ref="R37:S37"/>
    <mergeCell ref="T37:U37"/>
    <mergeCell ref="R38:S38"/>
    <mergeCell ref="T38:U38"/>
    <mergeCell ref="R39:S39"/>
    <mergeCell ref="T39:U39"/>
    <mergeCell ref="R40:S40"/>
    <mergeCell ref="T40:U40"/>
    <mergeCell ref="R41:S41"/>
    <mergeCell ref="T41:U41"/>
    <mergeCell ref="R42:S42"/>
    <mergeCell ref="T42:U42"/>
    <mergeCell ref="R45:S45"/>
    <mergeCell ref="T45:U45"/>
    <mergeCell ref="R46:S46"/>
    <mergeCell ref="T46:U46"/>
    <mergeCell ref="R47:S47"/>
    <mergeCell ref="T47:U47"/>
    <mergeCell ref="R48:S48"/>
    <mergeCell ref="T48:U48"/>
    <mergeCell ref="R49:S49"/>
    <mergeCell ref="T49:U49"/>
    <mergeCell ref="R50:S50"/>
    <mergeCell ref="T50:U50"/>
    <mergeCell ref="R53:S53"/>
    <mergeCell ref="T53:U53"/>
    <mergeCell ref="R54:S54"/>
    <mergeCell ref="T54:U54"/>
    <mergeCell ref="R55:S55"/>
    <mergeCell ref="T55:U55"/>
    <mergeCell ref="R56:S56"/>
    <mergeCell ref="T56:U56"/>
    <mergeCell ref="R57:S57"/>
    <mergeCell ref="T57:U57"/>
    <mergeCell ref="R58:S58"/>
    <mergeCell ref="T58:U58"/>
    <mergeCell ref="R61:S61"/>
    <mergeCell ref="T61:U61"/>
    <mergeCell ref="R62:S62"/>
    <mergeCell ref="T62:U62"/>
    <mergeCell ref="R63:S63"/>
    <mergeCell ref="T63:U63"/>
    <mergeCell ref="R64:S64"/>
    <mergeCell ref="T64:U64"/>
    <mergeCell ref="R65:S65"/>
    <mergeCell ref="T65:U65"/>
    <mergeCell ref="R66:S66"/>
    <mergeCell ref="T66:U66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  <mergeCell ref="R74:S74"/>
    <mergeCell ref="T74:U74"/>
    <mergeCell ref="R77:S77"/>
    <mergeCell ref="T77:U77"/>
    <mergeCell ref="R78:S78"/>
    <mergeCell ref="T78:U78"/>
    <mergeCell ref="R79:S79"/>
    <mergeCell ref="T79:U79"/>
    <mergeCell ref="R80:S80"/>
    <mergeCell ref="T80:U80"/>
    <mergeCell ref="R81:S81"/>
    <mergeCell ref="T81:U81"/>
    <mergeCell ref="X4:Y4"/>
    <mergeCell ref="Z4:AA4"/>
    <mergeCell ref="AB4:AC4"/>
    <mergeCell ref="X5:Y5"/>
    <mergeCell ref="Z5:AA5"/>
    <mergeCell ref="AB5:AC5"/>
    <mergeCell ref="X6:Y6"/>
    <mergeCell ref="Z6:AA6"/>
    <mergeCell ref="AB6:AC6"/>
    <mergeCell ref="X7:Y7"/>
    <mergeCell ref="Z7:AA7"/>
    <mergeCell ref="AB7:AC7"/>
    <mergeCell ref="X8:Y8"/>
    <mergeCell ref="Z8:AA8"/>
    <mergeCell ref="AB8:AC8"/>
    <mergeCell ref="X9:Y9"/>
    <mergeCell ref="Z9:AA9"/>
    <mergeCell ref="AB9:AC9"/>
    <mergeCell ref="X10:Y10"/>
    <mergeCell ref="Z10:AA10"/>
    <mergeCell ref="AB10:AC10"/>
    <mergeCell ref="X13:Y13"/>
    <mergeCell ref="Z13:AA13"/>
    <mergeCell ref="AB13:AC13"/>
    <mergeCell ref="X14:Y14"/>
    <mergeCell ref="Z14:AA14"/>
    <mergeCell ref="AB14:AC14"/>
    <mergeCell ref="X15:Y15"/>
    <mergeCell ref="Z15:AA15"/>
    <mergeCell ref="AB15:AC15"/>
    <mergeCell ref="X16:Y16"/>
    <mergeCell ref="Z16:AA16"/>
    <mergeCell ref="AB16:AC16"/>
    <mergeCell ref="X17:Y17"/>
    <mergeCell ref="Z17:AA17"/>
    <mergeCell ref="AB17:AC17"/>
    <mergeCell ref="X18:Y18"/>
    <mergeCell ref="Z18:AA18"/>
    <mergeCell ref="AB18:AC18"/>
    <mergeCell ref="X21:Y21"/>
    <mergeCell ref="Z21:AA21"/>
    <mergeCell ref="AB21:AC21"/>
    <mergeCell ref="X22:Y22"/>
    <mergeCell ref="Z22:AA22"/>
    <mergeCell ref="AB22:AC22"/>
    <mergeCell ref="X23:Y23"/>
    <mergeCell ref="Z23:AA23"/>
    <mergeCell ref="AB23:AC23"/>
    <mergeCell ref="X24:Y24"/>
    <mergeCell ref="Z24:AA24"/>
    <mergeCell ref="AB24:AC24"/>
    <mergeCell ref="X25:Y25"/>
    <mergeCell ref="Z25:AA25"/>
    <mergeCell ref="AB25:AC25"/>
    <mergeCell ref="X26:Y26"/>
    <mergeCell ref="Z26:AA26"/>
    <mergeCell ref="AB26:AC26"/>
    <mergeCell ref="X29:Y29"/>
    <mergeCell ref="Z29:AA29"/>
    <mergeCell ref="AB29:AC29"/>
    <mergeCell ref="X30:Y30"/>
    <mergeCell ref="Z30:AA30"/>
    <mergeCell ref="AB30:AC30"/>
    <mergeCell ref="X31:Y31"/>
    <mergeCell ref="Z31:AA31"/>
    <mergeCell ref="AB31:AC31"/>
    <mergeCell ref="X32:Y32"/>
    <mergeCell ref="Z32:AA32"/>
    <mergeCell ref="AB32:AC32"/>
    <mergeCell ref="X33:Y33"/>
    <mergeCell ref="Z33:AA33"/>
    <mergeCell ref="AB33:AC33"/>
    <mergeCell ref="X34:Y34"/>
    <mergeCell ref="Z34:AA34"/>
    <mergeCell ref="AB34:AC34"/>
    <mergeCell ref="X37:Y37"/>
    <mergeCell ref="Z37:AA37"/>
    <mergeCell ref="AB37:AC37"/>
    <mergeCell ref="X38:Y38"/>
    <mergeCell ref="Z38:AA38"/>
    <mergeCell ref="AB38:AC38"/>
    <mergeCell ref="X39:Y39"/>
    <mergeCell ref="Z39:AA39"/>
    <mergeCell ref="AB39:AC39"/>
    <mergeCell ref="X40:Y40"/>
    <mergeCell ref="Z40:AA40"/>
    <mergeCell ref="AB40:AC40"/>
    <mergeCell ref="X41:Y41"/>
    <mergeCell ref="Z41:AA41"/>
    <mergeCell ref="AB41:AC41"/>
    <mergeCell ref="X42:Y42"/>
    <mergeCell ref="Z42:AA42"/>
    <mergeCell ref="AB42:AC42"/>
    <mergeCell ref="X45:Y45"/>
    <mergeCell ref="Z45:AA45"/>
    <mergeCell ref="AB45:AC45"/>
    <mergeCell ref="X46:Y46"/>
    <mergeCell ref="Z46:AA46"/>
    <mergeCell ref="AB46:AC46"/>
    <mergeCell ref="X47:Y47"/>
    <mergeCell ref="Z47:AA47"/>
    <mergeCell ref="AB47:AC47"/>
    <mergeCell ref="X48:Y48"/>
    <mergeCell ref="Z48:AA48"/>
    <mergeCell ref="AB48:AC48"/>
    <mergeCell ref="X49:Y49"/>
    <mergeCell ref="Z49:AA49"/>
    <mergeCell ref="AB49:AC49"/>
    <mergeCell ref="X50:Y50"/>
    <mergeCell ref="Z50:AA50"/>
    <mergeCell ref="AB50:AC50"/>
    <mergeCell ref="X53:Y53"/>
    <mergeCell ref="Z53:AA53"/>
    <mergeCell ref="AB53:AC53"/>
    <mergeCell ref="X54:Y54"/>
    <mergeCell ref="Z54:AA54"/>
    <mergeCell ref="AB54:AC54"/>
    <mergeCell ref="X55:Y55"/>
    <mergeCell ref="Z55:AA55"/>
    <mergeCell ref="AB55:AC55"/>
    <mergeCell ref="X56:Y56"/>
    <mergeCell ref="Z56:AA56"/>
    <mergeCell ref="AB56:AC56"/>
    <mergeCell ref="X57:Y57"/>
    <mergeCell ref="Z57:AA57"/>
    <mergeCell ref="AB57:AC57"/>
    <mergeCell ref="X58:Y58"/>
    <mergeCell ref="Z58:AA58"/>
    <mergeCell ref="AB58:AC58"/>
    <mergeCell ref="X61:Y61"/>
    <mergeCell ref="Z61:AA61"/>
    <mergeCell ref="AB61:AC61"/>
    <mergeCell ref="X62:Y62"/>
    <mergeCell ref="Z62:AA62"/>
    <mergeCell ref="AB62:AC62"/>
    <mergeCell ref="X63:Y63"/>
    <mergeCell ref="Z63:AA63"/>
    <mergeCell ref="AB63:AC63"/>
    <mergeCell ref="X64:Y64"/>
    <mergeCell ref="Z64:AA64"/>
    <mergeCell ref="AB64:AC64"/>
    <mergeCell ref="X65:Y65"/>
    <mergeCell ref="Z65:AA65"/>
    <mergeCell ref="AB65:AC65"/>
    <mergeCell ref="X66:Y66"/>
    <mergeCell ref="Z66:AA66"/>
    <mergeCell ref="AB66:AC66"/>
    <mergeCell ref="X69:Y69"/>
    <mergeCell ref="Z69:AA69"/>
    <mergeCell ref="AB69:AC69"/>
    <mergeCell ref="X70:Y70"/>
    <mergeCell ref="Z70:AA70"/>
    <mergeCell ref="AB70:AC70"/>
    <mergeCell ref="X71:Y71"/>
    <mergeCell ref="Z71:AA71"/>
    <mergeCell ref="AB71:AC71"/>
    <mergeCell ref="X72:Y72"/>
    <mergeCell ref="Z72:AA72"/>
    <mergeCell ref="AB72:AC72"/>
    <mergeCell ref="X73:Y73"/>
    <mergeCell ref="Z73:AA73"/>
    <mergeCell ref="AB73:AC73"/>
    <mergeCell ref="X74:Y74"/>
    <mergeCell ref="Z74:AA74"/>
    <mergeCell ref="AB74:AC74"/>
    <mergeCell ref="X77:Y77"/>
    <mergeCell ref="Z77:AA77"/>
    <mergeCell ref="AB77:AC77"/>
    <mergeCell ref="X78:Y78"/>
    <mergeCell ref="Z78:AA78"/>
    <mergeCell ref="AB78:AC78"/>
    <mergeCell ref="X79:Y79"/>
    <mergeCell ref="Z79:AA79"/>
    <mergeCell ref="AB79:AC79"/>
    <mergeCell ref="X80:Y80"/>
    <mergeCell ref="Z80:AA80"/>
    <mergeCell ref="AB80:AC80"/>
    <mergeCell ref="X81:Y81"/>
    <mergeCell ref="Z81:AA81"/>
    <mergeCell ref="AB81:AC81"/>
    <mergeCell ref="X82:Y82"/>
    <mergeCell ref="Z82:AA82"/>
    <mergeCell ref="AB82:AC82"/>
    <mergeCell ref="A99:A100"/>
    <mergeCell ref="B99:C100"/>
    <mergeCell ref="D99:E100"/>
    <mergeCell ref="F99:F100"/>
    <mergeCell ref="G99:G100"/>
    <mergeCell ref="H99:I100"/>
    <mergeCell ref="J99:K100"/>
    <mergeCell ref="R82:S82"/>
    <mergeCell ref="T82:U82"/>
    <mergeCell ref="J96:K96"/>
    <mergeCell ref="H96:I96"/>
    <mergeCell ref="B96:C96"/>
    <mergeCell ref="D89:E90"/>
    <mergeCell ref="D91:E91"/>
    <mergeCell ref="D92:E92"/>
    <mergeCell ref="D93:E93"/>
    <mergeCell ref="D94:E94"/>
    <mergeCell ref="D95:E95"/>
    <mergeCell ref="D96:E96"/>
    <mergeCell ref="B91:C91"/>
    <mergeCell ref="B89:C90"/>
    <mergeCell ref="P82:Q82"/>
    <mergeCell ref="B106:C106"/>
    <mergeCell ref="D106:E106"/>
    <mergeCell ref="H106:I106"/>
    <mergeCell ref="J106:K106"/>
    <mergeCell ref="B101:C101"/>
    <mergeCell ref="D101:E101"/>
    <mergeCell ref="H101:I101"/>
    <mergeCell ref="J101:K101"/>
    <mergeCell ref="B102:C102"/>
    <mergeCell ref="D102:E102"/>
    <mergeCell ref="H102:I102"/>
    <mergeCell ref="J102:K102"/>
    <mergeCell ref="B103:C103"/>
    <mergeCell ref="D103:E103"/>
    <mergeCell ref="H103:I103"/>
    <mergeCell ref="J103:K103"/>
    <mergeCell ref="B104:C104"/>
    <mergeCell ref="D104:E104"/>
    <mergeCell ref="H104:I104"/>
    <mergeCell ref="J104:K104"/>
    <mergeCell ref="B105:C105"/>
    <mergeCell ref="D105:E105"/>
    <mergeCell ref="H105:I105"/>
    <mergeCell ref="J105:K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6783-8473-4EF3-A4F4-88B1BECB8DD5}">
  <dimension ref="A1:X17"/>
  <sheetViews>
    <sheetView zoomScale="140" zoomScaleNormal="140" workbookViewId="0">
      <selection activeCell="C1" sqref="A1:C1"/>
    </sheetView>
  </sheetViews>
  <sheetFormatPr baseColWidth="10" defaultColWidth="8.83203125" defaultRowHeight="15" x14ac:dyDescent="0.2"/>
  <cols>
    <col min="1" max="1" width="10" bestFit="1" customWidth="1"/>
    <col min="2" max="2" width="9.33203125" bestFit="1" customWidth="1"/>
    <col min="3" max="3" width="49.1640625" bestFit="1" customWidth="1"/>
    <col min="4" max="4" width="6.5" bestFit="1" customWidth="1"/>
    <col min="5" max="5" width="6.33203125" bestFit="1" customWidth="1"/>
    <col min="6" max="7" width="6.6640625" bestFit="1" customWidth="1"/>
    <col min="8" max="8" width="6.1640625" bestFit="1" customWidth="1"/>
    <col min="9" max="9" width="6.5" bestFit="1" customWidth="1"/>
    <col min="10" max="10" width="6.83203125" bestFit="1" customWidth="1"/>
    <col min="11" max="11" width="6.5" bestFit="1" customWidth="1"/>
    <col min="12" max="12" width="7" bestFit="1" customWidth="1"/>
    <col min="13" max="13" width="6.33203125" bestFit="1" customWidth="1"/>
    <col min="14" max="14" width="5.83203125" bestFit="1" customWidth="1"/>
    <col min="15" max="15" width="6.6640625" bestFit="1" customWidth="1"/>
    <col min="16" max="16" width="6.5" bestFit="1" customWidth="1"/>
    <col min="17" max="17" width="6.33203125" bestFit="1" customWidth="1"/>
    <col min="18" max="19" width="6.6640625" bestFit="1" customWidth="1"/>
    <col min="20" max="20" width="6.1640625" bestFit="1" customWidth="1"/>
    <col min="21" max="21" width="6.5" bestFit="1" customWidth="1"/>
    <col min="22" max="22" width="6.83203125" style="24" bestFit="1" customWidth="1"/>
    <col min="23" max="23" width="6.5" bestFit="1" customWidth="1"/>
    <col min="24" max="24" width="7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25">
        <v>45170</v>
      </c>
      <c r="E1" s="26">
        <v>45200</v>
      </c>
      <c r="F1" s="25">
        <v>45231</v>
      </c>
      <c r="G1" s="25">
        <v>45261</v>
      </c>
      <c r="H1" s="25">
        <v>45292</v>
      </c>
      <c r="I1" s="25">
        <v>45323</v>
      </c>
      <c r="J1" s="25">
        <v>45352</v>
      </c>
      <c r="K1" s="25">
        <v>45383</v>
      </c>
      <c r="L1" s="25">
        <v>45413</v>
      </c>
      <c r="M1" s="25">
        <v>45444</v>
      </c>
      <c r="N1" s="25">
        <v>45474</v>
      </c>
      <c r="O1" s="25">
        <v>45505</v>
      </c>
      <c r="P1" s="25">
        <v>45536</v>
      </c>
      <c r="Q1" s="25">
        <v>45566</v>
      </c>
      <c r="R1" s="25">
        <v>45597</v>
      </c>
      <c r="S1" s="25">
        <v>45627</v>
      </c>
      <c r="T1" s="25">
        <v>45658</v>
      </c>
      <c r="U1" s="29">
        <v>45689</v>
      </c>
      <c r="V1" s="25">
        <v>45717</v>
      </c>
      <c r="W1" s="30">
        <v>45748</v>
      </c>
      <c r="X1" s="25">
        <v>45778</v>
      </c>
    </row>
    <row r="2" spans="1:24" ht="16" x14ac:dyDescent="0.2">
      <c r="A2" s="27" t="s">
        <v>22</v>
      </c>
      <c r="B2" s="27" t="s">
        <v>22</v>
      </c>
      <c r="C2" s="2" t="s">
        <v>0</v>
      </c>
      <c r="D2" s="28">
        <f>356+720+150+80+30+425+360+154+200+50</f>
        <v>2525</v>
      </c>
      <c r="E2" s="28">
        <f>150+240+40+199+720+515+173+295+250+300</f>
        <v>2882</v>
      </c>
      <c r="F2" s="28">
        <f>298+423+350+203+234+425+70+250+300+200</f>
        <v>2753</v>
      </c>
      <c r="G2" s="28">
        <f>293+400+154+92+80+105+203+350+200+178</f>
        <v>2055</v>
      </c>
      <c r="H2" s="28">
        <f>150+210+240+270+434+200+295+270+385</f>
        <v>2454</v>
      </c>
      <c r="I2" s="28">
        <f>375+240+200+235+210+102+400+200+290+458</f>
        <v>2710</v>
      </c>
      <c r="J2" s="28">
        <f>285+150+250+426+190+200+250+423+92+300</f>
        <v>2566</v>
      </c>
      <c r="K2" s="1">
        <f>385+192+235+400+199+200+270+246+261+350</f>
        <v>2738</v>
      </c>
      <c r="L2" s="1">
        <f>350+200+285+170+192+199+300+305+290+300</f>
        <v>2591</v>
      </c>
      <c r="M2" s="1">
        <f>375+130+215+150+191+204+250+408+205+208</f>
        <v>2336</v>
      </c>
      <c r="N2" s="1">
        <f>420+225+429+450+192+202+340+306+297+200</f>
        <v>3061</v>
      </c>
      <c r="O2" s="1">
        <f>405+250+209+300+192+300+423+205+200</f>
        <v>2484</v>
      </c>
      <c r="P2" s="1">
        <f>395+225+140+200+192+202+250+410+370+300</f>
        <v>2684</v>
      </c>
      <c r="Q2" s="28">
        <f>415+200+259+300+192+204+400+256+700+300</f>
        <v>3226</v>
      </c>
      <c r="R2" s="28"/>
      <c r="S2" s="28"/>
      <c r="T2" s="28"/>
      <c r="U2" s="22"/>
      <c r="V2" s="25"/>
      <c r="W2" s="13"/>
      <c r="X2" s="28"/>
    </row>
    <row r="3" spans="1:24" ht="16" x14ac:dyDescent="0.2">
      <c r="A3" s="27" t="s">
        <v>22</v>
      </c>
      <c r="B3" s="27" t="s">
        <v>22</v>
      </c>
      <c r="C3" s="2" t="s">
        <v>1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8">
        <v>0</v>
      </c>
      <c r="R3" s="28"/>
      <c r="S3" s="28"/>
      <c r="T3" s="28"/>
      <c r="U3" s="22"/>
      <c r="V3" s="25"/>
      <c r="W3" s="13"/>
      <c r="X3" s="28"/>
    </row>
    <row r="4" spans="1:24" ht="16" x14ac:dyDescent="0.2">
      <c r="A4" s="27" t="s">
        <v>22</v>
      </c>
      <c r="B4" s="27" t="s">
        <v>22</v>
      </c>
      <c r="C4" s="2" t="s">
        <v>2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8">
        <v>0</v>
      </c>
      <c r="R4" s="28"/>
      <c r="S4" s="28"/>
      <c r="T4" s="28"/>
      <c r="U4" s="22"/>
      <c r="V4" s="25"/>
      <c r="W4" s="13"/>
      <c r="X4" s="28"/>
    </row>
    <row r="5" spans="1:24" ht="16" x14ac:dyDescent="0.2">
      <c r="A5" s="27" t="s">
        <v>22</v>
      </c>
      <c r="B5" s="27" t="s">
        <v>22</v>
      </c>
      <c r="C5" s="2" t="s">
        <v>3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8">
        <v>0</v>
      </c>
      <c r="R5" s="28"/>
      <c r="S5" s="28"/>
      <c r="T5" s="28"/>
      <c r="U5" s="22"/>
      <c r="V5" s="25"/>
      <c r="W5" s="13"/>
      <c r="X5" s="28"/>
    </row>
    <row r="6" spans="1:24" ht="16" x14ac:dyDescent="0.2">
      <c r="A6" s="27" t="s">
        <v>22</v>
      </c>
      <c r="B6" s="27" t="s">
        <v>22</v>
      </c>
      <c r="C6" s="2" t="s">
        <v>4</v>
      </c>
      <c r="D6" s="28">
        <f>196+120+20+10+28+200+197+145+100+230</f>
        <v>1246</v>
      </c>
      <c r="E6" s="28">
        <f>80+15+10+196+360+295+263+200+320+166</f>
        <v>1905</v>
      </c>
      <c r="F6" s="28">
        <f>175+0+166+130+62+255+10+200+230+197</f>
        <v>1425</v>
      </c>
      <c r="G6" s="28">
        <f>215+166+124+48+0+40+60+210+197+40</f>
        <v>1100</v>
      </c>
      <c r="H6" s="28">
        <f>215+120+112+168+150+130+114+21+10</f>
        <v>1040</v>
      </c>
      <c r="I6" s="28">
        <f>180+120+180+150+110+102+120+11+180+70+70</f>
        <v>1293</v>
      </c>
      <c r="J6" s="28">
        <f>80+70+48+150+196+130+110+109+11+200</f>
        <v>1104</v>
      </c>
      <c r="K6" s="1">
        <f>200+92+150+160+190+197+150+48+135+185</f>
        <v>1507</v>
      </c>
      <c r="L6" s="1">
        <f>150+4+153+25+172+196+120+141+150+188</f>
        <v>1299</v>
      </c>
      <c r="M6" s="1">
        <f>160+98+98+10+198+180+110+99+20+120</f>
        <v>1093</v>
      </c>
      <c r="N6" s="1">
        <f>16+297+306+300+202+192+450+391+225+420</f>
        <v>2799</v>
      </c>
      <c r="O6" s="1">
        <f>126+198+264+470+192+200+199+260+400</f>
        <v>2309</v>
      </c>
      <c r="P6" s="1">
        <f>300+370+112+250+202+192+160+140+225+395</f>
        <v>2346</v>
      </c>
      <c r="Q6" s="28">
        <f>120+678+48+400+204+192+140+239+150+415</f>
        <v>2586</v>
      </c>
      <c r="R6" s="28"/>
      <c r="S6" s="28"/>
      <c r="T6" s="28"/>
      <c r="U6" s="22"/>
      <c r="V6" s="25"/>
      <c r="W6" s="13"/>
      <c r="X6" s="28"/>
    </row>
    <row r="7" spans="1:24" ht="16" x14ac:dyDescent="0.2">
      <c r="A7" s="27" t="s">
        <v>22</v>
      </c>
      <c r="B7" s="27" t="s">
        <v>22</v>
      </c>
      <c r="C7" s="2" t="s">
        <v>5</v>
      </c>
      <c r="D7" s="28">
        <f>20+30+20+4+5+70+3+30+20+5</f>
        <v>207</v>
      </c>
      <c r="E7" s="28">
        <f>20+140+7+3+200+195+61+70+10+56</f>
        <v>762</v>
      </c>
      <c r="F7" s="28">
        <f>52+20+56+20+134+78+8+15+20+3</f>
        <v>406</v>
      </c>
      <c r="G7" s="28">
        <f>58+20+124+48+30+5+10+10+3+178</f>
        <v>486</v>
      </c>
      <c r="H7" s="28">
        <f>8+150+10+10+22+42+59+50+75</f>
        <v>426</v>
      </c>
      <c r="I7" s="28">
        <f>50+15+20+80+105+80+20+9+5+23</f>
        <v>407</v>
      </c>
      <c r="J7" s="28">
        <f>55+9+115+22+15+4+20+121+65+21</f>
        <v>447</v>
      </c>
      <c r="K7" s="1">
        <f>65+20+45+20+9+3+10+26+35+9</f>
        <v>242</v>
      </c>
      <c r="L7" s="1">
        <f>55+8+53+3+9+3+15+54+50+30</f>
        <v>280</v>
      </c>
      <c r="M7" s="1">
        <f>75+10+55+12+110+6+5+34+50+18</f>
        <v>375</v>
      </c>
      <c r="N7" s="1">
        <f>0+205+101+40+192+202+300+306+297+16</f>
        <v>1659</v>
      </c>
      <c r="O7" s="1">
        <f>5+260+199+100+192+302+403+198+100</f>
        <v>1759</v>
      </c>
      <c r="P7" s="1">
        <f>0+225+140+80+192+202+250+108+0+250</f>
        <v>1447</v>
      </c>
      <c r="Q7" s="28">
        <f>0+150+239+80+192+204+320+74+678+18</f>
        <v>1955</v>
      </c>
      <c r="R7" s="28"/>
      <c r="S7" s="28"/>
      <c r="T7" s="28"/>
      <c r="U7" s="22"/>
      <c r="V7" s="25"/>
      <c r="W7" s="13"/>
      <c r="X7" s="28"/>
    </row>
    <row r="8" spans="1:24" ht="16" x14ac:dyDescent="0.2">
      <c r="A8" s="27" t="s">
        <v>22</v>
      </c>
      <c r="B8" s="27" t="s">
        <v>22</v>
      </c>
      <c r="C8" s="2" t="s">
        <v>6</v>
      </c>
      <c r="D8" s="28">
        <v>10</v>
      </c>
      <c r="E8" s="28"/>
      <c r="F8" s="28"/>
      <c r="G8" s="28"/>
      <c r="H8" s="28"/>
      <c r="I8" s="28"/>
      <c r="J8" s="28"/>
      <c r="K8" s="1">
        <v>0</v>
      </c>
      <c r="L8" s="1">
        <v>0</v>
      </c>
      <c r="M8" s="1">
        <v>0</v>
      </c>
      <c r="N8" s="1"/>
      <c r="O8" s="1"/>
      <c r="P8" s="1"/>
      <c r="Q8" s="28"/>
      <c r="R8" s="28"/>
      <c r="S8" s="28"/>
      <c r="T8" s="28"/>
      <c r="U8" s="23"/>
      <c r="V8" s="25"/>
      <c r="W8" s="13"/>
      <c r="X8" s="28"/>
    </row>
    <row r="9" spans="1:24" ht="16" x14ac:dyDescent="0.2">
      <c r="A9" s="27" t="s">
        <v>22</v>
      </c>
      <c r="B9" s="27" t="s">
        <v>22</v>
      </c>
      <c r="C9" s="2" t="s">
        <v>7</v>
      </c>
      <c r="D9" s="28">
        <v>10</v>
      </c>
      <c r="E9" s="28"/>
      <c r="F9" s="28"/>
      <c r="G9" s="28"/>
      <c r="H9" s="28"/>
      <c r="I9" s="28"/>
      <c r="J9" s="28"/>
      <c r="K9" s="1">
        <v>0</v>
      </c>
      <c r="L9" s="1">
        <v>0</v>
      </c>
      <c r="M9" s="1">
        <v>0</v>
      </c>
      <c r="N9" s="1"/>
      <c r="O9" s="1"/>
      <c r="P9" s="1"/>
      <c r="Q9" s="28"/>
      <c r="R9" s="28"/>
      <c r="S9" s="28"/>
      <c r="T9" s="28"/>
      <c r="U9" s="23"/>
      <c r="V9" s="25"/>
      <c r="W9" s="13"/>
      <c r="X9" s="28"/>
    </row>
    <row r="10" spans="1:24" ht="16" x14ac:dyDescent="0.2">
      <c r="A10" s="27" t="s">
        <v>22</v>
      </c>
      <c r="B10" s="27" t="s">
        <v>24</v>
      </c>
      <c r="C10" s="2" t="s">
        <v>0</v>
      </c>
      <c r="D10" s="28">
        <f>61+60+38+32+49+64+60+52+53+32</f>
        <v>501</v>
      </c>
      <c r="E10" s="28">
        <f>39+25+40+20+45+20+40+40+16+30</f>
        <v>315</v>
      </c>
      <c r="F10" s="28">
        <f>37+25+49+42+55+30+23+30+19+25</f>
        <v>335</v>
      </c>
      <c r="G10" s="28">
        <f>30+22+30+25+18+20+20+15+20+40</f>
        <v>240</v>
      </c>
      <c r="H10" s="28">
        <f>45+40+30+45+43+46+20+29+34+60</f>
        <v>392</v>
      </c>
      <c r="I10" s="28">
        <f>17+30+30+40+30+30+35+30+32+35</f>
        <v>309</v>
      </c>
      <c r="J10" s="28">
        <f>30+30+33+45+46+30+25+20+48+40</f>
        <v>347</v>
      </c>
      <c r="K10" s="1">
        <f>50+30+20+35+35+38+35+30+38+37</f>
        <v>348</v>
      </c>
      <c r="L10" s="1">
        <f>21+30+38+25+30+40+20+25+30+48</f>
        <v>307</v>
      </c>
      <c r="M10" s="1">
        <f>35+30+25+30+30+40+25+43+26+40</f>
        <v>324</v>
      </c>
      <c r="N10" s="1">
        <f>30+30+21+30+20+40+25+25+45+41</f>
        <v>307</v>
      </c>
      <c r="O10" s="1">
        <f>30+35+20+20+25+40+18+30+30+33</f>
        <v>281</v>
      </c>
      <c r="P10" s="1">
        <f>52+30+22+20+25+40+20+34+40+42</f>
        <v>325</v>
      </c>
      <c r="Q10" s="28">
        <f>20+30+32+30+30+30+20+54+40+43</f>
        <v>329</v>
      </c>
      <c r="R10" s="28"/>
      <c r="S10" s="28"/>
      <c r="T10" s="28"/>
      <c r="U10" s="22"/>
      <c r="V10" s="25"/>
      <c r="W10" s="13"/>
      <c r="X10" s="28"/>
    </row>
    <row r="11" spans="1:24" ht="16" x14ac:dyDescent="0.2">
      <c r="A11" s="27" t="s">
        <v>22</v>
      </c>
      <c r="B11" s="27" t="s">
        <v>24</v>
      </c>
      <c r="C11" s="2" t="s">
        <v>1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8"/>
      <c r="S11" s="28"/>
      <c r="T11" s="28"/>
      <c r="U11" s="22"/>
      <c r="V11" s="25"/>
      <c r="W11" s="13"/>
      <c r="X11" s="28"/>
    </row>
    <row r="12" spans="1:24" ht="16" x14ac:dyDescent="0.2">
      <c r="A12" s="27" t="s">
        <v>22</v>
      </c>
      <c r="B12" s="27" t="s">
        <v>24</v>
      </c>
      <c r="C12" s="2" t="s">
        <v>2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8"/>
      <c r="S12" s="28"/>
      <c r="T12" s="28"/>
      <c r="U12" s="22"/>
      <c r="V12" s="25"/>
      <c r="W12" s="13"/>
      <c r="X12" s="28"/>
    </row>
    <row r="13" spans="1:24" ht="16" x14ac:dyDescent="0.2">
      <c r="A13" s="27" t="s">
        <v>22</v>
      </c>
      <c r="B13" s="27" t="s">
        <v>24</v>
      </c>
      <c r="C13" s="2" t="s">
        <v>3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8"/>
      <c r="S13" s="28"/>
      <c r="T13" s="28"/>
      <c r="U13" s="22"/>
      <c r="V13" s="25"/>
      <c r="W13" s="13"/>
      <c r="X13" s="28"/>
    </row>
    <row r="14" spans="1:24" ht="16" x14ac:dyDescent="0.2">
      <c r="A14" s="27" t="s">
        <v>22</v>
      </c>
      <c r="B14" s="27" t="s">
        <v>24</v>
      </c>
      <c r="C14" s="2" t="s">
        <v>4</v>
      </c>
      <c r="D14" s="28">
        <f>31+30+30+17+19+15+15+22+32+30</f>
        <v>241</v>
      </c>
      <c r="E14" s="28">
        <f>15+15+25+12+40+15+19+30+20+11</f>
        <v>202</v>
      </c>
      <c r="F14" s="28">
        <f>17+12+20+26+40+10+20+25+10+15</f>
        <v>195</v>
      </c>
      <c r="G14" s="28">
        <f>15+17+20+20+12+15+10+15+20+40</f>
        <v>184</v>
      </c>
      <c r="H14" s="28">
        <f>35+34+22+15+23+28+20+17+30+30</f>
        <v>254</v>
      </c>
      <c r="I14" s="28">
        <f>10+30+20+20+20+20+10+18+20+25</f>
        <v>193</v>
      </c>
      <c r="J14" s="28">
        <f>23+48+15+20+20+35+20+11+15+15</f>
        <v>222</v>
      </c>
      <c r="K14" s="1">
        <f>30+15+15+20+30+24+20+25+38+20</f>
        <v>237</v>
      </c>
      <c r="L14" s="1">
        <f>17+10+10+15+15+20+15+19+30+16</f>
        <v>167</v>
      </c>
      <c r="M14" s="1">
        <f>15+26+23+20+20+12+10+10+15+20</f>
        <v>171</v>
      </c>
      <c r="N14" s="1">
        <f>17+45+20+20+20+20+25+21+30+30</f>
        <v>248</v>
      </c>
      <c r="O14" s="1">
        <f>18+30+26+18+20+25+20+20+35+30</f>
        <v>242</v>
      </c>
      <c r="P14" s="1">
        <f>0+40+32+20+20+25+20+18+30+52</f>
        <v>257</v>
      </c>
      <c r="Q14" s="28">
        <f>20+40+52+20+25+30+30+29+30+20</f>
        <v>296</v>
      </c>
      <c r="R14" s="28"/>
      <c r="S14" s="28"/>
      <c r="T14" s="28"/>
      <c r="U14" s="22"/>
      <c r="V14" s="25"/>
      <c r="W14" s="13"/>
      <c r="X14" s="28"/>
    </row>
    <row r="15" spans="1:24" ht="16" x14ac:dyDescent="0.2">
      <c r="A15" s="27" t="s">
        <v>22</v>
      </c>
      <c r="B15" s="27" t="s">
        <v>24</v>
      </c>
      <c r="C15" s="2" t="s">
        <v>5</v>
      </c>
      <c r="D15" s="28">
        <f>49+22+20+17+19+15+15+22+2+20</f>
        <v>201</v>
      </c>
      <c r="E15" s="28">
        <f>20+10+30+20+5+20+20+20+16+19</f>
        <v>180</v>
      </c>
      <c r="F15" s="28">
        <f>20+8+29+15+15+7+10+15+9+21</f>
        <v>149</v>
      </c>
      <c r="G15" s="28">
        <f>10+22+10+23+10+10+8+5+4+4</f>
        <v>106</v>
      </c>
      <c r="H15" s="28">
        <f>10+4+20+15+15+11+10+25+34+25</f>
        <v>169</v>
      </c>
      <c r="I15" s="28">
        <f>17+4+10+10+15+25+17+25+23+20</f>
        <v>166</v>
      </c>
      <c r="J15" s="28">
        <f>10+10+21+15+30+10+24+8+48+17</f>
        <v>193</v>
      </c>
      <c r="K15" s="1">
        <f>25+9+10+10+20+12+10+15+3+17</f>
        <v>131</v>
      </c>
      <c r="L15" s="1">
        <f>19+5+20+10+15+10+15+21+6+20</f>
        <v>141</v>
      </c>
      <c r="M15" s="1">
        <f>10+10+15+5+18+10+5+15+1+25</f>
        <v>114</v>
      </c>
      <c r="N15" s="1">
        <f>20+0+21+25+20+10+5+15+6+41</f>
        <v>163</v>
      </c>
      <c r="O15" s="1">
        <f>20+0+20+20+25+10+18+30+0+33</f>
        <v>176</v>
      </c>
      <c r="P15" s="1">
        <f>40+30+22+20+25+10+20+34+1+42</f>
        <v>244</v>
      </c>
      <c r="Q15" s="28">
        <f>10+30+32+30+30+30+20+54+40+43</f>
        <v>319</v>
      </c>
      <c r="R15" s="28"/>
      <c r="S15" s="28"/>
      <c r="T15" s="28"/>
      <c r="U15" s="22"/>
      <c r="V15" s="25"/>
      <c r="W15" s="13"/>
      <c r="X15" s="28"/>
    </row>
    <row r="16" spans="1:24" ht="16" x14ac:dyDescent="0.2">
      <c r="A16" s="27" t="s">
        <v>22</v>
      </c>
      <c r="B16" s="27" t="s">
        <v>24</v>
      </c>
      <c r="C16" s="2" t="s">
        <v>6</v>
      </c>
      <c r="D16" s="28">
        <v>10</v>
      </c>
      <c r="E16" s="28"/>
      <c r="F16" s="28">
        <v>10</v>
      </c>
      <c r="G16" s="28"/>
      <c r="H16" s="28"/>
      <c r="I16" s="28"/>
      <c r="J16" s="28"/>
      <c r="K16" s="1">
        <v>0</v>
      </c>
      <c r="L16" s="1">
        <v>0</v>
      </c>
      <c r="M16" s="1">
        <v>0</v>
      </c>
      <c r="N16" s="1"/>
      <c r="O16" s="1"/>
      <c r="P16" s="1"/>
      <c r="Q16" s="28"/>
      <c r="R16" s="28"/>
      <c r="S16" s="28"/>
      <c r="T16" s="28"/>
      <c r="U16" s="23"/>
      <c r="V16" s="25"/>
      <c r="W16" s="13"/>
      <c r="X16" s="28"/>
    </row>
    <row r="17" spans="1:24" ht="16" x14ac:dyDescent="0.2">
      <c r="A17" s="27" t="s">
        <v>22</v>
      </c>
      <c r="B17" s="27" t="s">
        <v>24</v>
      </c>
      <c r="C17" s="2" t="s">
        <v>7</v>
      </c>
      <c r="D17" s="28">
        <v>10</v>
      </c>
      <c r="E17" s="28"/>
      <c r="F17" s="28">
        <v>10</v>
      </c>
      <c r="G17" s="28"/>
      <c r="H17" s="28"/>
      <c r="I17" s="28"/>
      <c r="J17" s="28"/>
      <c r="K17" s="1">
        <v>1</v>
      </c>
      <c r="L17" s="1">
        <v>0</v>
      </c>
      <c r="M17" s="1">
        <v>0</v>
      </c>
      <c r="N17" s="1"/>
      <c r="O17" s="1"/>
      <c r="P17" s="1"/>
      <c r="Q17" s="28"/>
      <c r="R17" s="28"/>
      <c r="S17" s="28"/>
      <c r="T17" s="28"/>
      <c r="U17" s="23"/>
      <c r="V17" s="25"/>
      <c r="W17" s="13"/>
      <c r="X1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0109-DC32-E440-AAD6-4B860091FB31}">
  <dimension ref="A1:X17"/>
  <sheetViews>
    <sheetView zoomScale="130" zoomScaleNormal="130" workbookViewId="0">
      <selection sqref="A1:C1"/>
    </sheetView>
  </sheetViews>
  <sheetFormatPr baseColWidth="10" defaultColWidth="22.83203125" defaultRowHeight="15" x14ac:dyDescent="0.2"/>
  <cols>
    <col min="1" max="1" width="10.33203125" bestFit="1" customWidth="1"/>
    <col min="2" max="2" width="9.83203125" bestFit="1" customWidth="1"/>
    <col min="3" max="3" width="52.33203125" customWidth="1"/>
    <col min="4" max="4" width="6.83203125" bestFit="1" customWidth="1"/>
    <col min="5" max="5" width="6.5" bestFit="1" customWidth="1"/>
    <col min="6" max="6" width="7.1640625" bestFit="1" customWidth="1"/>
    <col min="7" max="7" width="6.83203125" bestFit="1" customWidth="1"/>
    <col min="8" max="8" width="6.5" bestFit="1" customWidth="1"/>
    <col min="9" max="9" width="6.6640625" bestFit="1" customWidth="1"/>
    <col min="10" max="10" width="7.1640625" bestFit="1" customWidth="1"/>
    <col min="11" max="11" width="6.6640625" bestFit="1" customWidth="1"/>
    <col min="12" max="12" width="7.5" bestFit="1" customWidth="1"/>
    <col min="13" max="13" width="6.5" bestFit="1" customWidth="1"/>
    <col min="14" max="14" width="5.83203125" bestFit="1" customWidth="1"/>
    <col min="15" max="15" width="7" bestFit="1" customWidth="1"/>
    <col min="16" max="16" width="6.83203125" bestFit="1" customWidth="1"/>
    <col min="17" max="17" width="6.5" bestFit="1" customWidth="1"/>
    <col min="18" max="18" width="7.1640625" bestFit="1" customWidth="1"/>
    <col min="19" max="19" width="6.83203125" bestFit="1" customWidth="1"/>
    <col min="20" max="20" width="6.5" bestFit="1" customWidth="1"/>
    <col min="21" max="21" width="6.6640625" bestFit="1" customWidth="1"/>
    <col min="22" max="22" width="7.1640625" bestFit="1" customWidth="1"/>
    <col min="23" max="23" width="6.6640625" bestFit="1" customWidth="1"/>
    <col min="24" max="24" width="7.5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25">
        <v>45170</v>
      </c>
      <c r="E1" s="25">
        <v>45200</v>
      </c>
      <c r="F1" s="25">
        <v>45231</v>
      </c>
      <c r="G1" s="25">
        <v>45261</v>
      </c>
      <c r="H1" s="25">
        <v>45292</v>
      </c>
      <c r="I1" s="25">
        <v>45323</v>
      </c>
      <c r="J1" s="25">
        <v>45352</v>
      </c>
      <c r="K1" s="25">
        <v>45383</v>
      </c>
      <c r="L1" s="25">
        <v>45413</v>
      </c>
      <c r="M1" s="25">
        <v>45444</v>
      </c>
      <c r="N1" s="25">
        <v>45474</v>
      </c>
      <c r="O1" s="25">
        <v>45505</v>
      </c>
      <c r="P1" s="25">
        <v>45536</v>
      </c>
      <c r="Q1" s="25">
        <v>45566</v>
      </c>
      <c r="R1" s="25">
        <v>45597</v>
      </c>
      <c r="S1" s="25">
        <v>45627</v>
      </c>
      <c r="T1" s="25">
        <v>45658</v>
      </c>
      <c r="U1" s="25">
        <v>45689</v>
      </c>
      <c r="V1" s="25">
        <v>45717</v>
      </c>
      <c r="W1" s="32">
        <v>45748</v>
      </c>
      <c r="X1" s="25">
        <v>45778</v>
      </c>
    </row>
    <row r="2" spans="1:24" ht="16" x14ac:dyDescent="0.2">
      <c r="A2" s="27" t="s">
        <v>19</v>
      </c>
      <c r="B2" s="27" t="s">
        <v>18</v>
      </c>
      <c r="C2" s="2" t="s">
        <v>0</v>
      </c>
      <c r="D2" s="28">
        <f>286+43+76+56+123+154+20+162+67+208</f>
        <v>1195</v>
      </c>
      <c r="E2" s="28">
        <f>74+170+44+85+15+37+71+212+41</f>
        <v>749</v>
      </c>
      <c r="F2" s="28">
        <f>27+36+20+176+120+110+80+120+50+60</f>
        <v>799</v>
      </c>
      <c r="G2" s="28">
        <f>100+187+54+74+100+35+20+78+90+75</f>
        <v>813</v>
      </c>
      <c r="H2" s="28">
        <f>26+84+42+20+60+62+44+35+52+20</f>
        <v>445</v>
      </c>
      <c r="I2" s="28">
        <f>56+57+100+45+20+90+54+65+36+60</f>
        <v>583</v>
      </c>
      <c r="J2" s="28">
        <f>50+44+75+20+26+52+110+36+175+60</f>
        <v>648</v>
      </c>
      <c r="K2" s="1">
        <f>51+60+58+20+50+65+93+36+45+0</f>
        <v>478</v>
      </c>
      <c r="L2" s="1">
        <f>250+54+50+20+36+52+100+36+150+28</f>
        <v>776</v>
      </c>
      <c r="M2" s="1">
        <f>250+54+50+20+36+52+100+36+150+28</f>
        <v>776</v>
      </c>
      <c r="N2" s="1">
        <f>205+80+25+20+57+40+94+36+100+160</f>
        <v>817</v>
      </c>
      <c r="O2" s="1">
        <f>86+78+45+30+45+80+68+36+30</f>
        <v>498</v>
      </c>
      <c r="P2" s="1">
        <f>38+120+38+20+70+64+287+215+180+120</f>
        <v>1152</v>
      </c>
      <c r="Q2" s="28">
        <f>187+67+26+20+58+120+68+207+75+40</f>
        <v>868</v>
      </c>
      <c r="R2" s="28"/>
      <c r="S2" s="28"/>
      <c r="T2" s="28"/>
      <c r="U2" s="28"/>
      <c r="V2" s="28"/>
      <c r="W2" s="23"/>
      <c r="X2" s="28"/>
    </row>
    <row r="3" spans="1:24" ht="16" x14ac:dyDescent="0.2">
      <c r="A3" s="27" t="s">
        <v>19</v>
      </c>
      <c r="B3" s="27" t="s">
        <v>18</v>
      </c>
      <c r="C3" s="2" t="s">
        <v>1</v>
      </c>
      <c r="D3" s="28">
        <v>0</v>
      </c>
      <c r="E3" s="28"/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8">
        <v>0</v>
      </c>
      <c r="R3" s="28"/>
      <c r="S3" s="28"/>
      <c r="T3" s="28"/>
      <c r="U3" s="28"/>
      <c r="V3" s="28"/>
      <c r="W3" s="23"/>
      <c r="X3" s="28"/>
    </row>
    <row r="4" spans="1:24" ht="16" x14ac:dyDescent="0.2">
      <c r="A4" s="27" t="s">
        <v>19</v>
      </c>
      <c r="B4" s="27" t="s">
        <v>18</v>
      </c>
      <c r="C4" s="2" t="s">
        <v>2</v>
      </c>
      <c r="D4" s="28">
        <v>0</v>
      </c>
      <c r="E4" s="28"/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8">
        <v>0</v>
      </c>
      <c r="R4" s="28"/>
      <c r="S4" s="28"/>
      <c r="T4" s="28"/>
      <c r="U4" s="28"/>
      <c r="V4" s="28"/>
      <c r="W4" s="23"/>
      <c r="X4" s="28"/>
    </row>
    <row r="5" spans="1:24" ht="16" x14ac:dyDescent="0.2">
      <c r="A5" s="27" t="s">
        <v>19</v>
      </c>
      <c r="B5" s="27" t="s">
        <v>18</v>
      </c>
      <c r="C5" s="2" t="s">
        <v>3</v>
      </c>
      <c r="D5" s="28">
        <v>0</v>
      </c>
      <c r="E5" s="28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8">
        <v>0</v>
      </c>
      <c r="R5" s="28"/>
      <c r="S5" s="28"/>
      <c r="T5" s="28"/>
      <c r="U5" s="28"/>
      <c r="V5" s="28"/>
      <c r="W5" s="23"/>
      <c r="X5" s="28"/>
    </row>
    <row r="6" spans="1:24" ht="16" x14ac:dyDescent="0.2">
      <c r="A6" s="27" t="s">
        <v>19</v>
      </c>
      <c r="B6" s="27" t="s">
        <v>18</v>
      </c>
      <c r="C6" s="2" t="s">
        <v>4</v>
      </c>
      <c r="D6" s="28">
        <f>154+21+30+72+15+50+20+120+42+122</f>
        <v>646</v>
      </c>
      <c r="E6" s="28">
        <f>75+166+20+80+5+37+12+133+11</f>
        <v>539</v>
      </c>
      <c r="F6" s="28">
        <f>27+16+20+158+84+100+80+53+18+15</f>
        <v>571</v>
      </c>
      <c r="G6" s="28">
        <f>68+86+16+20+16+20+32+50+120+18</f>
        <v>446</v>
      </c>
      <c r="H6" s="28">
        <f>10+30+25+20+62+60+20+38+72+0</f>
        <v>337</v>
      </c>
      <c r="I6" s="28">
        <f>20+54+20+15+20+60+48+60+26+15</f>
        <v>338</v>
      </c>
      <c r="J6" s="28">
        <f>15+35+26+45+48+15+20+70+41+15</f>
        <v>330</v>
      </c>
      <c r="K6" s="1">
        <f>44+44+51+20+20+60+28+26+20+31</f>
        <v>344</v>
      </c>
      <c r="L6" s="1">
        <f>20+36+48+20+18+48+36+10+15+25</f>
        <v>276</v>
      </c>
      <c r="M6" s="1">
        <f>20+36+48+20+18+48+36+10+15+25</f>
        <v>276</v>
      </c>
      <c r="N6" s="1">
        <f>160+0+36+94+38+20+20+25+72+205</f>
        <v>670</v>
      </c>
      <c r="O6" s="1">
        <f>30+36+68+78+20+20+45+82+82</f>
        <v>461</v>
      </c>
      <c r="P6" s="1">
        <f>120+120+30+140+60+35+20+38+110+38</f>
        <v>711</v>
      </c>
      <c r="Q6" s="28">
        <f>40+60+36+68+112+29+20+26+61+70</f>
        <v>522</v>
      </c>
      <c r="R6" s="28"/>
      <c r="S6" s="28"/>
      <c r="T6" s="28"/>
      <c r="U6" s="28"/>
      <c r="V6" s="28"/>
      <c r="W6" s="23"/>
      <c r="X6" s="28"/>
    </row>
    <row r="7" spans="1:24" ht="16" x14ac:dyDescent="0.2">
      <c r="A7" s="27" t="s">
        <v>19</v>
      </c>
      <c r="B7" s="27" t="s">
        <v>18</v>
      </c>
      <c r="C7" s="2" t="s">
        <v>5</v>
      </c>
      <c r="D7" s="28">
        <f>154+21+30+72+15+50+8+120+42+122</f>
        <v>634</v>
      </c>
      <c r="E7" s="28">
        <f>75+166+24+80+2+37+12+133+11</f>
        <v>540</v>
      </c>
      <c r="F7" s="28">
        <f>27+16+20+158+84+100+80+53+32+15</f>
        <v>585</v>
      </c>
      <c r="G7" s="28">
        <f>18+120+50+42+20+16+20+16+86+68</f>
        <v>456</v>
      </c>
      <c r="H7" s="28">
        <f>15+72+38+0+30+60+24+25+30+10</f>
        <v>304</v>
      </c>
      <c r="I7" s="28">
        <f>20+54+20+20+20+30+48+60+26+7</f>
        <v>305</v>
      </c>
      <c r="J7" s="28">
        <f>20+41+70+20+15+48+65+26+35+7</f>
        <v>347</v>
      </c>
      <c r="K7" s="1">
        <f>44+44+51+0+20+60+65+26+20+31</f>
        <v>361</v>
      </c>
      <c r="L7" s="1">
        <f>20+36+48+20+18+48+64+10+15+25</f>
        <v>304</v>
      </c>
      <c r="M7" s="1">
        <f>20+36+48+20+18+48+64+10+15+25</f>
        <v>304</v>
      </c>
      <c r="N7" s="1">
        <f>0+72+25+0+20+38+0+0+100+160</f>
        <v>415</v>
      </c>
      <c r="O7" s="1">
        <f>82+82+45+20+20+78+0+0+30</f>
        <v>357</v>
      </c>
      <c r="P7" s="1">
        <f>250+110+38+10+35+60+0+0+120+120</f>
        <v>743</v>
      </c>
      <c r="Q7" s="28">
        <f>187+61+26+0+29+112+0+0+60+20</f>
        <v>495</v>
      </c>
      <c r="R7" s="28"/>
      <c r="S7" s="28"/>
      <c r="T7" s="28"/>
      <c r="U7" s="28"/>
      <c r="V7" s="28"/>
      <c r="W7" s="23"/>
      <c r="X7" s="28"/>
    </row>
    <row r="8" spans="1:24" ht="16" x14ac:dyDescent="0.2">
      <c r="A8" s="27" t="s">
        <v>19</v>
      </c>
      <c r="B8" s="27" t="s">
        <v>18</v>
      </c>
      <c r="C8" s="2" t="s">
        <v>6</v>
      </c>
      <c r="D8" s="28"/>
      <c r="E8" s="28">
        <v>2</v>
      </c>
      <c r="F8" s="28">
        <v>2</v>
      </c>
      <c r="G8" s="28"/>
      <c r="H8" s="28"/>
      <c r="I8" s="28"/>
      <c r="J8" s="28"/>
      <c r="K8" s="1">
        <v>0</v>
      </c>
      <c r="L8" s="1">
        <v>1</v>
      </c>
      <c r="M8" s="1">
        <v>1</v>
      </c>
      <c r="N8" s="1"/>
      <c r="O8" s="1"/>
      <c r="P8" s="1"/>
      <c r="Q8" s="28"/>
      <c r="R8" s="28"/>
      <c r="S8" s="28"/>
      <c r="T8" s="28"/>
      <c r="U8" s="28"/>
      <c r="V8" s="28"/>
      <c r="W8" s="28"/>
      <c r="X8" s="28"/>
    </row>
    <row r="9" spans="1:24" ht="16" x14ac:dyDescent="0.2">
      <c r="A9" s="27" t="s">
        <v>19</v>
      </c>
      <c r="B9" s="27" t="s">
        <v>18</v>
      </c>
      <c r="C9" s="2" t="s">
        <v>7</v>
      </c>
      <c r="D9" s="28">
        <f>1+1+1+1</f>
        <v>4</v>
      </c>
      <c r="E9" s="28">
        <v>2</v>
      </c>
      <c r="F9" s="28"/>
      <c r="G9" s="28"/>
      <c r="H9" s="28"/>
      <c r="I9" s="28"/>
      <c r="J9" s="28"/>
      <c r="K9" s="1">
        <v>0</v>
      </c>
      <c r="L9" s="1">
        <v>1</v>
      </c>
      <c r="M9" s="1">
        <v>1</v>
      </c>
      <c r="N9" s="1"/>
      <c r="O9" s="1"/>
      <c r="P9" s="1"/>
      <c r="Q9" s="28"/>
      <c r="R9" s="28"/>
      <c r="S9" s="28"/>
      <c r="T9" s="28"/>
      <c r="U9" s="28"/>
      <c r="V9" s="28"/>
      <c r="W9" s="28"/>
      <c r="X9" s="28"/>
    </row>
    <row r="10" spans="1:24" ht="16" x14ac:dyDescent="0.2">
      <c r="A10" s="27" t="s">
        <v>19</v>
      </c>
      <c r="B10" s="27" t="s">
        <v>21</v>
      </c>
      <c r="C10" s="2" t="s">
        <v>0</v>
      </c>
      <c r="D10" s="28">
        <f>44+24+70+39+52+63+50+32+95</f>
        <v>469</v>
      </c>
      <c r="E10" s="28">
        <f>115+295+105+57+56+100+84+165+47+30</f>
        <v>1054</v>
      </c>
      <c r="F10" s="28">
        <f>100+56+50+142+123+76+82+39+74+105</f>
        <v>847</v>
      </c>
      <c r="G10" s="28">
        <f>90+59+94+150+60+30+62+97+108+94</f>
        <v>844</v>
      </c>
      <c r="H10" s="28">
        <f>63+56+93+30+25+55+115+98+73+102</f>
        <v>710</v>
      </c>
      <c r="I10" s="28">
        <f>67+180+91+87+62+180+30+91+142+70</f>
        <v>1000</v>
      </c>
      <c r="J10" s="28">
        <f>62+84+32+50+72+93+96+51+25+110</f>
        <v>675</v>
      </c>
      <c r="K10" s="1">
        <f>87+150+85+87+102+93+93+72+60+110</f>
        <v>939</v>
      </c>
      <c r="L10" s="1">
        <f>70+95+61+90+96+93+87+57+60+131</f>
        <v>840</v>
      </c>
      <c r="M10" s="1">
        <f>70+95+61+90+96+93+87+57+60+131</f>
        <v>840</v>
      </c>
      <c r="N10" s="1">
        <f>150+210+270+150+66+155+96+76+30+310</f>
        <v>1513</v>
      </c>
      <c r="O10" s="1">
        <f>190+120+91+228+63+197+64+79+30+127</f>
        <v>1189</v>
      </c>
      <c r="P10" s="1">
        <f>195+130+62+240+60+97+94+55+90+115</f>
        <v>1138</v>
      </c>
      <c r="Q10" s="28">
        <f>180+86+100+100+72+92+80+66+80+98</f>
        <v>954</v>
      </c>
      <c r="R10" s="28"/>
      <c r="S10" s="28"/>
      <c r="T10" s="28"/>
      <c r="U10" s="28"/>
      <c r="V10" s="28"/>
      <c r="W10" s="23"/>
      <c r="X10" s="28"/>
    </row>
    <row r="11" spans="1:24" ht="16" x14ac:dyDescent="0.2">
      <c r="A11" s="27" t="s">
        <v>19</v>
      </c>
      <c r="B11" s="27" t="s">
        <v>21</v>
      </c>
      <c r="C11" s="2" t="s">
        <v>1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1">
        <v>0</v>
      </c>
      <c r="L11" s="31">
        <v>15</v>
      </c>
      <c r="M11" s="31">
        <v>16</v>
      </c>
      <c r="N11" s="1">
        <v>0</v>
      </c>
      <c r="O11" s="1">
        <v>0</v>
      </c>
      <c r="P11" s="1">
        <v>0</v>
      </c>
      <c r="Q11" s="1">
        <v>0</v>
      </c>
      <c r="R11" s="28"/>
      <c r="S11" s="28"/>
      <c r="T11" s="28"/>
      <c r="U11" s="28"/>
      <c r="V11" s="28"/>
      <c r="W11" s="23"/>
      <c r="X11" s="28"/>
    </row>
    <row r="12" spans="1:24" ht="16" x14ac:dyDescent="0.2">
      <c r="A12" s="27" t="s">
        <v>19</v>
      </c>
      <c r="B12" s="27" t="s">
        <v>21</v>
      </c>
      <c r="C12" s="2" t="s">
        <v>2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8"/>
      <c r="S12" s="28"/>
      <c r="T12" s="28"/>
      <c r="U12" s="28"/>
      <c r="V12" s="28"/>
      <c r="W12" s="23"/>
      <c r="X12" s="28"/>
    </row>
    <row r="13" spans="1:24" ht="16" x14ac:dyDescent="0.2">
      <c r="A13" s="27" t="s">
        <v>19</v>
      </c>
      <c r="B13" s="27" t="s">
        <v>21</v>
      </c>
      <c r="C13" s="2" t="s">
        <v>3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28"/>
      <c r="S13" s="28"/>
      <c r="T13" s="28"/>
      <c r="U13" s="28"/>
      <c r="V13" s="28"/>
      <c r="W13" s="23"/>
      <c r="X13" s="28"/>
    </row>
    <row r="14" spans="1:24" ht="16" x14ac:dyDescent="0.2">
      <c r="A14" s="27" t="s">
        <v>19</v>
      </c>
      <c r="B14" s="27" t="s">
        <v>21</v>
      </c>
      <c r="C14" s="2" t="s">
        <v>4</v>
      </c>
      <c r="D14" s="28">
        <f>19+30+63+40+35+19+30+22+45</f>
        <v>303</v>
      </c>
      <c r="E14" s="28">
        <f>69+118+82+30+26+52+64+95+28+20</f>
        <v>584</v>
      </c>
      <c r="F14" s="28">
        <f>50+16+32+48+70+10+52+24+10+75</f>
        <v>387</v>
      </c>
      <c r="G14" s="28">
        <f>60+28+52+90+25+20+22+39+57+14</f>
        <v>407</v>
      </c>
      <c r="H14" s="28">
        <f>52+20+13+65+55+35+15+42+36+42</f>
        <v>375</v>
      </c>
      <c r="I14" s="28">
        <f>54+87+71+10+53+29+21+71+140+19</f>
        <v>555</v>
      </c>
      <c r="J14" s="28">
        <f>52+15+26+13+40+24+50+27+36+34</f>
        <v>317</v>
      </c>
      <c r="K14" s="1">
        <f>30+92+ 30+30+26+63+13+19+15+57</f>
        <v>375</v>
      </c>
      <c r="L14" s="1">
        <f>30+52+28+90+50+65+13+24+20+73</f>
        <v>445</v>
      </c>
      <c r="M14" s="1">
        <f>30+52+28+90+50+65+13+24+20+73</f>
        <v>445</v>
      </c>
      <c r="N14" s="1">
        <f>300+0+38+92+155+271+0+135+210+130</f>
        <v>1331</v>
      </c>
      <c r="O14" s="1">
        <f>173+80+39+32+39+268+228+72+120+160</f>
        <v>1211</v>
      </c>
      <c r="P14" s="1">
        <f>210+200+27+94+80+268+240+27+130+190</f>
        <v>1466</v>
      </c>
      <c r="Q14" s="28">
        <f>75+20+29+42+80+268+100+37+86+200</f>
        <v>937</v>
      </c>
      <c r="R14" s="28"/>
      <c r="S14" s="28"/>
      <c r="T14" s="28"/>
      <c r="U14" s="28"/>
      <c r="V14" s="28"/>
      <c r="W14" s="23"/>
      <c r="X14" s="28"/>
    </row>
    <row r="15" spans="1:24" ht="16" x14ac:dyDescent="0.2">
      <c r="A15" s="27" t="s">
        <v>19</v>
      </c>
      <c r="B15" s="27" t="s">
        <v>21</v>
      </c>
      <c r="C15" s="2" t="s">
        <v>5</v>
      </c>
      <c r="D15" s="28">
        <f>22+30+18+40+35+39+15+18+31</f>
        <v>248</v>
      </c>
      <c r="E15" s="28">
        <f>69+72+54+19+26+52+56+37+23+22</f>
        <v>430</v>
      </c>
      <c r="F15" s="28">
        <f>50+0+25+33+70+20+35+21+5+37</f>
        <v>296</v>
      </c>
      <c r="G15" s="28">
        <f>28+28+41+90+19+5+15+39+34+7</f>
        <v>306</v>
      </c>
      <c r="H15" s="28">
        <f>34+22+42+10+35+17+48+17+17+48</f>
        <v>290</v>
      </c>
      <c r="I15" s="28">
        <f>10+73+45+11+29+53+20+71+32+22</f>
        <v>366</v>
      </c>
      <c r="J15" s="28">
        <f>22+36+27+25+24+53+9+16+26+41</f>
        <v>279</v>
      </c>
      <c r="K15" s="1">
        <f>20+47+29+25+26+20+6+5+20+49</f>
        <v>247</v>
      </c>
      <c r="L15" s="1">
        <f>20+48+28+30+50+20+7+7+10+52</f>
        <v>272</v>
      </c>
      <c r="M15" s="1">
        <f>20+48+28+30+50+20+7+7+10+52</f>
        <v>272</v>
      </c>
      <c r="N15" s="1">
        <f>46+210+210+67+271+78+46+19+20+50</f>
        <v>1017</v>
      </c>
      <c r="O15" s="1">
        <f>46+120+72+50+268+168+14+20+43+38</f>
        <v>839</v>
      </c>
      <c r="P15" s="1">
        <f>46+130+27+240+268+17+47+14+200+110</f>
        <v>1099</v>
      </c>
      <c r="Q15" s="28">
        <f>45+51+63+100+268+12+13+15+17+46</f>
        <v>630</v>
      </c>
      <c r="R15" s="28"/>
      <c r="S15" s="28"/>
      <c r="T15" s="28"/>
      <c r="U15" s="28"/>
      <c r="V15" s="28"/>
      <c r="W15" s="23"/>
      <c r="X15" s="28"/>
    </row>
    <row r="16" spans="1:24" ht="16" x14ac:dyDescent="0.2">
      <c r="A16" s="27" t="s">
        <v>19</v>
      </c>
      <c r="B16" s="27" t="s">
        <v>21</v>
      </c>
      <c r="C16" s="2" t="s">
        <v>6</v>
      </c>
      <c r="D16" s="28"/>
      <c r="E16" s="28"/>
      <c r="F16" s="28"/>
      <c r="G16" s="28"/>
      <c r="H16" s="28"/>
      <c r="I16" s="28"/>
      <c r="J16" s="28"/>
      <c r="K16" s="1">
        <v>0</v>
      </c>
      <c r="L16" s="1">
        <v>0</v>
      </c>
      <c r="M16" s="1">
        <v>0</v>
      </c>
      <c r="N16" s="1"/>
      <c r="O16" s="1"/>
      <c r="P16" s="1"/>
      <c r="Q16" s="28"/>
      <c r="R16" s="28"/>
      <c r="S16" s="28"/>
      <c r="T16" s="28"/>
      <c r="U16" s="28"/>
      <c r="V16" s="28"/>
      <c r="W16" s="28"/>
      <c r="X16" s="28"/>
    </row>
    <row r="17" spans="1:24" ht="16" x14ac:dyDescent="0.2">
      <c r="A17" s="27" t="s">
        <v>19</v>
      </c>
      <c r="B17" s="27" t="s">
        <v>21</v>
      </c>
      <c r="C17" s="2" t="s">
        <v>7</v>
      </c>
      <c r="D17" s="28"/>
      <c r="E17" s="28"/>
      <c r="F17" s="28">
        <v>1</v>
      </c>
      <c r="G17" s="28"/>
      <c r="H17" s="28"/>
      <c r="I17" s="28"/>
      <c r="J17" s="28"/>
      <c r="K17" s="1">
        <v>0</v>
      </c>
      <c r="L17" s="1">
        <v>0</v>
      </c>
      <c r="M17" s="1">
        <v>0</v>
      </c>
      <c r="N17" s="1"/>
      <c r="O17" s="1"/>
      <c r="P17" s="1"/>
      <c r="Q17" s="28"/>
      <c r="R17" s="28"/>
      <c r="S17" s="28"/>
      <c r="T17" s="28"/>
      <c r="U17" s="28"/>
      <c r="V17" s="28"/>
      <c r="W17" s="28"/>
      <c r="X17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11A2-127D-E34F-A1EB-5035086194B5}">
  <dimension ref="A1:X17"/>
  <sheetViews>
    <sheetView tabSelected="1" zoomScale="140" zoomScaleNormal="140" workbookViewId="0">
      <selection sqref="A1:C1"/>
    </sheetView>
  </sheetViews>
  <sheetFormatPr baseColWidth="10" defaultColWidth="11.5" defaultRowHeight="15" x14ac:dyDescent="0.2"/>
  <cols>
    <col min="1" max="1" width="10" bestFit="1" customWidth="1"/>
    <col min="2" max="2" width="9.33203125" bestFit="1" customWidth="1"/>
    <col min="3" max="3" width="49.1640625" bestFit="1" customWidth="1"/>
    <col min="4" max="4" width="6.5" bestFit="1" customWidth="1"/>
    <col min="5" max="5" width="6.33203125" bestFit="1" customWidth="1"/>
    <col min="6" max="7" width="6.6640625" bestFit="1" customWidth="1"/>
    <col min="8" max="8" width="6.1640625" bestFit="1" customWidth="1"/>
    <col min="9" max="9" width="6.5" bestFit="1" customWidth="1"/>
    <col min="10" max="10" width="6.83203125" bestFit="1" customWidth="1"/>
    <col min="11" max="11" width="6.5" bestFit="1" customWidth="1"/>
    <col min="12" max="12" width="7" bestFit="1" customWidth="1"/>
    <col min="13" max="13" width="6.33203125" bestFit="1" customWidth="1"/>
    <col min="14" max="14" width="5.83203125" bestFit="1" customWidth="1"/>
    <col min="15" max="15" width="6.6640625" bestFit="1" customWidth="1"/>
    <col min="16" max="16" width="6.5" bestFit="1" customWidth="1"/>
    <col min="17" max="17" width="6.33203125" bestFit="1" customWidth="1"/>
    <col min="18" max="19" width="6.6640625" bestFit="1" customWidth="1"/>
    <col min="20" max="20" width="6.1640625" bestFit="1" customWidth="1"/>
    <col min="21" max="21" width="6.5" bestFit="1" customWidth="1"/>
    <col min="22" max="22" width="6.83203125" bestFit="1" customWidth="1"/>
    <col min="23" max="23" width="6.5" bestFit="1" customWidth="1"/>
    <col min="24" max="24" width="7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73">
        <v>45170</v>
      </c>
      <c r="E1" s="73">
        <v>45200</v>
      </c>
      <c r="F1" s="73">
        <v>45231</v>
      </c>
      <c r="G1" s="73">
        <v>45261</v>
      </c>
      <c r="H1" s="73">
        <v>45292</v>
      </c>
      <c r="I1" s="73">
        <v>45323</v>
      </c>
      <c r="J1" s="73">
        <v>45352</v>
      </c>
      <c r="K1" s="73">
        <v>45383</v>
      </c>
      <c r="L1" s="73">
        <v>45413</v>
      </c>
      <c r="M1" s="73">
        <v>45444</v>
      </c>
      <c r="N1" s="73">
        <v>45474</v>
      </c>
      <c r="O1" s="73">
        <v>45505</v>
      </c>
      <c r="P1" s="73">
        <v>45536</v>
      </c>
      <c r="Q1" s="73">
        <v>45566</v>
      </c>
      <c r="R1" s="73">
        <v>45597</v>
      </c>
      <c r="S1" s="26">
        <v>45627</v>
      </c>
      <c r="T1" s="26">
        <v>45658</v>
      </c>
      <c r="U1" s="73">
        <v>45689</v>
      </c>
      <c r="V1" s="26">
        <v>45717</v>
      </c>
      <c r="W1" s="26">
        <v>45748</v>
      </c>
      <c r="X1" s="26">
        <v>45778</v>
      </c>
    </row>
    <row r="2" spans="1:24" ht="16" x14ac:dyDescent="0.2">
      <c r="A2" s="27" t="s">
        <v>10</v>
      </c>
      <c r="B2" s="27" t="s">
        <v>11</v>
      </c>
      <c r="C2" s="2" t="s">
        <v>0</v>
      </c>
      <c r="D2" s="74">
        <f>60+120+64+130+150+138+280+143+140+128</f>
        <v>1353</v>
      </c>
      <c r="E2" s="74">
        <f>157+200+140+182+160+180+107+230+76</f>
        <v>1432</v>
      </c>
      <c r="F2" s="74">
        <f>160+259+165+180+180+150+70+120+157+100</f>
        <v>1541</v>
      </c>
      <c r="G2" s="74">
        <f>120+82+180+168+139+260+110+150+100+80</f>
        <v>1389</v>
      </c>
      <c r="H2" s="74">
        <f>86+300+180+160+130+134+105+120+182+200</f>
        <v>1597</v>
      </c>
      <c r="I2" s="74">
        <f>130+73+180+120+101+200+180+153+110+193</f>
        <v>1440</v>
      </c>
      <c r="J2" s="74">
        <f>328+120+179+200+112+180+150+160+200+243</f>
        <v>1872</v>
      </c>
      <c r="K2" s="75">
        <f>976+504+200+200+135+212+200+150+160+193</f>
        <v>2930</v>
      </c>
      <c r="L2" s="75">
        <f>96+95+186+200+143+218+150+180+200+122</f>
        <v>1590</v>
      </c>
      <c r="M2" s="75">
        <f>96+95+186+200+143+218+150+180+200+122</f>
        <v>1590</v>
      </c>
      <c r="N2" s="75">
        <f>1023+480+200+300+134+151+157+180+157</f>
        <v>2782</v>
      </c>
      <c r="O2" s="75">
        <f>205+200+119+160+261+160+180+267</f>
        <v>1552</v>
      </c>
      <c r="P2" s="75">
        <f>215+279+282+250+120+126+240+145+180+138</f>
        <v>1975</v>
      </c>
      <c r="Q2" s="74">
        <f>362+299+300+113+218+79+150+200+78</f>
        <v>1799</v>
      </c>
      <c r="R2" s="74"/>
      <c r="S2" s="76"/>
      <c r="T2" s="76"/>
      <c r="U2" s="74"/>
      <c r="V2" s="76"/>
      <c r="W2" s="76"/>
      <c r="X2" s="76"/>
    </row>
    <row r="3" spans="1:24" ht="16" x14ac:dyDescent="0.2">
      <c r="A3" s="27" t="s">
        <v>10</v>
      </c>
      <c r="B3" s="27" t="s">
        <v>11</v>
      </c>
      <c r="C3" s="2" t="s">
        <v>1</v>
      </c>
      <c r="D3" s="74">
        <v>0</v>
      </c>
      <c r="E3" s="74">
        <v>0</v>
      </c>
      <c r="F3" s="74">
        <v>0</v>
      </c>
      <c r="G3" s="74">
        <v>0</v>
      </c>
      <c r="H3" s="74">
        <v>0</v>
      </c>
      <c r="I3" s="74">
        <v>0</v>
      </c>
      <c r="J3" s="74">
        <v>0</v>
      </c>
      <c r="K3" s="77">
        <v>10</v>
      </c>
      <c r="L3" s="77">
        <v>42</v>
      </c>
      <c r="M3" s="75">
        <v>0</v>
      </c>
      <c r="N3" s="75">
        <v>0</v>
      </c>
      <c r="O3" s="75">
        <v>0</v>
      </c>
      <c r="P3" s="75">
        <v>0</v>
      </c>
      <c r="Q3" s="74">
        <v>0</v>
      </c>
      <c r="R3" s="74"/>
      <c r="S3" s="76"/>
      <c r="T3" s="76"/>
      <c r="U3" s="74"/>
      <c r="V3" s="76"/>
      <c r="W3" s="76"/>
      <c r="X3" s="76"/>
    </row>
    <row r="4" spans="1:24" ht="16" x14ac:dyDescent="0.2">
      <c r="A4" s="27" t="s">
        <v>10</v>
      </c>
      <c r="B4" s="27" t="s">
        <v>11</v>
      </c>
      <c r="C4" s="2" t="s">
        <v>2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>
        <v>0</v>
      </c>
      <c r="K4" s="75">
        <v>0</v>
      </c>
      <c r="L4" s="75">
        <v>0</v>
      </c>
      <c r="M4" s="75">
        <v>0</v>
      </c>
      <c r="N4" s="75">
        <v>0</v>
      </c>
      <c r="O4" s="75">
        <v>0</v>
      </c>
      <c r="P4" s="75">
        <v>0</v>
      </c>
      <c r="Q4" s="74">
        <v>0</v>
      </c>
      <c r="R4" s="74"/>
      <c r="S4" s="76"/>
      <c r="T4" s="76"/>
      <c r="U4" s="74"/>
      <c r="V4" s="76"/>
      <c r="W4" s="76"/>
      <c r="X4" s="76"/>
    </row>
    <row r="5" spans="1:24" ht="16" x14ac:dyDescent="0.2">
      <c r="A5" s="27" t="s">
        <v>10</v>
      </c>
      <c r="B5" s="27" t="s">
        <v>11</v>
      </c>
      <c r="C5" s="2" t="s">
        <v>3</v>
      </c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5">
        <v>0</v>
      </c>
      <c r="L5" s="77">
        <v>4</v>
      </c>
      <c r="M5" s="77">
        <v>5</v>
      </c>
      <c r="N5" s="75">
        <v>0</v>
      </c>
      <c r="O5" s="75">
        <v>0</v>
      </c>
      <c r="P5" s="75">
        <v>0</v>
      </c>
      <c r="Q5" s="74">
        <v>0</v>
      </c>
      <c r="R5" s="74"/>
      <c r="S5" s="76"/>
      <c r="T5" s="76"/>
      <c r="U5" s="74"/>
      <c r="V5" s="76"/>
      <c r="W5" s="76"/>
      <c r="X5" s="76"/>
    </row>
    <row r="6" spans="1:24" ht="16" x14ac:dyDescent="0.2">
      <c r="A6" s="27" t="s">
        <v>10</v>
      </c>
      <c r="B6" s="27" t="s">
        <v>11</v>
      </c>
      <c r="C6" s="2" t="s">
        <v>4</v>
      </c>
      <c r="D6" s="74">
        <f>60+40+57+110+100+50+96+26+130+110</f>
        <v>779</v>
      </c>
      <c r="E6" s="74">
        <f>100+150+80+176+100+140+33+130+68</f>
        <v>977</v>
      </c>
      <c r="F6" s="74">
        <f>140+98+65+80+137+100+64+50+140+120</f>
        <v>994</v>
      </c>
      <c r="G6" s="74">
        <f>45+69+72+112+73+200+90+120+30+240</f>
        <v>1051</v>
      </c>
      <c r="H6" s="74">
        <f>150+128+89+60+93+110+130+120+100+57</f>
        <v>1037</v>
      </c>
      <c r="I6" s="74">
        <f>125+58+150+80+70+150+172+64+90+180</f>
        <v>1139</v>
      </c>
      <c r="J6" s="74">
        <f>73+150+160+100+140+93+220+109+90+296</f>
        <v>1431</v>
      </c>
      <c r="K6" s="75">
        <f>601+270+97+150+133+168+137+130+130+67</f>
        <v>1883</v>
      </c>
      <c r="L6" s="75">
        <f>63+62+86+200+140+220+140+130+150+51</f>
        <v>1242</v>
      </c>
      <c r="M6" s="75">
        <f>63+62+86+200+140+220+140+130+150+51</f>
        <v>1242</v>
      </c>
      <c r="N6" s="75">
        <f>114+160+150+141+132+350+50+590+806</f>
        <v>2493</v>
      </c>
      <c r="O6" s="75">
        <f>190+100+140+190+80+3+300+195</f>
        <v>1198</v>
      </c>
      <c r="P6" s="75">
        <f>89+140+120+240+88+4+250+271+704+217</f>
        <v>2123</v>
      </c>
      <c r="Q6" s="74">
        <f>52+200+120+53+170+113+200+201+704+342</f>
        <v>2155</v>
      </c>
      <c r="R6" s="74"/>
      <c r="S6" s="76"/>
      <c r="T6" s="76"/>
      <c r="U6" s="74"/>
      <c r="V6" s="76"/>
      <c r="W6" s="76"/>
      <c r="X6" s="76"/>
    </row>
    <row r="7" spans="1:24" ht="16" x14ac:dyDescent="0.2">
      <c r="A7" s="27" t="s">
        <v>10</v>
      </c>
      <c r="B7" s="27" t="s">
        <v>11</v>
      </c>
      <c r="C7" s="2" t="s">
        <v>5</v>
      </c>
      <c r="D7" s="74">
        <f>20+35+46+100+50+4+11+38+30+115</f>
        <v>449</v>
      </c>
      <c r="E7" s="74">
        <f>70+60+60+6+135+80+40+18+61</f>
        <v>530</v>
      </c>
      <c r="F7" s="74">
        <f>80+118+100+100+153+50+60+7+125+12</f>
        <v>805</v>
      </c>
      <c r="G7" s="74">
        <f>10+36+108+126+40+100+70+70+5+170</f>
        <v>735</v>
      </c>
      <c r="H7" s="74">
        <f>60+200+90+30+105+105+7+75+112+170</f>
        <v>954</v>
      </c>
      <c r="I7" s="74">
        <f>120+42+150+21+17+50+176+83+70+175</f>
        <v>904</v>
      </c>
      <c r="J7" s="74">
        <f>263+100+112+200+81+120+50+130+50+95</f>
        <v>1201</v>
      </c>
      <c r="K7" s="75">
        <f>304+114+84+180+133+90+94+125+30+26</f>
        <v>1180</v>
      </c>
      <c r="L7" s="75">
        <f>50+29+90+100+140+180+140+40+50+48</f>
        <v>867</v>
      </c>
      <c r="M7" s="75">
        <f>50+29+90+100+140+180+140+40+50+48</f>
        <v>867</v>
      </c>
      <c r="N7" s="75">
        <f>806+0+50+350+132+131+140+180+131</f>
        <v>1920</v>
      </c>
      <c r="O7" s="75">
        <f>200+300+116+42+157+170+180+157</f>
        <v>1322</v>
      </c>
      <c r="P7" s="75">
        <f>183+0+282+200+100+52+200+130+180+120</f>
        <v>1447</v>
      </c>
      <c r="Q7" s="74">
        <f>316+0+221+200+113+80+19+160+200+18</f>
        <v>1327</v>
      </c>
      <c r="R7" s="74"/>
      <c r="S7" s="76"/>
      <c r="T7" s="76"/>
      <c r="U7" s="74"/>
      <c r="V7" s="76"/>
      <c r="W7" s="76"/>
      <c r="X7" s="76"/>
    </row>
    <row r="8" spans="1:24" ht="16" x14ac:dyDescent="0.2">
      <c r="A8" s="27" t="s">
        <v>10</v>
      </c>
      <c r="B8" s="27" t="s">
        <v>11</v>
      </c>
      <c r="C8" s="2" t="s">
        <v>6</v>
      </c>
      <c r="D8" s="28">
        <v>10</v>
      </c>
      <c r="E8" s="28">
        <v>10</v>
      </c>
      <c r="F8" s="28">
        <v>10</v>
      </c>
      <c r="G8" s="28"/>
      <c r="H8" s="28"/>
      <c r="I8" s="28"/>
      <c r="J8" s="28"/>
      <c r="K8" s="1">
        <v>2</v>
      </c>
      <c r="L8" s="1">
        <v>0</v>
      </c>
      <c r="M8" s="1">
        <v>0</v>
      </c>
      <c r="N8" s="1"/>
      <c r="O8" s="1"/>
      <c r="P8" s="1"/>
      <c r="Q8" s="28"/>
      <c r="R8" s="28"/>
      <c r="S8" s="28"/>
      <c r="T8" s="28"/>
      <c r="U8" s="28"/>
      <c r="V8" s="28"/>
      <c r="W8" s="28"/>
      <c r="X8" s="28"/>
    </row>
    <row r="9" spans="1:24" ht="16" x14ac:dyDescent="0.2">
      <c r="A9" s="27" t="s">
        <v>10</v>
      </c>
      <c r="B9" s="27" t="s">
        <v>11</v>
      </c>
      <c r="C9" s="2" t="s">
        <v>7</v>
      </c>
      <c r="D9" s="28">
        <v>10</v>
      </c>
      <c r="E9" s="28">
        <v>10</v>
      </c>
      <c r="F9" s="28">
        <v>10</v>
      </c>
      <c r="G9" s="28"/>
      <c r="H9" s="28"/>
      <c r="I9" s="28"/>
      <c r="J9" s="28"/>
      <c r="K9" s="1">
        <v>2</v>
      </c>
      <c r="L9" s="1">
        <v>2</v>
      </c>
      <c r="M9" s="1">
        <v>2</v>
      </c>
      <c r="N9" s="1"/>
      <c r="O9" s="1"/>
      <c r="P9" s="1"/>
      <c r="Q9" s="28"/>
      <c r="R9" s="28"/>
      <c r="S9" s="28"/>
      <c r="T9" s="28"/>
      <c r="U9" s="28"/>
      <c r="V9" s="28"/>
      <c r="W9" s="28"/>
      <c r="X9" s="28"/>
    </row>
    <row r="10" spans="1:24" ht="16" x14ac:dyDescent="0.2">
      <c r="A10" s="27" t="s">
        <v>10</v>
      </c>
      <c r="B10" s="27" t="s">
        <v>12</v>
      </c>
      <c r="C10" s="2" t="s">
        <v>0</v>
      </c>
      <c r="D10" s="74">
        <f>6+30+100+300+100+150+250+100+135+152</f>
        <v>1323</v>
      </c>
      <c r="E10" s="74">
        <f>325+146+150+167+110+95+300+10+15+145</f>
        <v>1463</v>
      </c>
      <c r="F10" s="74">
        <f>140+120+180+158+100+80+200+97+20+200</f>
        <v>1295</v>
      </c>
      <c r="G10" s="74">
        <f>154+121+200+160+120+147+150+215+90+100</f>
        <v>1457</v>
      </c>
      <c r="H10" s="74">
        <f>138+167+65+100+60+55+170+150+150</f>
        <v>1055</v>
      </c>
      <c r="I10" s="74">
        <f>150+220+100+165+115+100+120+130+150</f>
        <v>1250</v>
      </c>
      <c r="J10" s="74">
        <f>140+125+105+110+100+120+135+170</f>
        <v>1005</v>
      </c>
      <c r="K10" s="75">
        <f>250+185+240+90+200+190+180+150+195</f>
        <v>1680</v>
      </c>
      <c r="L10" s="75">
        <f>150+180+107+150+170+190+170+165+170</f>
        <v>1452</v>
      </c>
      <c r="M10" s="75">
        <f>150+180+107+150+170+190+170+165+170</f>
        <v>1452</v>
      </c>
      <c r="N10" s="75">
        <f>212+168+257+90+150+120+187+170+100</f>
        <v>1454</v>
      </c>
      <c r="O10" s="75">
        <f>200+180+140+90+190+180+170+100</f>
        <v>1250</v>
      </c>
      <c r="P10" s="75">
        <f>280+135+140+100+90+130+124+190+200</f>
        <v>1389</v>
      </c>
      <c r="Q10" s="74">
        <f>250+190+140+150+200+150+180+150+180</f>
        <v>1590</v>
      </c>
      <c r="R10" s="74"/>
      <c r="S10" s="76"/>
      <c r="T10" s="76"/>
      <c r="U10" s="74"/>
      <c r="V10" s="76"/>
      <c r="W10" s="76"/>
      <c r="X10" s="76"/>
    </row>
    <row r="11" spans="1:24" ht="16" x14ac:dyDescent="0.2">
      <c r="A11" s="27" t="s">
        <v>10</v>
      </c>
      <c r="B11" s="27" t="s">
        <v>12</v>
      </c>
      <c r="C11" s="2" t="s">
        <v>1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4"/>
      <c r="S11" s="76"/>
      <c r="T11" s="76"/>
      <c r="U11" s="74"/>
      <c r="V11" s="76"/>
      <c r="W11" s="76"/>
      <c r="X11" s="76"/>
    </row>
    <row r="12" spans="1:24" ht="16" x14ac:dyDescent="0.2">
      <c r="A12" s="27" t="s">
        <v>10</v>
      </c>
      <c r="B12" s="27" t="s">
        <v>12</v>
      </c>
      <c r="C12" s="2" t="s">
        <v>2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4"/>
      <c r="S12" s="76"/>
      <c r="T12" s="76"/>
      <c r="U12" s="74"/>
      <c r="V12" s="76"/>
      <c r="W12" s="76"/>
      <c r="X12" s="76"/>
    </row>
    <row r="13" spans="1:24" ht="16" x14ac:dyDescent="0.2">
      <c r="A13" s="27" t="s">
        <v>10</v>
      </c>
      <c r="B13" s="27" t="s">
        <v>12</v>
      </c>
      <c r="C13" s="2" t="s">
        <v>3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s="74">
        <v>0</v>
      </c>
      <c r="J13" s="74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4"/>
      <c r="S13" s="76"/>
      <c r="T13" s="76"/>
      <c r="U13" s="74"/>
      <c r="V13" s="76"/>
      <c r="W13" s="76"/>
      <c r="X13" s="76"/>
    </row>
    <row r="14" spans="1:24" ht="16" x14ac:dyDescent="0.2">
      <c r="A14" s="27" t="s">
        <v>10</v>
      </c>
      <c r="B14" s="27" t="s">
        <v>12</v>
      </c>
      <c r="C14" s="2" t="s">
        <v>4</v>
      </c>
      <c r="D14" s="74">
        <f>14+15+150+300+150+120+180+120+98+105</f>
        <v>1252</v>
      </c>
      <c r="E14" s="74">
        <f>152+74+110+121+120+130+200+49+25+120</f>
        <v>1101</v>
      </c>
      <c r="F14" s="74">
        <f>45+74+130+62+145+40+120+140+20+150</f>
        <v>926</v>
      </c>
      <c r="G14" s="74">
        <f>115+75+120+84+148+72+130+170+60+80</f>
        <v>1054</v>
      </c>
      <c r="H14" s="74">
        <f>120+120+125+60+70+70+90+107+69</f>
        <v>831</v>
      </c>
      <c r="I14" s="74">
        <f>130+170+50+140+95+70+90+100+140</f>
        <v>985</v>
      </c>
      <c r="J14" s="74">
        <f>220+95+75+75+90+95+90+75</f>
        <v>815</v>
      </c>
      <c r="K14" s="75">
        <f>200+85+180+60+150+87+75+100+92</f>
        <v>1029</v>
      </c>
      <c r="L14" s="75">
        <f>110+72+170+70+100+120+65+70+240</f>
        <v>1017</v>
      </c>
      <c r="M14" s="75">
        <f>110+72+170+70+100+120+65+70+240</f>
        <v>1017</v>
      </c>
      <c r="N14" s="75">
        <f>100+220+180+200+200+80+250+165+228</f>
        <v>1623</v>
      </c>
      <c r="O14" s="75">
        <f>100+170+180+190+90+140+150+200</f>
        <v>1220</v>
      </c>
      <c r="P14" s="75">
        <f>200+210+120+200+85+100+240+75+250</f>
        <v>1480</v>
      </c>
      <c r="Q14" s="74">
        <f>180+220+80+50+80+100+70+79+100</f>
        <v>959</v>
      </c>
      <c r="R14" s="74"/>
      <c r="S14" s="76"/>
      <c r="T14" s="76"/>
      <c r="U14" s="74"/>
      <c r="V14" s="76"/>
      <c r="W14" s="76"/>
      <c r="X14" s="76"/>
    </row>
    <row r="15" spans="1:24" ht="16" x14ac:dyDescent="0.2">
      <c r="A15" s="27" t="s">
        <v>10</v>
      </c>
      <c r="B15" s="27" t="s">
        <v>12</v>
      </c>
      <c r="C15" s="2" t="s">
        <v>5</v>
      </c>
      <c r="D15" s="74">
        <f>2+20+45+180+125+170+120+100+80+105</f>
        <v>947</v>
      </c>
      <c r="E15" s="74">
        <f>200+70+100+105+40+160+100+4+10+105</f>
        <v>894</v>
      </c>
      <c r="F15" s="74">
        <f>10+74+150+62+150+12+10+135+30+80</f>
        <v>713</v>
      </c>
      <c r="G15" s="74">
        <f>115+75+30+84+135+72+80+140+100+68</f>
        <v>899</v>
      </c>
      <c r="H15" s="74">
        <f>69+107+85+20+80+78+125+60+90</f>
        <v>714</v>
      </c>
      <c r="I15" s="74">
        <f>90+70+60+30+90+120+30+180+130</f>
        <v>800</v>
      </c>
      <c r="J15" s="74">
        <f>75+90+102+20+86+75+95+120</f>
        <v>663</v>
      </c>
      <c r="K15" s="75">
        <f>150+85+150+20+170+87+75+80+92</f>
        <v>909</v>
      </c>
      <c r="L15" s="75">
        <f>75+72+135+20+120+150+65+70+125</f>
        <v>832</v>
      </c>
      <c r="M15" s="75">
        <f>75+72+135+20+120+150+65+70+125</f>
        <v>832</v>
      </c>
      <c r="N15" s="75">
        <f>240+165+248+3+145+140+180+250+5</f>
        <v>1376</v>
      </c>
      <c r="O15" s="75">
        <f>0+0+0+0+0+0+0+0</f>
        <v>0</v>
      </c>
      <c r="P15" s="75">
        <f>10+135+240+0+87+200+0+230+20</f>
        <v>922</v>
      </c>
      <c r="Q15" s="74">
        <f>150+190+100+20+120+100+180+300+180</f>
        <v>1340</v>
      </c>
      <c r="R15" s="74"/>
      <c r="S15" s="76"/>
      <c r="T15" s="76"/>
      <c r="U15" s="74"/>
      <c r="V15" s="76"/>
      <c r="W15" s="76"/>
      <c r="X15" s="76"/>
    </row>
    <row r="16" spans="1:24" ht="16" x14ac:dyDescent="0.2">
      <c r="A16" s="27" t="s">
        <v>10</v>
      </c>
      <c r="B16" s="27" t="s">
        <v>12</v>
      </c>
      <c r="C16" s="2" t="s">
        <v>6</v>
      </c>
      <c r="D16" s="28">
        <v>10</v>
      </c>
      <c r="E16" s="28">
        <v>9</v>
      </c>
      <c r="F16" s="28">
        <v>10</v>
      </c>
      <c r="G16" s="28"/>
      <c r="H16" s="28"/>
      <c r="I16" s="28"/>
      <c r="J16" s="28"/>
      <c r="K16" s="1">
        <v>0</v>
      </c>
      <c r="L16" s="1">
        <v>0</v>
      </c>
      <c r="M16" s="1">
        <v>0</v>
      </c>
      <c r="N16" s="1"/>
      <c r="O16" s="1"/>
      <c r="P16" s="1"/>
      <c r="Q16" s="28"/>
      <c r="R16" s="28"/>
      <c r="S16" s="28"/>
      <c r="T16" s="28"/>
      <c r="U16" s="28"/>
      <c r="V16" s="28"/>
      <c r="W16" s="28"/>
      <c r="X16" s="28"/>
    </row>
    <row r="17" spans="1:24" ht="16" x14ac:dyDescent="0.2">
      <c r="A17" s="27" t="s">
        <v>10</v>
      </c>
      <c r="B17" s="27" t="s">
        <v>12</v>
      </c>
      <c r="C17" s="2" t="s">
        <v>7</v>
      </c>
      <c r="D17" s="28">
        <v>10</v>
      </c>
      <c r="E17" s="28">
        <v>9</v>
      </c>
      <c r="F17" s="28">
        <v>10</v>
      </c>
      <c r="G17" s="28"/>
      <c r="H17" s="28"/>
      <c r="I17" s="28"/>
      <c r="J17" s="28"/>
      <c r="K17" s="1">
        <v>0</v>
      </c>
      <c r="L17" s="1">
        <v>0</v>
      </c>
      <c r="M17" s="1">
        <v>0</v>
      </c>
      <c r="N17" s="1"/>
      <c r="O17" s="1"/>
      <c r="P17" s="1"/>
      <c r="Q17" s="28"/>
      <c r="R17" s="28"/>
      <c r="S17" s="28"/>
      <c r="T17" s="28"/>
      <c r="U17" s="28"/>
      <c r="V17" s="28"/>
      <c r="W17" s="28"/>
      <c r="X17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A0A1-C592-0B42-9135-696669B48831}">
  <dimension ref="A1:X17"/>
  <sheetViews>
    <sheetView zoomScale="140" zoomScaleNormal="140" workbookViewId="0">
      <selection sqref="A1:C1"/>
    </sheetView>
  </sheetViews>
  <sheetFormatPr baseColWidth="10" defaultColWidth="11.5" defaultRowHeight="15" x14ac:dyDescent="0.2"/>
  <cols>
    <col min="3" max="3" width="49.1640625" bestFit="1" customWidth="1"/>
    <col min="4" max="4" width="6.5" bestFit="1" customWidth="1"/>
    <col min="5" max="5" width="6.33203125" bestFit="1" customWidth="1"/>
    <col min="6" max="7" width="6.6640625" bestFit="1" customWidth="1"/>
    <col min="8" max="8" width="6.1640625" bestFit="1" customWidth="1"/>
    <col min="9" max="9" width="6.5" bestFit="1" customWidth="1"/>
    <col min="10" max="10" width="6.83203125" bestFit="1" customWidth="1"/>
    <col min="11" max="11" width="6.5" bestFit="1" customWidth="1"/>
    <col min="12" max="12" width="7" bestFit="1" customWidth="1"/>
    <col min="13" max="13" width="6.33203125" bestFit="1" customWidth="1"/>
    <col min="14" max="14" width="5.83203125" bestFit="1" customWidth="1"/>
    <col min="15" max="15" width="6.6640625" bestFit="1" customWidth="1"/>
    <col min="16" max="16" width="6.5" bestFit="1" customWidth="1"/>
    <col min="17" max="17" width="6.33203125" bestFit="1" customWidth="1"/>
    <col min="18" max="19" width="6.6640625" bestFit="1" customWidth="1"/>
    <col min="20" max="20" width="6.1640625" bestFit="1" customWidth="1"/>
    <col min="21" max="21" width="6.5" bestFit="1" customWidth="1"/>
    <col min="22" max="22" width="6.83203125" bestFit="1" customWidth="1"/>
    <col min="23" max="23" width="6.5" bestFit="1" customWidth="1"/>
    <col min="24" max="24" width="7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26">
        <v>45170</v>
      </c>
      <c r="E1" s="26">
        <v>45200</v>
      </c>
      <c r="F1" s="73">
        <v>45231</v>
      </c>
      <c r="G1" s="73">
        <v>45261</v>
      </c>
      <c r="H1" s="73">
        <v>45292</v>
      </c>
      <c r="I1" s="73">
        <v>45323</v>
      </c>
      <c r="J1" s="73">
        <v>45352</v>
      </c>
      <c r="K1" s="73">
        <v>45383</v>
      </c>
      <c r="L1" s="73">
        <v>45413</v>
      </c>
      <c r="M1" s="73">
        <v>45444</v>
      </c>
      <c r="N1" s="73">
        <v>45474</v>
      </c>
      <c r="O1" s="73">
        <v>45505</v>
      </c>
      <c r="P1" s="73">
        <v>45536</v>
      </c>
      <c r="Q1" s="73">
        <v>45566</v>
      </c>
      <c r="R1" s="73">
        <v>45597</v>
      </c>
      <c r="S1" s="73">
        <v>45627</v>
      </c>
      <c r="T1" s="73">
        <v>45658</v>
      </c>
      <c r="U1" s="73">
        <v>45689</v>
      </c>
      <c r="V1" s="73">
        <v>45717</v>
      </c>
      <c r="W1" s="73">
        <v>45748</v>
      </c>
      <c r="X1" s="73">
        <v>45778</v>
      </c>
    </row>
    <row r="2" spans="1:24" ht="16" x14ac:dyDescent="0.2">
      <c r="A2" s="27" t="s">
        <v>13</v>
      </c>
      <c r="B2" s="27" t="s">
        <v>14</v>
      </c>
      <c r="C2" s="2" t="s">
        <v>0</v>
      </c>
      <c r="D2" s="76">
        <f>10+56+125+152+42+22+350+30+20+24</f>
        <v>831</v>
      </c>
      <c r="E2" s="76">
        <f>140+150+50+130+215+125+30+82+74+105</f>
        <v>1101</v>
      </c>
      <c r="F2" s="74">
        <f>70+30+120+140+110+215+176+140+120+80</f>
        <v>1201</v>
      </c>
      <c r="G2" s="74">
        <f>130+42+140+30+150+60+115+85+90+135</f>
        <v>977</v>
      </c>
      <c r="H2" s="74">
        <f>152+140+120+60+140+146+120+120+150+46</f>
        <v>1194</v>
      </c>
      <c r="I2" s="74">
        <f>187+198+100+140+130+140+62+105+85+50</f>
        <v>1197</v>
      </c>
      <c r="J2" s="74">
        <f>150+100+150+140+49+178+105+120+80+105</f>
        <v>1177</v>
      </c>
      <c r="K2" s="75">
        <f>140+130+145+140+48+239+140+110+130+215</f>
        <v>1437</v>
      </c>
      <c r="L2" s="75">
        <f>120+122+210+140+54+265+130+130+130+215</f>
        <v>1516</v>
      </c>
      <c r="M2" s="75">
        <f>120+122+210+140+54+265+130+130+130+215</f>
        <v>1516</v>
      </c>
      <c r="N2" s="75">
        <f>200+275+260+140+167+180+130+225</f>
        <v>1577</v>
      </c>
      <c r="O2" s="75">
        <f>200+320+190+200+115+327+235+165+200+215</f>
        <v>2167</v>
      </c>
      <c r="P2" s="75">
        <f>190+200+260+140+60+360+350+130+160+205</f>
        <v>2055</v>
      </c>
      <c r="Q2" s="74">
        <f>75+100+260+140+60+320+250+85+250+205</f>
        <v>1745</v>
      </c>
      <c r="R2" s="74"/>
      <c r="S2" s="74"/>
      <c r="T2" s="74"/>
      <c r="U2" s="74"/>
      <c r="V2" s="74"/>
      <c r="W2" s="74"/>
      <c r="X2" s="74"/>
    </row>
    <row r="3" spans="1:24" ht="16" x14ac:dyDescent="0.2">
      <c r="A3" s="27" t="s">
        <v>13</v>
      </c>
      <c r="B3" s="27" t="s">
        <v>14</v>
      </c>
      <c r="C3" s="2" t="s">
        <v>1</v>
      </c>
      <c r="D3" s="76">
        <v>0</v>
      </c>
      <c r="E3" s="76">
        <v>0</v>
      </c>
      <c r="F3" s="74">
        <v>0</v>
      </c>
      <c r="G3" s="74">
        <v>0</v>
      </c>
      <c r="H3" s="74">
        <v>0</v>
      </c>
      <c r="I3" s="74">
        <v>0</v>
      </c>
      <c r="J3" s="74">
        <v>0</v>
      </c>
      <c r="K3" s="75">
        <v>0</v>
      </c>
      <c r="L3" s="75">
        <v>0</v>
      </c>
      <c r="M3" s="75">
        <v>0</v>
      </c>
      <c r="N3" s="75">
        <v>0</v>
      </c>
      <c r="O3" s="75">
        <v>0</v>
      </c>
      <c r="P3" s="75">
        <v>0</v>
      </c>
      <c r="Q3" s="74">
        <v>0</v>
      </c>
      <c r="R3" s="74"/>
      <c r="S3" s="74"/>
      <c r="T3" s="74"/>
      <c r="U3" s="74"/>
      <c r="V3" s="74"/>
      <c r="W3" s="74"/>
      <c r="X3" s="74"/>
    </row>
    <row r="4" spans="1:24" ht="16" x14ac:dyDescent="0.2">
      <c r="A4" s="27" t="s">
        <v>13</v>
      </c>
      <c r="B4" s="27" t="s">
        <v>14</v>
      </c>
      <c r="C4" s="2" t="s">
        <v>2</v>
      </c>
      <c r="D4" s="76">
        <v>0</v>
      </c>
      <c r="E4" s="76">
        <v>0</v>
      </c>
      <c r="F4" s="74">
        <v>0</v>
      </c>
      <c r="G4" s="74">
        <v>0</v>
      </c>
      <c r="H4" s="74">
        <v>0</v>
      </c>
      <c r="I4" s="74">
        <v>0</v>
      </c>
      <c r="J4" s="74">
        <v>0</v>
      </c>
      <c r="K4" s="75">
        <v>0</v>
      </c>
      <c r="L4" s="75">
        <v>0</v>
      </c>
      <c r="M4" s="75">
        <v>0</v>
      </c>
      <c r="N4" s="75">
        <v>0</v>
      </c>
      <c r="O4" s="75">
        <v>0</v>
      </c>
      <c r="P4" s="75">
        <v>0</v>
      </c>
      <c r="Q4" s="74">
        <v>0</v>
      </c>
      <c r="R4" s="74"/>
      <c r="S4" s="74"/>
      <c r="T4" s="74"/>
      <c r="U4" s="74"/>
      <c r="V4" s="74"/>
      <c r="W4" s="74"/>
      <c r="X4" s="74"/>
    </row>
    <row r="5" spans="1:24" ht="16" x14ac:dyDescent="0.2">
      <c r="A5" s="27" t="s">
        <v>13</v>
      </c>
      <c r="B5" s="27" t="s">
        <v>14</v>
      </c>
      <c r="C5" s="2" t="s">
        <v>3</v>
      </c>
      <c r="D5" s="76">
        <v>0</v>
      </c>
      <c r="E5" s="76">
        <v>0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5">
        <v>0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  <c r="Q5" s="74">
        <v>0</v>
      </c>
      <c r="R5" s="74"/>
      <c r="S5" s="74"/>
      <c r="T5" s="74"/>
      <c r="U5" s="74"/>
      <c r="V5" s="74"/>
      <c r="W5" s="74"/>
      <c r="X5" s="74"/>
    </row>
    <row r="6" spans="1:24" ht="16" x14ac:dyDescent="0.2">
      <c r="A6" s="27" t="s">
        <v>13</v>
      </c>
      <c r="B6" s="27" t="s">
        <v>14</v>
      </c>
      <c r="C6" s="2" t="s">
        <v>4</v>
      </c>
      <c r="D6" s="76">
        <f>10+44+50+210+22+20+105+25+15+21</f>
        <v>522</v>
      </c>
      <c r="E6" s="76">
        <f>20+35+30+70+25+125+21+27+40+48</f>
        <v>441</v>
      </c>
      <c r="F6" s="74">
        <f>32+22+68+10+80+198+80+80+40+80</f>
        <v>690</v>
      </c>
      <c r="G6" s="74">
        <f>60+40+10+18+60+60+85+0+50+60</f>
        <v>443</v>
      </c>
      <c r="H6" s="74">
        <f>15+35+70+28+63+10+45+85+70+105</f>
        <v>526</v>
      </c>
      <c r="I6" s="74">
        <f>84+122+40+70+53+20+39+32+38+40</f>
        <v>538</v>
      </c>
      <c r="J6" s="74">
        <f>0+50+80+15+80+20+20+72+60+60</f>
        <v>457</v>
      </c>
      <c r="K6" s="75">
        <f>50+60+55+20+30+36+16+50+40+68</f>
        <v>425</v>
      </c>
      <c r="L6" s="75">
        <f>60+60+64+40+40+59+16+60+60+52</f>
        <v>511</v>
      </c>
      <c r="M6" s="75">
        <f>60+60+64+40+40+59+16+60+60+52</f>
        <v>511</v>
      </c>
      <c r="N6" s="75">
        <f>225+150+180+165+140+260+250+170</f>
        <v>1540</v>
      </c>
      <c r="O6" s="75">
        <f>215+150+165+185+320+98+150+190+300+190</f>
        <v>1963</v>
      </c>
      <c r="P6" s="75">
        <f>205+120+130+0+360+56+120+260+150+100</f>
        <v>1501</v>
      </c>
      <c r="Q6" s="74">
        <f>205+180+85+0+320+60+140+260+100</f>
        <v>1350</v>
      </c>
      <c r="R6" s="74"/>
      <c r="S6" s="74"/>
      <c r="T6" s="74"/>
      <c r="U6" s="74"/>
      <c r="V6" s="74"/>
      <c r="W6" s="74"/>
      <c r="X6" s="74"/>
    </row>
    <row r="7" spans="1:24" ht="16" x14ac:dyDescent="0.2">
      <c r="A7" s="27" t="s">
        <v>13</v>
      </c>
      <c r="B7" s="27" t="s">
        <v>14</v>
      </c>
      <c r="C7" s="2" t="s">
        <v>5</v>
      </c>
      <c r="D7" s="76">
        <f>10+54+40+12+10+12+65+25+5+9</f>
        <v>242</v>
      </c>
      <c r="E7" s="76">
        <f>28+35+20+40+63+12+9+25+24+20</f>
        <v>276</v>
      </c>
      <c r="F7" s="74">
        <f>22+18+8+10+40+12+40+60+60+10</f>
        <v>280</v>
      </c>
      <c r="G7" s="74">
        <f>60+48+10+8+50+5+18+0+50+40</f>
        <v>289</v>
      </c>
      <c r="H7" s="74">
        <f>25+40+47+20+8+81+65+50+10+10</f>
        <v>356</v>
      </c>
      <c r="I7" s="74">
        <f>9+40+14+17+20+53+50+30+82+45</f>
        <v>360</v>
      </c>
      <c r="J7" s="74">
        <f>60+40+72+20+19+90+10+12+50+12</f>
        <v>385</v>
      </c>
      <c r="K7" s="75">
        <f>30+40+25+10+20+20+19+20+40+20</f>
        <v>244</v>
      </c>
      <c r="L7" s="75">
        <f>40+30+13+20+15+18+11+40+40+12</f>
        <v>239</v>
      </c>
      <c r="M7" s="75">
        <f>40+30+13+20+15+18+11+40+40+12</f>
        <v>239</v>
      </c>
      <c r="N7" s="75">
        <f>130+200+260+140+130+180+240+225</f>
        <v>1505</v>
      </c>
      <c r="O7" s="75">
        <f>170+200+140+150+64+327+135+20+150+215</f>
        <v>1571</v>
      </c>
      <c r="P7" s="75">
        <f>90+100+260+120+23+360+160+20+120+205</f>
        <v>1458</v>
      </c>
      <c r="Q7" s="74">
        <f>100+260+140+60+320+250+0+180+205</f>
        <v>1515</v>
      </c>
      <c r="R7" s="74"/>
      <c r="S7" s="74"/>
      <c r="T7" s="74"/>
      <c r="U7" s="74"/>
      <c r="V7" s="74"/>
      <c r="W7" s="74"/>
      <c r="X7" s="74"/>
    </row>
    <row r="8" spans="1:24" ht="16" x14ac:dyDescent="0.2">
      <c r="A8" s="27" t="s">
        <v>13</v>
      </c>
      <c r="B8" s="27" t="s">
        <v>14</v>
      </c>
      <c r="C8" s="2" t="s">
        <v>6</v>
      </c>
      <c r="D8" s="28">
        <v>10</v>
      </c>
      <c r="E8" s="28"/>
      <c r="F8" s="28">
        <v>10</v>
      </c>
      <c r="G8" s="28"/>
      <c r="H8" s="28"/>
      <c r="I8" s="28"/>
      <c r="J8" s="28"/>
      <c r="K8" s="1">
        <v>0</v>
      </c>
      <c r="L8" s="1">
        <v>0</v>
      </c>
      <c r="M8" s="1">
        <v>0</v>
      </c>
      <c r="N8" s="1"/>
      <c r="O8" s="1"/>
      <c r="P8" s="1"/>
      <c r="Q8" s="28"/>
      <c r="R8" s="28"/>
      <c r="S8" s="28"/>
      <c r="T8" s="28"/>
      <c r="U8" s="28"/>
      <c r="V8" s="28"/>
      <c r="W8" s="28"/>
      <c r="X8" s="28"/>
    </row>
    <row r="9" spans="1:24" ht="16" x14ac:dyDescent="0.2">
      <c r="A9" s="27" t="s">
        <v>13</v>
      </c>
      <c r="B9" s="27" t="s">
        <v>14</v>
      </c>
      <c r="C9" s="2" t="s">
        <v>7</v>
      </c>
      <c r="D9" s="28">
        <v>10</v>
      </c>
      <c r="E9" s="28"/>
      <c r="F9" s="28">
        <v>10</v>
      </c>
      <c r="G9" s="28"/>
      <c r="H9" s="28"/>
      <c r="I9" s="28"/>
      <c r="J9" s="28"/>
      <c r="K9" s="1">
        <v>0</v>
      </c>
      <c r="L9" s="1">
        <v>0</v>
      </c>
      <c r="M9" s="1">
        <v>0</v>
      </c>
      <c r="N9" s="1"/>
      <c r="O9" s="1"/>
      <c r="P9" s="1"/>
      <c r="Q9" s="28"/>
      <c r="R9" s="28"/>
      <c r="S9" s="28"/>
      <c r="T9" s="28"/>
      <c r="U9" s="28"/>
      <c r="V9" s="28"/>
      <c r="W9" s="28"/>
      <c r="X9" s="28"/>
    </row>
    <row r="10" spans="1:24" ht="16" x14ac:dyDescent="0.2">
      <c r="A10" s="27" t="s">
        <v>13</v>
      </c>
      <c r="B10" s="27" t="s">
        <v>15</v>
      </c>
      <c r="C10" s="2" t="s">
        <v>0</v>
      </c>
      <c r="D10" s="76">
        <f>47+55+80+60+370+296+230+151+143+50</f>
        <v>1482</v>
      </c>
      <c r="E10" s="76">
        <f>30+200+370+160+143+86+55+60+70+67</f>
        <v>1241</v>
      </c>
      <c r="F10" s="74">
        <f>160+100+370+100+117+45+35+53+25+30</f>
        <v>1035</v>
      </c>
      <c r="G10" s="74">
        <f>26+0+47+28+145+156+30+60+104+60</f>
        <v>656</v>
      </c>
      <c r="H10" s="74">
        <f>26+224+375+72+42+75+30+97+126+35</f>
        <v>1102</v>
      </c>
      <c r="I10" s="74">
        <f>40+36+247+60+44+30+30+64+144+376</f>
        <v>1071</v>
      </c>
      <c r="J10" s="74">
        <f>36+245+375+98+56+49+30+100+160+80</f>
        <v>1229</v>
      </c>
      <c r="K10" s="75">
        <f>36+268+379+95+105+97+20+150+50+30</f>
        <v>1230</v>
      </c>
      <c r="L10" s="75">
        <f>24+267+379+90+68+40+50+50+50</f>
        <v>1018</v>
      </c>
      <c r="M10" s="75">
        <f>24+267+379+90+68+40+50+50+50</f>
        <v>1018</v>
      </c>
      <c r="N10" s="75">
        <f>32+268+376+100+37+30+150+80+30</f>
        <v>1103</v>
      </c>
      <c r="O10" s="75">
        <f>24+265+120+68+55+100+104+40</f>
        <v>776</v>
      </c>
      <c r="P10" s="75">
        <f>252+110+84+60+80+110+60+140</f>
        <v>896</v>
      </c>
      <c r="Q10" s="74">
        <f>36+268+265+100+76+30+100+70+60+100</f>
        <v>1105</v>
      </c>
      <c r="R10" s="74"/>
      <c r="S10" s="74"/>
      <c r="T10" s="74"/>
      <c r="U10" s="74"/>
      <c r="V10" s="74"/>
      <c r="W10" s="74"/>
      <c r="X10" s="74"/>
    </row>
    <row r="11" spans="1:24" ht="16" x14ac:dyDescent="0.2">
      <c r="A11" s="27" t="s">
        <v>13</v>
      </c>
      <c r="B11" s="27" t="s">
        <v>15</v>
      </c>
      <c r="C11" s="2" t="s">
        <v>1</v>
      </c>
      <c r="D11" s="76">
        <v>0</v>
      </c>
      <c r="E11" s="76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4"/>
      <c r="S11" s="74"/>
      <c r="T11" s="74"/>
      <c r="U11" s="74"/>
      <c r="V11" s="74"/>
      <c r="W11" s="74"/>
      <c r="X11" s="74"/>
    </row>
    <row r="12" spans="1:24" ht="16" x14ac:dyDescent="0.2">
      <c r="A12" s="27" t="s">
        <v>13</v>
      </c>
      <c r="B12" s="27" t="s">
        <v>15</v>
      </c>
      <c r="C12" s="2" t="s">
        <v>2</v>
      </c>
      <c r="D12" s="76">
        <v>0</v>
      </c>
      <c r="E12" s="76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4"/>
      <c r="S12" s="74"/>
      <c r="T12" s="74"/>
      <c r="U12" s="74"/>
      <c r="V12" s="74"/>
      <c r="W12" s="74"/>
      <c r="X12" s="74"/>
    </row>
    <row r="13" spans="1:24" ht="16" x14ac:dyDescent="0.2">
      <c r="A13" s="27" t="s">
        <v>13</v>
      </c>
      <c r="B13" s="27" t="s">
        <v>15</v>
      </c>
      <c r="C13" s="2" t="s">
        <v>3</v>
      </c>
      <c r="D13" s="76">
        <v>0</v>
      </c>
      <c r="E13" s="76">
        <v>0</v>
      </c>
      <c r="F13" s="74">
        <v>0</v>
      </c>
      <c r="G13" s="74">
        <v>0</v>
      </c>
      <c r="H13" s="74">
        <v>0</v>
      </c>
      <c r="I13" s="74">
        <v>0</v>
      </c>
      <c r="J13" s="74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4"/>
      <c r="S13" s="74"/>
      <c r="T13" s="74"/>
      <c r="U13" s="74"/>
      <c r="V13" s="74"/>
      <c r="W13" s="74"/>
      <c r="X13" s="74"/>
    </row>
    <row r="14" spans="1:24" ht="16" x14ac:dyDescent="0.2">
      <c r="A14" s="27" t="s">
        <v>13</v>
      </c>
      <c r="B14" s="27" t="s">
        <v>15</v>
      </c>
      <c r="C14" s="2" t="s">
        <v>4</v>
      </c>
      <c r="D14" s="76">
        <f>20+30+21+35+50+26+20+21+20+30</f>
        <v>273</v>
      </c>
      <c r="E14" s="76">
        <f>23+50+50+122+95+21+30+13+20+24</f>
        <v>448</v>
      </c>
      <c r="F14" s="74">
        <f>102+29+50+29+57+20+13+20+22+20</f>
        <v>362</v>
      </c>
      <c r="G14" s="74">
        <f>7+17+28+30+112+134+40+50+32+25</f>
        <v>475</v>
      </c>
      <c r="H14" s="74">
        <f>20+151+32+30+25+12+24+30+12+33</f>
        <v>369</v>
      </c>
      <c r="I14" s="74">
        <f>20+18+17+10+12+22+25+20+111+10</f>
        <v>265</v>
      </c>
      <c r="J14" s="74">
        <f>30+142+40+60+26+12+30+10+18+24</f>
        <v>392</v>
      </c>
      <c r="K14" s="75">
        <f>22+26+10+15+15+30+45+50+130+45</f>
        <v>388</v>
      </c>
      <c r="L14" s="75">
        <f>36+18+10+20+32+30+20+72+45</f>
        <v>283</v>
      </c>
      <c r="M14" s="75">
        <f>36+18+10+20+32+30+20+72+45</f>
        <v>283</v>
      </c>
      <c r="N14" s="75">
        <f>54+268+30+24+128+40+50+51+40</f>
        <v>685</v>
      </c>
      <c r="O14" s="75">
        <f>64+234+80+90+172+70+265+32</f>
        <v>1007</v>
      </c>
      <c r="P14" s="75">
        <f>120+70+234+50+90+172+35+0</f>
        <v>771</v>
      </c>
      <c r="Q14" s="74">
        <f>37+33+234+100+60+43+37+265+268+53</f>
        <v>1130</v>
      </c>
      <c r="R14" s="74"/>
      <c r="S14" s="74"/>
      <c r="T14" s="74"/>
      <c r="U14" s="74"/>
      <c r="V14" s="74"/>
      <c r="W14" s="74"/>
      <c r="X14" s="74"/>
    </row>
    <row r="15" spans="1:24" ht="16" x14ac:dyDescent="0.2">
      <c r="A15" s="27" t="s">
        <v>13</v>
      </c>
      <c r="B15" s="27" t="s">
        <v>15</v>
      </c>
      <c r="C15" s="2" t="s">
        <v>5</v>
      </c>
      <c r="D15" s="76">
        <f>20+30+21+10+10+26+15+21+20+8</f>
        <v>181</v>
      </c>
      <c r="E15" s="76">
        <f>9+30+50+122+95+21+30+7+10+12</f>
        <v>386</v>
      </c>
      <c r="F15" s="74">
        <f>102+19+50+19+60+9+6+9+27+20</f>
        <v>321</v>
      </c>
      <c r="G15" s="74">
        <f>7+17+15+20+112+134+20+10+32+15</f>
        <v>382</v>
      </c>
      <c r="H15" s="74">
        <f>20+140+32+25+23+6+12+30+12+11</f>
        <v>311</v>
      </c>
      <c r="I15" s="74">
        <f>30+58+10+30+46+6+60+17+18+20</f>
        <v>295</v>
      </c>
      <c r="J15" s="74">
        <f>12+21+30+15+26+20+40+102+30</f>
        <v>296</v>
      </c>
      <c r="K15" s="75">
        <f>18+22+30+8+8+20+20+50+62+30</f>
        <v>268</v>
      </c>
      <c r="L15" s="75">
        <f>36+9+30+11+32+60+20+60+45</f>
        <v>303</v>
      </c>
      <c r="M15" s="75">
        <f>36+9+30+11+32+60+20+60+45</f>
        <v>303</v>
      </c>
      <c r="N15" s="75">
        <f>40+56+50+40+7+18+10+268+11</f>
        <v>500</v>
      </c>
      <c r="O15" s="75">
        <f>32+20+70+172+60+40+234+34</f>
        <v>662</v>
      </c>
      <c r="P15" s="75">
        <f>0+50+172+60+20+234+35+20</f>
        <v>591</v>
      </c>
      <c r="Q15" s="74">
        <f>53+0+20+21+23+30+20+234+11+21</f>
        <v>433</v>
      </c>
      <c r="R15" s="74"/>
      <c r="S15" s="74"/>
      <c r="T15" s="74"/>
      <c r="U15" s="74"/>
      <c r="V15" s="74"/>
      <c r="W15" s="74"/>
      <c r="X15" s="74"/>
    </row>
    <row r="16" spans="1:24" ht="16" x14ac:dyDescent="0.2">
      <c r="A16" s="27" t="s">
        <v>13</v>
      </c>
      <c r="B16" s="27" t="s">
        <v>15</v>
      </c>
      <c r="C16" s="2" t="s">
        <v>6</v>
      </c>
      <c r="D16" s="28">
        <v>10</v>
      </c>
      <c r="E16" s="28">
        <v>10</v>
      </c>
      <c r="F16" s="28">
        <v>10</v>
      </c>
      <c r="G16" s="28"/>
      <c r="H16" s="28"/>
      <c r="I16" s="28"/>
      <c r="J16" s="28"/>
      <c r="K16" s="1">
        <v>0</v>
      </c>
      <c r="L16" s="1">
        <v>0</v>
      </c>
      <c r="M16" s="1">
        <v>0</v>
      </c>
      <c r="N16" s="1"/>
      <c r="O16" s="1"/>
      <c r="P16" s="1"/>
      <c r="Q16" s="28"/>
      <c r="R16" s="28"/>
      <c r="S16" s="28"/>
      <c r="T16" s="28"/>
      <c r="U16" s="28"/>
      <c r="V16" s="28"/>
      <c r="W16" s="28"/>
      <c r="X16" s="28"/>
    </row>
    <row r="17" spans="1:24" ht="16" x14ac:dyDescent="0.2">
      <c r="A17" s="27" t="s">
        <v>13</v>
      </c>
      <c r="B17" s="27" t="s">
        <v>15</v>
      </c>
      <c r="C17" s="2" t="s">
        <v>7</v>
      </c>
      <c r="D17" s="28">
        <v>10</v>
      </c>
      <c r="E17" s="28">
        <v>10</v>
      </c>
      <c r="F17" s="28">
        <v>10</v>
      </c>
      <c r="G17" s="28"/>
      <c r="H17" s="28"/>
      <c r="I17" s="28"/>
      <c r="J17" s="28"/>
      <c r="K17" s="1">
        <v>0</v>
      </c>
      <c r="L17" s="1">
        <v>0</v>
      </c>
      <c r="M17" s="1">
        <v>0</v>
      </c>
      <c r="N17" s="1"/>
      <c r="O17" s="1"/>
      <c r="P17" s="1"/>
      <c r="Q17" s="28"/>
      <c r="R17" s="28"/>
      <c r="S17" s="28"/>
      <c r="T17" s="28"/>
      <c r="U17" s="28"/>
      <c r="V17" s="28"/>
      <c r="W17" s="28"/>
      <c r="X17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FC71-334B-BF43-8D10-173D6F3178AB}">
  <dimension ref="A1:X17"/>
  <sheetViews>
    <sheetView zoomScale="140" zoomScaleNormal="140" workbookViewId="0">
      <selection sqref="A1:C1"/>
    </sheetView>
  </sheetViews>
  <sheetFormatPr baseColWidth="10" defaultColWidth="11.5" defaultRowHeight="15" x14ac:dyDescent="0.2"/>
  <cols>
    <col min="3" max="3" width="49.1640625" bestFit="1" customWidth="1"/>
    <col min="4" max="4" width="6.5" bestFit="1" customWidth="1"/>
    <col min="5" max="5" width="6.33203125" bestFit="1" customWidth="1"/>
    <col min="6" max="7" width="6.6640625" bestFit="1" customWidth="1"/>
    <col min="8" max="8" width="6.1640625" bestFit="1" customWidth="1"/>
    <col min="9" max="9" width="6.5" bestFit="1" customWidth="1"/>
    <col min="10" max="10" width="6.83203125" bestFit="1" customWidth="1"/>
    <col min="11" max="11" width="6.5" bestFit="1" customWidth="1"/>
    <col min="12" max="12" width="7" bestFit="1" customWidth="1"/>
    <col min="13" max="13" width="6.33203125" bestFit="1" customWidth="1"/>
    <col min="14" max="14" width="5.83203125" bestFit="1" customWidth="1"/>
    <col min="15" max="15" width="6.6640625" bestFit="1" customWidth="1"/>
    <col min="16" max="16" width="6.5" bestFit="1" customWidth="1"/>
    <col min="17" max="17" width="6.33203125" bestFit="1" customWidth="1"/>
    <col min="18" max="19" width="6.6640625" bestFit="1" customWidth="1"/>
    <col min="20" max="20" width="6.1640625" bestFit="1" customWidth="1"/>
    <col min="21" max="21" width="6.5" bestFit="1" customWidth="1"/>
    <col min="22" max="22" width="6.83203125" bestFit="1" customWidth="1"/>
    <col min="23" max="23" width="6.5" bestFit="1" customWidth="1"/>
    <col min="24" max="24" width="7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73">
        <v>45170</v>
      </c>
      <c r="E1" s="73">
        <v>45200</v>
      </c>
      <c r="F1" s="73">
        <v>45231</v>
      </c>
      <c r="G1" s="73">
        <v>45261</v>
      </c>
      <c r="H1" s="73">
        <v>45292</v>
      </c>
      <c r="I1" s="73">
        <v>45323</v>
      </c>
      <c r="J1" s="73">
        <v>45352</v>
      </c>
      <c r="K1" s="73">
        <v>45383</v>
      </c>
      <c r="L1" s="73">
        <v>45413</v>
      </c>
      <c r="M1" s="73">
        <v>45444</v>
      </c>
      <c r="N1" s="73">
        <v>45474</v>
      </c>
      <c r="O1" s="73">
        <v>45505</v>
      </c>
      <c r="P1" s="73">
        <v>45536</v>
      </c>
      <c r="Q1" s="73">
        <v>45566</v>
      </c>
      <c r="R1" s="73">
        <v>45597</v>
      </c>
      <c r="S1" s="73">
        <v>45627</v>
      </c>
      <c r="T1" s="73">
        <v>45658</v>
      </c>
      <c r="U1" s="73">
        <v>45689</v>
      </c>
      <c r="V1" s="73">
        <v>45717</v>
      </c>
      <c r="W1" s="73">
        <v>45748</v>
      </c>
      <c r="X1" s="73">
        <v>45778</v>
      </c>
    </row>
    <row r="2" spans="1:24" ht="16" x14ac:dyDescent="0.2">
      <c r="A2" s="27" t="s">
        <v>16</v>
      </c>
      <c r="B2" s="27" t="s">
        <v>17</v>
      </c>
      <c r="C2" s="2" t="s">
        <v>0</v>
      </c>
      <c r="D2" s="74">
        <f>51+45+64+60+58+125+30+102+40+50</f>
        <v>625</v>
      </c>
      <c r="E2" s="74">
        <f>71+52+30+59+51+56+50+20+180+59</f>
        <v>628</v>
      </c>
      <c r="F2" s="74">
        <f>90+102+155+160+180+250+120+60+57+78</f>
        <v>1252</v>
      </c>
      <c r="G2" s="74">
        <f>197+80+130+78+150+300+320+160+44+96</f>
        <v>1555</v>
      </c>
      <c r="H2" s="74">
        <f>90+78+88+202+226+180+386+156+105+320</f>
        <v>1831</v>
      </c>
      <c r="I2" s="74">
        <f>100+235+134+150+340+200+176+200+390+180</f>
        <v>2105</v>
      </c>
      <c r="J2" s="74">
        <f>60+186+198+306+369+190+240+159+350+214</f>
        <v>2272</v>
      </c>
      <c r="K2" s="75">
        <f>70+170+198+301+480+218+219+368+400+216</f>
        <v>2640</v>
      </c>
      <c r="L2" s="75">
        <f>120+180+199+223+136+120+321+169+405+240</f>
        <v>2113</v>
      </c>
      <c r="M2" s="75">
        <f>120+180+199+223+136+120+321+169+405+240</f>
        <v>2113</v>
      </c>
      <c r="N2" s="75">
        <f>160+280+106+321+280+310+380+400+216</f>
        <v>2453</v>
      </c>
      <c r="O2" s="75">
        <f>150+205+102+216+280+321+89+420+200</f>
        <v>1983</v>
      </c>
      <c r="P2" s="75">
        <f>140+203+415+368+164+310+116+410+216</f>
        <v>2342</v>
      </c>
      <c r="Q2" s="74">
        <f>180+214+502+269+160+334+83+300+216</f>
        <v>2258</v>
      </c>
      <c r="R2" s="74"/>
      <c r="S2" s="74"/>
      <c r="T2" s="74"/>
      <c r="U2" s="74"/>
      <c r="V2" s="74"/>
      <c r="W2" s="74"/>
      <c r="X2" s="74"/>
    </row>
    <row r="3" spans="1:24" ht="16" x14ac:dyDescent="0.2">
      <c r="A3" s="27" t="s">
        <v>16</v>
      </c>
      <c r="B3" s="27" t="s">
        <v>17</v>
      </c>
      <c r="C3" s="2" t="s">
        <v>1</v>
      </c>
      <c r="D3" s="74">
        <v>0</v>
      </c>
      <c r="E3" s="74">
        <v>0</v>
      </c>
      <c r="F3" s="74">
        <v>0</v>
      </c>
      <c r="G3" s="74">
        <v>0</v>
      </c>
      <c r="H3" s="74">
        <v>0</v>
      </c>
      <c r="I3" s="74">
        <v>0</v>
      </c>
      <c r="J3" s="74">
        <v>0</v>
      </c>
      <c r="K3" s="75">
        <v>0</v>
      </c>
      <c r="L3" s="75">
        <v>0</v>
      </c>
      <c r="M3" s="75">
        <v>0</v>
      </c>
      <c r="N3" s="75">
        <v>0</v>
      </c>
      <c r="O3" s="75">
        <v>0</v>
      </c>
      <c r="P3" s="75">
        <v>0</v>
      </c>
      <c r="Q3" s="74">
        <v>0</v>
      </c>
      <c r="R3" s="74"/>
      <c r="S3" s="74"/>
      <c r="T3" s="74"/>
      <c r="U3" s="74"/>
      <c r="V3" s="74"/>
      <c r="W3" s="74"/>
      <c r="X3" s="74"/>
    </row>
    <row r="4" spans="1:24" ht="16" x14ac:dyDescent="0.2">
      <c r="A4" s="27" t="s">
        <v>16</v>
      </c>
      <c r="B4" s="27" t="s">
        <v>17</v>
      </c>
      <c r="C4" s="2" t="s">
        <v>2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>
        <v>0</v>
      </c>
      <c r="K4" s="75">
        <v>0</v>
      </c>
      <c r="L4" s="75">
        <v>0</v>
      </c>
      <c r="M4" s="75">
        <v>0</v>
      </c>
      <c r="N4" s="75">
        <v>0</v>
      </c>
      <c r="O4" s="75">
        <v>0</v>
      </c>
      <c r="P4" s="75">
        <v>0</v>
      </c>
      <c r="Q4" s="74">
        <v>0</v>
      </c>
      <c r="R4" s="74"/>
      <c r="S4" s="74"/>
      <c r="T4" s="74"/>
      <c r="U4" s="74"/>
      <c r="V4" s="74"/>
      <c r="W4" s="74"/>
      <c r="X4" s="74"/>
    </row>
    <row r="5" spans="1:24" ht="16" x14ac:dyDescent="0.2">
      <c r="A5" s="27" t="s">
        <v>16</v>
      </c>
      <c r="B5" s="27" t="s">
        <v>17</v>
      </c>
      <c r="C5" s="2" t="s">
        <v>3</v>
      </c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5">
        <v>0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  <c r="Q5" s="74">
        <v>0</v>
      </c>
      <c r="R5" s="74"/>
      <c r="S5" s="74"/>
      <c r="T5" s="74"/>
      <c r="U5" s="74"/>
      <c r="V5" s="74"/>
      <c r="W5" s="74"/>
      <c r="X5" s="74"/>
    </row>
    <row r="6" spans="1:24" ht="16" x14ac:dyDescent="0.2">
      <c r="A6" s="27" t="s">
        <v>16</v>
      </c>
      <c r="B6" s="27" t="s">
        <v>17</v>
      </c>
      <c r="C6" s="2" t="s">
        <v>4</v>
      </c>
      <c r="D6" s="74">
        <f>21+30+30+30+15+10+20+18+25+20</f>
        <v>219</v>
      </c>
      <c r="E6" s="74">
        <f>25+36+20+15+25+30+30+20+12+5</f>
        <v>218</v>
      </c>
      <c r="F6" s="74">
        <f>60+58+10+60+60+11+80+20+22+35</f>
        <v>416</v>
      </c>
      <c r="G6" s="74">
        <f>88+50+110+82+140+15+72+60+3+35</f>
        <v>655</v>
      </c>
      <c r="H6" s="74">
        <f>9+10+72+90+69+50+70+85+50+13</f>
        <v>518</v>
      </c>
      <c r="I6" s="74">
        <f>35+79+32+30+13+69+37+80+69+120</f>
        <v>564</v>
      </c>
      <c r="J6" s="74">
        <f>90+13+42+82+40+121+167+97+53+30</f>
        <v>735</v>
      </c>
      <c r="K6" s="75">
        <f>20+140+59+93+35+30+65+55+13+82</f>
        <v>592</v>
      </c>
      <c r="L6" s="75">
        <f>50+50+42+69+39+30+56+40+10+100</f>
        <v>486</v>
      </c>
      <c r="M6" s="75">
        <f>50+50+42+69+39+30+56+40+10+100</f>
        <v>486</v>
      </c>
      <c r="N6" s="75">
        <f>150+20+49+70+150+300+51+100+160</f>
        <v>1050</v>
      </c>
      <c r="O6" s="75">
        <f>80+420+89+82+260+216+32+200+150</f>
        <v>1529</v>
      </c>
      <c r="P6" s="75">
        <f>90+88+80+80+150+158+30+102+140</f>
        <v>918</v>
      </c>
      <c r="Q6" s="74">
        <f>90+100+50+70+150+125+37+200+170</f>
        <v>992</v>
      </c>
      <c r="R6" s="74"/>
      <c r="S6" s="74"/>
      <c r="T6" s="74"/>
      <c r="U6" s="74"/>
      <c r="V6" s="74"/>
      <c r="W6" s="74"/>
      <c r="X6" s="74"/>
    </row>
    <row r="7" spans="1:24" ht="16" x14ac:dyDescent="0.2">
      <c r="A7" s="27" t="s">
        <v>16</v>
      </c>
      <c r="B7" s="27" t="s">
        <v>17</v>
      </c>
      <c r="C7" s="2" t="s">
        <v>5</v>
      </c>
      <c r="D7" s="74">
        <f>27+42+16+20+10+10+3+20+25+30</f>
        <v>203</v>
      </c>
      <c r="E7" s="74">
        <f>24+47+10+10+27+20+20+16+6+5</f>
        <v>185</v>
      </c>
      <c r="F7" s="74">
        <f>23+58+10+30+100+10+35+20+20+35</f>
        <v>341</v>
      </c>
      <c r="G7" s="74">
        <f>58+50+95+40+130+11+120+20+3+40</f>
        <v>567</v>
      </c>
      <c r="H7" s="74">
        <f>15+14+56+59+27+23+198+42+50+10</f>
        <v>494</v>
      </c>
      <c r="I7" s="74">
        <f>15+56+20+30+10+185+17+35+197+90</f>
        <v>655</v>
      </c>
      <c r="J7" s="74">
        <f>30+37+52+54+97+20+60+42+10+40</f>
        <v>442</v>
      </c>
      <c r="K7" s="75">
        <f>20+80+60+37+94+16+48+55+5+0</f>
        <v>415</v>
      </c>
      <c r="L7" s="75">
        <f>50+30+31+25+21+15+24+80+5+50</f>
        <v>331</v>
      </c>
      <c r="M7" s="75">
        <f>50+30+31+25+21+15+24+80+5+50</f>
        <v>331</v>
      </c>
      <c r="N7" s="75">
        <f>160+80+17+75+180+70+49+212+200</f>
        <v>1043</v>
      </c>
      <c r="O7" s="75">
        <f>150+5+5+107+280+62+89+80+40</f>
        <v>818</v>
      </c>
      <c r="P7" s="75">
        <f>20+140+72+10+132+102+80+80+88+40</f>
        <v>764</v>
      </c>
      <c r="Q7" s="74">
        <f>170+78+0+100+150+55+50+50+0</f>
        <v>653</v>
      </c>
      <c r="R7" s="74"/>
      <c r="S7" s="74"/>
      <c r="T7" s="74"/>
      <c r="U7" s="74"/>
      <c r="V7" s="74"/>
      <c r="W7" s="74"/>
      <c r="X7" s="74"/>
    </row>
    <row r="8" spans="1:24" ht="16" x14ac:dyDescent="0.2">
      <c r="A8" s="27" t="s">
        <v>16</v>
      </c>
      <c r="B8" s="27" t="s">
        <v>17</v>
      </c>
      <c r="C8" s="2" t="s">
        <v>6</v>
      </c>
      <c r="D8" s="28">
        <v>10</v>
      </c>
      <c r="E8" s="28">
        <v>10</v>
      </c>
      <c r="F8" s="28">
        <v>10</v>
      </c>
      <c r="G8" s="28"/>
      <c r="H8" s="28"/>
      <c r="I8" s="28"/>
      <c r="J8" s="28"/>
      <c r="K8" s="1">
        <v>1</v>
      </c>
      <c r="L8" s="1">
        <v>1</v>
      </c>
      <c r="M8" s="1">
        <v>1</v>
      </c>
      <c r="N8" s="1"/>
      <c r="O8" s="1"/>
      <c r="P8" s="1"/>
      <c r="Q8" s="28"/>
      <c r="R8" s="28"/>
      <c r="S8" s="28"/>
      <c r="T8" s="28"/>
      <c r="U8" s="28"/>
      <c r="V8" s="28"/>
      <c r="W8" s="28"/>
      <c r="X8" s="28"/>
    </row>
    <row r="9" spans="1:24" ht="16" x14ac:dyDescent="0.2">
      <c r="A9" s="27" t="s">
        <v>16</v>
      </c>
      <c r="B9" s="27" t="s">
        <v>17</v>
      </c>
      <c r="C9" s="2" t="s">
        <v>7</v>
      </c>
      <c r="D9" s="28">
        <v>10</v>
      </c>
      <c r="E9" s="28">
        <v>10</v>
      </c>
      <c r="F9" s="28">
        <v>10</v>
      </c>
      <c r="G9" s="28"/>
      <c r="H9" s="28"/>
      <c r="I9" s="28"/>
      <c r="J9" s="28"/>
      <c r="K9" s="1">
        <v>1</v>
      </c>
      <c r="L9" s="1">
        <v>1</v>
      </c>
      <c r="M9" s="1">
        <v>1</v>
      </c>
      <c r="N9" s="1"/>
      <c r="O9" s="1"/>
      <c r="P9" s="1"/>
      <c r="Q9" s="28"/>
      <c r="R9" s="28"/>
      <c r="S9" s="28"/>
      <c r="T9" s="28"/>
      <c r="U9" s="28"/>
      <c r="V9" s="28"/>
      <c r="W9" s="28"/>
      <c r="X9" s="28"/>
    </row>
    <row r="10" spans="1:24" ht="16" x14ac:dyDescent="0.2">
      <c r="A10" s="27" t="s">
        <v>16</v>
      </c>
      <c r="B10" s="27" t="s">
        <v>20</v>
      </c>
      <c r="C10" s="2" t="s">
        <v>0</v>
      </c>
      <c r="D10" s="74">
        <f>48+41+305+64+85+300+400+432+65</f>
        <v>1740</v>
      </c>
      <c r="E10" s="74">
        <f>84+68+250+200+62+300+32+60+145+95</f>
        <v>1296</v>
      </c>
      <c r="F10" s="74">
        <f>20+105+200+250+61+45+30+180+68+130</f>
        <v>1089</v>
      </c>
      <c r="G10" s="74">
        <f>185+207+213+151+324+92+157+112+162</f>
        <v>1603</v>
      </c>
      <c r="H10" s="74">
        <f>138+64+85+95+345+26+30+100+38</f>
        <v>921</v>
      </c>
      <c r="I10" s="74">
        <f>250+87+90+40+93+51+72+38+93</f>
        <v>814</v>
      </c>
      <c r="J10" s="74">
        <f>223+88+72+30+53+52+40+50+41+42</f>
        <v>691</v>
      </c>
      <c r="K10" s="75">
        <f>350+320+80+22+58+84+300+65+43+31</f>
        <v>1353</v>
      </c>
      <c r="L10" s="75">
        <f>150+132+95+68+59+56+302+70+51+40</f>
        <v>1023</v>
      </c>
      <c r="M10" s="75">
        <f>150+132+95+68+59+56+302+70+51+40</f>
        <v>1023</v>
      </c>
      <c r="N10" s="75">
        <f>200+350+50+235+40+61+250+120+42+32</f>
        <v>1380</v>
      </c>
      <c r="O10" s="75">
        <f>300+350+85+210+58+63+220+60+420+32</f>
        <v>1798</v>
      </c>
      <c r="P10" s="75">
        <f>300+350+80+215+56+140+200+150+260+152</f>
        <v>1903</v>
      </c>
      <c r="Q10" s="74">
        <f>275+200+80+320+72+150+95+165+302+32</f>
        <v>1691</v>
      </c>
      <c r="R10" s="74"/>
      <c r="S10" s="74"/>
      <c r="T10" s="74"/>
      <c r="U10" s="74"/>
      <c r="V10" s="74"/>
      <c r="W10" s="74"/>
      <c r="X10" s="74"/>
    </row>
    <row r="11" spans="1:24" ht="16" x14ac:dyDescent="0.2">
      <c r="A11" s="27" t="s">
        <v>16</v>
      </c>
      <c r="B11" s="27" t="s">
        <v>20</v>
      </c>
      <c r="C11" s="2" t="s">
        <v>1</v>
      </c>
      <c r="D11" s="74">
        <v>0</v>
      </c>
      <c r="E11" s="74">
        <v>0</v>
      </c>
      <c r="F11" s="74">
        <f>5</f>
        <v>5</v>
      </c>
      <c r="G11" s="74">
        <v>0</v>
      </c>
      <c r="H11" s="74">
        <v>0</v>
      </c>
      <c r="I11" s="74">
        <v>0</v>
      </c>
      <c r="J11" s="74">
        <v>0</v>
      </c>
      <c r="K11" s="75">
        <v>0</v>
      </c>
      <c r="L11" s="75">
        <v>0</v>
      </c>
      <c r="M11" s="75">
        <v>1</v>
      </c>
      <c r="N11" s="75">
        <v>0</v>
      </c>
      <c r="O11" s="75">
        <v>0</v>
      </c>
      <c r="P11" s="75">
        <v>0</v>
      </c>
      <c r="Q11" s="75">
        <v>0</v>
      </c>
      <c r="R11" s="74"/>
      <c r="S11" s="74"/>
      <c r="T11" s="74"/>
      <c r="U11" s="74"/>
      <c r="V11" s="74"/>
      <c r="W11" s="74"/>
      <c r="X11" s="74"/>
    </row>
    <row r="12" spans="1:24" ht="16" x14ac:dyDescent="0.2">
      <c r="A12" s="27" t="s">
        <v>16</v>
      </c>
      <c r="B12" s="27" t="s">
        <v>20</v>
      </c>
      <c r="C12" s="2" t="s">
        <v>2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0</v>
      </c>
      <c r="N12" s="75">
        <v>0</v>
      </c>
      <c r="O12" s="75">
        <v>0</v>
      </c>
      <c r="P12" s="75">
        <v>0</v>
      </c>
      <c r="Q12" s="75">
        <v>0</v>
      </c>
      <c r="R12" s="74"/>
      <c r="S12" s="74"/>
      <c r="T12" s="74"/>
      <c r="U12" s="74"/>
      <c r="V12" s="74"/>
      <c r="W12" s="74"/>
      <c r="X12" s="74"/>
    </row>
    <row r="13" spans="1:24" ht="16" x14ac:dyDescent="0.2">
      <c r="A13" s="27" t="s">
        <v>16</v>
      </c>
      <c r="B13" s="27" t="s">
        <v>20</v>
      </c>
      <c r="C13" s="2" t="s">
        <v>3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s="74">
        <v>0</v>
      </c>
      <c r="J13" s="74">
        <v>0</v>
      </c>
      <c r="K13" s="75">
        <v>0</v>
      </c>
      <c r="L13" s="77">
        <v>13</v>
      </c>
      <c r="M13" s="77">
        <v>14</v>
      </c>
      <c r="N13" s="75">
        <v>0</v>
      </c>
      <c r="O13" s="75">
        <v>0</v>
      </c>
      <c r="P13" s="75">
        <v>0</v>
      </c>
      <c r="Q13" s="75">
        <v>0</v>
      </c>
      <c r="R13" s="74"/>
      <c r="S13" s="74"/>
      <c r="T13" s="74"/>
      <c r="U13" s="74"/>
      <c r="V13" s="74"/>
      <c r="W13" s="74"/>
      <c r="X13" s="74"/>
    </row>
    <row r="14" spans="1:24" ht="16" x14ac:dyDescent="0.2">
      <c r="A14" s="27" t="s">
        <v>16</v>
      </c>
      <c r="B14" s="27" t="s">
        <v>20</v>
      </c>
      <c r="C14" s="2" t="s">
        <v>4</v>
      </c>
      <c r="D14" s="74">
        <f>48+23+95+25+38+78+178+84+100</f>
        <v>669</v>
      </c>
      <c r="E14" s="74">
        <f>34+30+112+150+31+105+29+75+40+100</f>
        <v>706</v>
      </c>
      <c r="F14" s="74">
        <f>42+50+70+68+52+37+50+72+57+25</f>
        <v>523</v>
      </c>
      <c r="G14" s="74">
        <f>150+203+160+51+123+42+47+90+28</f>
        <v>894</v>
      </c>
      <c r="H14" s="74">
        <f>38+80+35+27+92+58+31+34+40</f>
        <v>435</v>
      </c>
      <c r="I14" s="74">
        <f>24+50+62+36+54+28+43+36+63</f>
        <v>396</v>
      </c>
      <c r="J14" s="74">
        <f>30+21+15+30+17+20+20+60+18+19</f>
        <v>250</v>
      </c>
      <c r="K14" s="75">
        <f>24+35+50+30+28+44+215+30+21+21</f>
        <v>498</v>
      </c>
      <c r="L14" s="75">
        <f>24+30+60+36+20+17+220+30+33+28</f>
        <v>498</v>
      </c>
      <c r="M14" s="75">
        <f>24+30+60+36+20+17+220+30+33+28</f>
        <v>498</v>
      </c>
      <c r="N14" s="75">
        <f>32+42+120+200+250+40+250+200+20+200</f>
        <v>1354</v>
      </c>
      <c r="O14" s="75">
        <f>100+120+120+0+42+58+220+70+180+150</f>
        <v>1060</v>
      </c>
      <c r="P14" s="75">
        <f>150+250+160+22+98+32+215+75+200+187</f>
        <v>1389</v>
      </c>
      <c r="Q14" s="74">
        <f>0+220+65+70+90+53+320+90+190+45</f>
        <v>1143</v>
      </c>
      <c r="R14" s="74"/>
      <c r="S14" s="74"/>
      <c r="T14" s="74"/>
      <c r="U14" s="74"/>
      <c r="V14" s="74"/>
      <c r="W14" s="74"/>
      <c r="X14" s="74"/>
    </row>
    <row r="15" spans="1:24" ht="16" x14ac:dyDescent="0.2">
      <c r="A15" s="27" t="s">
        <v>16</v>
      </c>
      <c r="B15" s="27" t="s">
        <v>20</v>
      </c>
      <c r="C15" s="2" t="s">
        <v>5</v>
      </c>
      <c r="D15" s="74">
        <f>22+28+16+30+38+20+42+26+10</f>
        <v>232</v>
      </c>
      <c r="E15" s="74">
        <f>36+26+72+13+18+35+29+26+150+10</f>
        <v>415</v>
      </c>
      <c r="F15" s="74">
        <f>8+6+35+5+4+25+80+83+8+4</f>
        <v>258</v>
      </c>
      <c r="G15" s="74">
        <f>40+315+315+29+83+33+38+45+32</f>
        <v>930</v>
      </c>
      <c r="H15" s="74">
        <f>39+22+29+72+117+30+40+30+38</f>
        <v>417</v>
      </c>
      <c r="I15" s="74">
        <f>0+32+30+20+21+20+36+32+15</f>
        <v>206</v>
      </c>
      <c r="J15" s="74">
        <f>10+15+32+23+16+15+30+14+38+28</f>
        <v>221</v>
      </c>
      <c r="K15" s="75">
        <f>15+20+30+10+21+27+100+15+18+17</f>
        <v>273</v>
      </c>
      <c r="L15" s="75">
        <f>12+48+40+24+11+11+115+18+21+17</f>
        <v>317</v>
      </c>
      <c r="M15" s="75">
        <f>12+48+40+24+11+11+115+18+21+17</f>
        <v>317</v>
      </c>
      <c r="N15" s="75">
        <f>350+200+40+35+32+85+80+60+42+32</f>
        <v>956</v>
      </c>
      <c r="O15" s="75">
        <f>220+250+30+102+58+42+150+200+220+150</f>
        <v>1422</v>
      </c>
      <c r="P15" s="75">
        <f>42+97+30+40+27+35+120+52+110+160</f>
        <v>713</v>
      </c>
      <c r="Q15" s="74">
        <f>39+230+35+3+50+200+70+125+192+30</f>
        <v>974</v>
      </c>
      <c r="R15" s="74"/>
      <c r="S15" s="74"/>
      <c r="T15" s="74"/>
      <c r="U15" s="74"/>
      <c r="V15" s="74"/>
      <c r="W15" s="74"/>
      <c r="X15" s="74"/>
    </row>
    <row r="16" spans="1:24" ht="16" x14ac:dyDescent="0.2">
      <c r="A16" s="27" t="s">
        <v>16</v>
      </c>
      <c r="B16" s="27" t="s">
        <v>20</v>
      </c>
      <c r="C16" s="2" t="s">
        <v>6</v>
      </c>
      <c r="D16" s="28">
        <v>10</v>
      </c>
      <c r="E16" s="28">
        <v>10</v>
      </c>
      <c r="F16" s="28"/>
      <c r="G16" s="28"/>
      <c r="H16" s="28"/>
      <c r="I16" s="28"/>
      <c r="J16" s="28"/>
      <c r="K16" s="1">
        <v>10</v>
      </c>
      <c r="L16" s="1">
        <v>10</v>
      </c>
      <c r="M16" s="1">
        <v>10</v>
      </c>
      <c r="N16" s="1"/>
      <c r="O16" s="1"/>
      <c r="P16" s="1"/>
      <c r="Q16" s="28"/>
      <c r="R16" s="28"/>
      <c r="S16" s="28"/>
      <c r="T16" s="28"/>
      <c r="U16" s="28"/>
      <c r="V16" s="28"/>
      <c r="W16" s="28"/>
      <c r="X16" s="28"/>
    </row>
    <row r="17" spans="1:24" ht="16" x14ac:dyDescent="0.2">
      <c r="A17" s="27" t="s">
        <v>16</v>
      </c>
      <c r="B17" s="27" t="s">
        <v>20</v>
      </c>
      <c r="C17" s="2" t="s">
        <v>7</v>
      </c>
      <c r="D17" s="28">
        <v>10</v>
      </c>
      <c r="E17" s="28">
        <v>10</v>
      </c>
      <c r="F17" s="28">
        <v>1</v>
      </c>
      <c r="G17" s="28"/>
      <c r="H17" s="28"/>
      <c r="I17" s="28"/>
      <c r="J17" s="28"/>
      <c r="K17" s="1">
        <v>10</v>
      </c>
      <c r="L17" s="1">
        <v>10</v>
      </c>
      <c r="M17" s="1">
        <v>10</v>
      </c>
      <c r="N17" s="1"/>
      <c r="O17" s="1"/>
      <c r="P17" s="1"/>
      <c r="Q17" s="28"/>
      <c r="R17" s="28"/>
      <c r="S17" s="28"/>
      <c r="T17" s="28"/>
      <c r="U17" s="28"/>
      <c r="V17" s="28"/>
      <c r="W17" s="28"/>
      <c r="X17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AED4-7E59-DE43-805D-F2FE5DEED3C8}">
  <dimension ref="A1:B9"/>
  <sheetViews>
    <sheetView zoomScale="120" zoomScaleNormal="120" workbookViewId="0">
      <selection activeCell="B9" sqref="B9"/>
    </sheetView>
  </sheetViews>
  <sheetFormatPr baseColWidth="10" defaultColWidth="11.5" defaultRowHeight="15" x14ac:dyDescent="0.2"/>
  <cols>
    <col min="1" max="1" width="49.1640625" style="5" bestFit="1" customWidth="1"/>
    <col min="2" max="2" width="16.33203125" bestFit="1" customWidth="1"/>
  </cols>
  <sheetData>
    <row r="1" spans="1:2" ht="16" x14ac:dyDescent="0.2">
      <c r="A1" s="5" t="s">
        <v>42</v>
      </c>
      <c r="B1" t="s">
        <v>35</v>
      </c>
    </row>
    <row r="2" spans="1:2" ht="16" x14ac:dyDescent="0.2">
      <c r="A2" s="21" t="s">
        <v>0</v>
      </c>
      <c r="B2" t="s">
        <v>36</v>
      </c>
    </row>
    <row r="3" spans="1:2" ht="16" x14ac:dyDescent="0.2">
      <c r="A3" s="21" t="s">
        <v>1</v>
      </c>
      <c r="B3" t="s">
        <v>37</v>
      </c>
    </row>
    <row r="4" spans="1:2" ht="16" x14ac:dyDescent="0.2">
      <c r="A4" s="21" t="s">
        <v>2</v>
      </c>
      <c r="B4" t="s">
        <v>38</v>
      </c>
    </row>
    <row r="5" spans="1:2" ht="16" x14ac:dyDescent="0.2">
      <c r="A5" s="21" t="s">
        <v>3</v>
      </c>
      <c r="B5" t="s">
        <v>39</v>
      </c>
    </row>
    <row r="6" spans="1:2" ht="16" x14ac:dyDescent="0.2">
      <c r="A6" s="21" t="s">
        <v>4</v>
      </c>
      <c r="B6" t="s">
        <v>40</v>
      </c>
    </row>
    <row r="7" spans="1:2" ht="16" x14ac:dyDescent="0.2">
      <c r="A7" s="21" t="s">
        <v>5</v>
      </c>
      <c r="B7" t="s">
        <v>41</v>
      </c>
    </row>
    <row r="8" spans="1:2" ht="16" x14ac:dyDescent="0.2">
      <c r="A8" s="21" t="s">
        <v>6</v>
      </c>
      <c r="B8" t="s">
        <v>43</v>
      </c>
    </row>
    <row r="9" spans="1:2" ht="16" x14ac:dyDescent="0.2">
      <c r="A9" s="2" t="s">
        <v>7</v>
      </c>
      <c r="B9" t="s"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fd84fa-c8fb-4de8-be61-8d55740345b8}" enabled="1" method="Standard" siteId="{a5c0a820-c887-4727-ac66-403237d8c3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WF Monitoring Tool</vt:lpstr>
      <vt:lpstr>ganze</vt:lpstr>
      <vt:lpstr>kaloleni</vt:lpstr>
      <vt:lpstr>klf_north</vt:lpstr>
      <vt:lpstr>klf_south</vt:lpstr>
      <vt:lpstr>rabai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Paone</dc:creator>
  <cp:lastModifiedBy>Moses Chapa Kiti</cp:lastModifiedBy>
  <dcterms:created xsi:type="dcterms:W3CDTF">2015-06-05T18:17:20Z</dcterms:created>
  <dcterms:modified xsi:type="dcterms:W3CDTF">2025-03-24T20:19:24Z</dcterms:modified>
</cp:coreProperties>
</file>